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emf" ContentType="image/x-emf"/>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Default Extension="sigs" ContentType="application/vnd.openxmlformats-package.digital-signature-origin"/>
  <Default Extension="vml" ContentType="application/vnd.openxmlformats-officedocument.vmlDrawing"/>
  <Override PartName="/xl/worksheets/sheet1.xml" ContentType="application/vnd.openxmlformats-officedocument.spreadsheetml.worksheet+xml"/>
  <Override PartName="/xl/calcChain.xml" ContentType="application/vnd.openxmlformats-officedocument.spreadsheetml.calcChain+xml"/>
  <Override PartName="/_xmlsignatures/sig4.xml" ContentType="application/vnd.openxmlformats-package.digital-signature-xmlsignature+xml"/>
  <Override PartName="/_xmlsignatures/sig5.xml" ContentType="application/vnd.openxmlformats-package.digital-signature-xmlsignature+xml"/>
  <Override PartName="/xl/sharedStrings.xml" ContentType="application/vnd.openxmlformats-officedocument.spreadsheetml.sharedStrings+xml"/>
  <Override PartName="/_xmlsignatures/sig2.xml" ContentType="application/vnd.openxmlformats-package.digital-signature-xmlsignature+xml"/>
  <Override PartName="/_xmlsignatures/sig3.xml" ContentType="application/vnd.openxmlformats-package.digital-signature-xmlsignature+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C:\Users\3194087\Desktop\"/>
    </mc:Choice>
  </mc:AlternateContent>
  <xr:revisionPtr revIDLastSave="0" documentId="8_{482CB624-3822-4340-929A-75011B078453}" xr6:coauthVersionLast="47" xr6:coauthVersionMax="47" xr10:uidLastSave="{00000000-0000-0000-0000-000000000000}"/>
  <bookViews>
    <workbookView xWindow="-108" yWindow="-108" windowWidth="23256" windowHeight="12576" tabRatio="843" activeTab="2" xr2:uid="{00000000-000D-0000-FFFF-FFFF00000000}"/>
  </bookViews>
  <sheets>
    <sheet name="Índice" sheetId="19" r:id="rId1"/>
    <sheet name="IG" sheetId="14" r:id="rId2"/>
    <sheet name="BG" sheetId="3" r:id="rId3"/>
    <sheet name="EERR" sheetId="26" r:id="rId4"/>
    <sheet name="VPN" sheetId="7" r:id="rId5"/>
    <sheet name="EFE" sheetId="5" r:id="rId6"/>
    <sheet name="Nota 1 a Nota 4" sheetId="8" r:id="rId7"/>
    <sheet name="Cartera Propia" sheetId="21" state="hidden" r:id="rId8"/>
    <sheet name="Nota 6 a Nota 12" sheetId="22" r:id="rId9"/>
    <sheet name="Nota 5" sheetId="9" r:id="rId10"/>
    <sheet name="BG 2020" sheetId="11" state="hidden" r:id="rId11"/>
    <sheet name="CA EFE 312021" sheetId="6" state="hidden" r:id="rId12"/>
    <sheet name="BG 2021" sheetId="27" state="hidden" r:id="rId13"/>
    <sheet name="Clasificaciones" sheetId="30" state="hidden" r:id="rId14"/>
  </sheets>
  <definedNames>
    <definedName name="\a" localSheetId="1">#REF!</definedName>
    <definedName name="\a" localSheetId="6">#REF!</definedName>
    <definedName name="\a" localSheetId="9">#REF!</definedName>
    <definedName name="\a" localSheetId="8">#REF!</definedName>
    <definedName name="\a">#REF!</definedName>
    <definedName name="_____DAT23" localSheetId="1">#REF!</definedName>
    <definedName name="_____DAT23" localSheetId="6">#REF!</definedName>
    <definedName name="_____DAT23" localSheetId="9">#REF!</definedName>
    <definedName name="_____DAT23" localSheetId="8">#REF!</definedName>
    <definedName name="_____DAT23">#REF!</definedName>
    <definedName name="_____DAT24" localSheetId="1">#REF!</definedName>
    <definedName name="_____DAT24" localSheetId="6">#REF!</definedName>
    <definedName name="_____DAT24" localSheetId="9">#REF!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xlnm._FilterDatabase" localSheetId="10" hidden="1">'BG 2020'!$A$5:$WVF$260</definedName>
    <definedName name="_xlnm._FilterDatabase" localSheetId="12" hidden="1">'BG 2021'!$A$7:$G$7</definedName>
    <definedName name="_xlnm._FilterDatabase" localSheetId="11" hidden="1">'CA EFE 312021'!$B$1:$AB$489</definedName>
    <definedName name="_xlnm._FilterDatabase" localSheetId="13" hidden="1">Clasificaciones!$A$4:$M$887</definedName>
    <definedName name="_xlnm._FilterDatabase" localSheetId="3" hidden="1">EERR!$F$15:$G$15</definedName>
    <definedName name="_xlnm._FilterDatabase" localSheetId="9" hidden="1">'Nota 5'!$A$132:$V$351</definedName>
    <definedName name="_Key1" localSheetId="1"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12" hidden="1">{#N/A,#N/A,FALSE,"Aging Summary";#N/A,#N/A,FALSE,"Ratio Analysis";#N/A,#N/A,FALSE,"Test 120 Day Accts";#N/A,#N/A,FALSE,"Tickmarks"}</definedName>
    <definedName name="a" localSheetId="13" hidden="1">{#N/A,#N/A,FALSE,"Aging Summary";#N/A,#N/A,FALSE,"Ratio Analysis";#N/A,#N/A,FALSE,"Test 120 Day Accts";#N/A,#N/A,FALSE,"Tickmarks"}</definedName>
    <definedName name="a" localSheetId="3"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9"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_xlnm.Print_Area" localSheetId="2">BG!$B$10:$L$95</definedName>
    <definedName name="_xlnm.Print_Area" localSheetId="3">EERR!$B$10:$G$101</definedName>
    <definedName name="_xlnm.Print_Area" localSheetId="9">'Nota 5'!$A$9:$I$966</definedName>
    <definedName name="_xlnm.Print_Area" localSheetId="8">'Nota 6 a Nota 12'!$A$9:$I$48</definedName>
    <definedName name="_xlnm.Print_Area" localSheetId="4">VPN!$B$9:$M$39</definedName>
    <definedName name="Area_de_impresión2" localSheetId="1">#REF!</definedName>
    <definedName name="Area_de_impresión2" localSheetId="6">#REF!</definedName>
    <definedName name="Area_de_impresión2" localSheetId="9">#REF!</definedName>
    <definedName name="Area_de_impresión2" localSheetId="8">#REF!</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_xlnm.Database" localSheetId="4">#REF!</definedName>
    <definedName name="_xlnm.Database">#REF!</definedName>
    <definedName name="basemeta" localSheetId="4">#REF!</definedName>
    <definedName name="basemeta">#REF!</definedName>
    <definedName name="basenueva" localSheetId="4">#REF!</definedName>
    <definedName name="basenueva">#REF!</definedName>
    <definedName name="BB">#REF!</definedName>
    <definedName name="BCDE" localSheetId="12" hidden="1">{#N/A,#N/A,FALSE,"Aging Summary";#N/A,#N/A,FALSE,"Ratio Analysis";#N/A,#N/A,FALSE,"Test 120 Day Accts";#N/A,#N/A,FALSE,"Tickmarks"}</definedName>
    <definedName name="BCDE" localSheetId="13" hidden="1">{#N/A,#N/A,FALSE,"Aging Summary";#N/A,#N/A,FALSE,"Ratio Analysis";#N/A,#N/A,FALSE,"Test 120 Day Accts";#N/A,#N/A,FALSE,"Tickmarks"}</definedName>
    <definedName name="BCDE" localSheetId="3"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9"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12" hidden="1">{#N/A,#N/A,FALSE,"Aging Summary";#N/A,#N/A,FALSE,"Ratio Analysis";#N/A,#N/A,FALSE,"Test 120 Day Accts";#N/A,#N/A,FALSE,"Tickmarks"}</definedName>
    <definedName name="da" localSheetId="13" hidden="1">{#N/A,#N/A,FALSE,"Aging Summary";#N/A,#N/A,FALSE,"Ratio Analysis";#N/A,#N/A,FALSE,"Test 120 Day Accts";#N/A,#N/A,FALSE,"Tickmarks"}</definedName>
    <definedName name="da" localSheetId="3"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9"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12" hidden="1">{#N/A,#N/A,FALSE,"VOL"}</definedName>
    <definedName name="DAFDFAD" localSheetId="13" hidden="1">{#N/A,#N/A,FALSE,"VOL"}</definedName>
    <definedName name="DAFDFAD" localSheetId="3" hidden="1">{#N/A,#N/A,FALSE,"VOL"}</definedName>
    <definedName name="DAFDFAD" localSheetId="5" hidden="1">{#N/A,#N/A,FALSE,"VOL"}</definedName>
    <definedName name="DAFDFAD" localSheetId="1" hidden="1">{#N/A,#N/A,FALSE,"VOL"}</definedName>
    <definedName name="DAFDFAD" localSheetId="6" hidden="1">{#N/A,#N/A,FALSE,"VOL"}</definedName>
    <definedName name="DAFDFAD" localSheetId="9" hidden="1">{#N/A,#N/A,FALSE,"VOL"}</definedName>
    <definedName name="DAFDFAD" localSheetId="8"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12" hidden="1">{#N/A,#N/A,FALSE,"VOL"}</definedName>
    <definedName name="liq" localSheetId="13" hidden="1">{#N/A,#N/A,FALSE,"VOL"}</definedName>
    <definedName name="liq" localSheetId="3" hidden="1">{#N/A,#N/A,FALSE,"VOL"}</definedName>
    <definedName name="liq" localSheetId="5" hidden="1">{#N/A,#N/A,FALSE,"VOL"}</definedName>
    <definedName name="liq" localSheetId="1" hidden="1">{#N/A,#N/A,FALSE,"VOL"}</definedName>
    <definedName name="liq" localSheetId="6" hidden="1">{#N/A,#N/A,FALSE,"VOL"}</definedName>
    <definedName name="liq" localSheetId="9" hidden="1">{#N/A,#N/A,FALSE,"VOL"}</definedName>
    <definedName name="liq" localSheetId="8"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12" hidden="1">{#N/A,#N/A,FALSE,"Aging Summary";#N/A,#N/A,FALSE,"Ratio Analysis";#N/A,#N/A,FALSE,"Test 120 Day Accts";#N/A,#N/A,FALSE,"Tickmarks"}</definedName>
    <definedName name="new" localSheetId="13" hidden="1">{#N/A,#N/A,FALSE,"Aging Summary";#N/A,#N/A,FALSE,"Ratio Analysis";#N/A,#N/A,FALSE,"Test 120 Day Accts";#N/A,#N/A,FALSE,"Tickmarks"}</definedName>
    <definedName name="new" localSheetId="3"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9"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6" hidden="1">#REF!</definedName>
    <definedName name="ngughuiyhuhhhhhhhhhhhhhhhhhh" localSheetId="9" hidden="1">#REF!</definedName>
    <definedName name="ngughuiyhuhhhhhhhhhhhhhhhhhh" localSheetId="8" hidden="1">#REF!</definedName>
    <definedName name="ngughuiyhuhhhhhhhhhhhhhhhhhh" hidden="1">#REF!</definedName>
    <definedName name="njkhoikh" localSheetId="1" hidden="1">#REF!</definedName>
    <definedName name="njkhoikh" localSheetId="6" hidden="1">#REF!</definedName>
    <definedName name="njkhoikh" localSheetId="9" hidden="1">#REF!</definedName>
    <definedName name="njkhoikh" localSheetId="8" hidden="1">#REF!</definedName>
    <definedName name="njkhoikh" hidden="1">#REF!</definedName>
    <definedName name="nmm" localSheetId="12" hidden="1">{#N/A,#N/A,FALSE,"VOL"}</definedName>
    <definedName name="nmm" localSheetId="13" hidden="1">{#N/A,#N/A,FALSE,"VOL"}</definedName>
    <definedName name="nmm" localSheetId="3" hidden="1">{#N/A,#N/A,FALSE,"VOL"}</definedName>
    <definedName name="nmm" localSheetId="5" hidden="1">{#N/A,#N/A,FALSE,"VOL"}</definedName>
    <definedName name="nmm" localSheetId="1" hidden="1">{#N/A,#N/A,FALSE,"VOL"}</definedName>
    <definedName name="nmm" localSheetId="6" hidden="1">{#N/A,#N/A,FALSE,"VOL"}</definedName>
    <definedName name="nmm" localSheetId="9" hidden="1">{#N/A,#N/A,FALSE,"VOL"}</definedName>
    <definedName name="nmm" localSheetId="8" hidden="1">{#N/A,#N/A,FALSE,"VOL"}</definedName>
    <definedName name="nmm" localSheetId="4" hidden="1">{#N/A,#N/A,FALSE,"VOL"}</definedName>
    <definedName name="nmm" hidden="1">{#N/A,#N/A,FALSE,"VOL"}</definedName>
    <definedName name="NO" localSheetId="12" hidden="1">{#N/A,#N/A,FALSE,"VOL"}</definedName>
    <definedName name="NO" localSheetId="13" hidden="1">{#N/A,#N/A,FALSE,"VOL"}</definedName>
    <definedName name="NO" localSheetId="3" hidden="1">{#N/A,#N/A,FALSE,"VOL"}</definedName>
    <definedName name="NO" localSheetId="5" hidden="1">{#N/A,#N/A,FALSE,"VOL"}</definedName>
    <definedName name="NO" localSheetId="1" hidden="1">{#N/A,#N/A,FALSE,"VOL"}</definedName>
    <definedName name="NO" localSheetId="6" hidden="1">{#N/A,#N/A,FALSE,"VOL"}</definedName>
    <definedName name="NO" localSheetId="9" hidden="1">{#N/A,#N/A,FALSE,"VOL"}</definedName>
    <definedName name="NO" localSheetId="8"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ñfdsl" localSheetId="6">#REF!</definedName>
    <definedName name="ñfdsl" localSheetId="9">#REF!</definedName>
    <definedName name="ñfdsl" localSheetId="8">#REF!</definedName>
    <definedName name="ñfdsl">#REF!</definedName>
    <definedName name="ññ" localSheetId="6">#REF!</definedName>
    <definedName name="ññ" localSheetId="9">#REF!</definedName>
    <definedName name="ññ" localSheetId="8">#REF!</definedName>
    <definedName name="ññ">#REF!</definedName>
    <definedName name="OLE_LINK1" localSheetId="9">'Nota 5'!$B$20</definedName>
    <definedName name="OLE_LINK1" localSheetId="8">'Nota 6 a Nota 12'!#REF!</definedName>
    <definedName name="OPPROD" localSheetId="1">#REF!</definedName>
    <definedName name="OPPROD" localSheetId="6">#REF!</definedName>
    <definedName name="OPPROD" localSheetId="9">#REF!</definedName>
    <definedName name="OPPROD" localSheetId="8">#REF!</definedName>
    <definedName name="OPPROD" localSheetId="4">#REF!</definedName>
    <definedName name="OPPROD">#REF!</definedName>
    <definedName name="opt" localSheetId="1">#REF!</definedName>
    <definedName name="opt" localSheetId="6">#REF!</definedName>
    <definedName name="opt" localSheetId="9">#REF!</definedName>
    <definedName name="opt" localSheetId="8">#REF!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PS_Test_de_Gastos" localSheetId="6">#REF!</definedName>
    <definedName name="PS_Test_de_Gastos" localSheetId="9">#REF!</definedName>
    <definedName name="PS_Test_de_Gastos" localSheetId="8">#REF!</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12" hidden="1">{#N/A,#N/A,FALSE,"VOL"}</definedName>
    <definedName name="wrn.Volumen." localSheetId="13" hidden="1">{#N/A,#N/A,FALSE,"VOL"}</definedName>
    <definedName name="wrn.Volumen." localSheetId="3" hidden="1">{#N/A,#N/A,FALSE,"VOL"}</definedName>
    <definedName name="wrn.Volumen." localSheetId="5" hidden="1">{#N/A,#N/A,FALSE,"VOL"}</definedName>
    <definedName name="wrn.Volumen." localSheetId="1" hidden="1">{#N/A,#N/A,FALSE,"VOL"}</definedName>
    <definedName name="wrn.Volumen." localSheetId="6" hidden="1">{#N/A,#N/A,FALSE,"VOL"}</definedName>
    <definedName name="wrn.Volumen." localSheetId="9" hidden="1">{#N/A,#N/A,FALSE,"VOL"}</definedName>
    <definedName name="wrn.Volumen." localSheetId="8"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VPN!#REF!</definedName>
    <definedName name="XREF_COLUMN_12" localSheetId="1" hidden="1">#REF!</definedName>
    <definedName name="XREF_COLUMN_12" localSheetId="4" hidden="1">VPN!#REF!</definedName>
    <definedName name="XREF_COLUMN_12" hidden="1">#REF!</definedName>
    <definedName name="XREF_COLUMN_13" localSheetId="1" hidden="1">#REF!</definedName>
    <definedName name="XREF_COLUMN_13" localSheetId="4" hidden="1">VPN!#REF!</definedName>
    <definedName name="XREF_COLUMN_13" hidden="1">#REF!</definedName>
    <definedName name="XREF_COLUMN_14" localSheetId="1" hidden="1">#REF!</definedName>
    <definedName name="XREF_COLUMN_14" localSheetId="4" hidden="1">VPN!$R:$R</definedName>
    <definedName name="XREF_COLUMN_14" hidden="1">#REF!</definedName>
    <definedName name="XREF_COLUMN_15" localSheetId="1"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VPN!$D:$D</definedName>
    <definedName name="XREF_COLUMN_7" localSheetId="1" hidden="1">#REF!</definedName>
    <definedName name="XREF_COLUMN_7" hidden="1">#REF!</definedName>
    <definedName name="XREF_COLUMN_9" localSheetId="1"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VPN!#REF!</definedName>
    <definedName name="XRefCopy70" localSheetId="1" hidden="1">#REF!</definedName>
    <definedName name="XRefCopy70" hidden="1">#REF!</definedName>
    <definedName name="XRefCopy70Row" localSheetId="1"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1" hidden="1">#REF!</definedName>
    <definedName name="XRefCopy75" localSheetId="4" hidden="1">VPN!#REF!</definedName>
    <definedName name="XRefCopy75" hidden="1">#REF!</definedName>
    <definedName name="XRefCopy75Row" localSheetId="1" hidden="1">#REF!</definedName>
    <definedName name="XRefCopy75Row" localSheetId="4" hidden="1">#REF!</definedName>
    <definedName name="XRefCopy75Row" hidden="1">#REF!</definedName>
    <definedName name="XRefCopy76" localSheetId="1" hidden="1">#REF!</definedName>
    <definedName name="XRefCopy76" localSheetId="4" hidden="1">VPN!#REF!</definedName>
    <definedName name="XRefCopy76" hidden="1">#REF!</definedName>
    <definedName name="XRefCopy76Row" localSheetId="1"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VPN!#REF!</definedName>
    <definedName name="XRefCopy80Row" localSheetId="1" hidden="1">#REF!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VPN!#REF!</definedName>
    <definedName name="XRefCopy90" localSheetId="1" hidden="1">#REF!</definedName>
    <definedName name="XRefCopy90" hidden="1">#REF!</definedName>
    <definedName name="XRefCopy90Row" localSheetId="1"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1" hidden="1">#REF!</definedName>
    <definedName name="XRefPaste18" localSheetId="4" hidden="1">VPN!#REF!</definedName>
    <definedName name="XRefPaste18" hidden="1">#REF!</definedName>
    <definedName name="XRefPaste18Row" localSheetId="1"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VPN!#REF!</definedName>
    <definedName name="XRefPaste50" localSheetId="1" hidden="1">#REF!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5FCC9217_B3E9_4B91_A943_5F21728EBEE9_.wvu.FilterData" localSheetId="13" hidden="1">Clasificaciones!$A$4:$J$887</definedName>
    <definedName name="Z_5FCC9217_B3E9_4B91_A943_5F21728EBEE9_.wvu.PrintArea" localSheetId="2" hidden="1">BG!$B$10:$L$95</definedName>
    <definedName name="Z_5FCC9217_B3E9_4B91_A943_5F21728EBEE9_.wvu.PrintArea" localSheetId="3" hidden="1">EERR!$B$10:$G$101</definedName>
    <definedName name="Z_5FCC9217_B3E9_4B91_A943_5F21728EBEE9_.wvu.PrintArea" localSheetId="5" hidden="1">EFE!$A$9:$G$63</definedName>
    <definedName name="Z_5FCC9217_B3E9_4B91_A943_5F21728EBEE9_.wvu.PrintArea" localSheetId="6" hidden="1">'Nota 1 a Nota 4'!$A$10:$L$107</definedName>
    <definedName name="Z_5FCC9217_B3E9_4B91_A943_5F21728EBEE9_.wvu.PrintArea" localSheetId="9" hidden="1">'Nota 5'!$A$9:$I$966</definedName>
    <definedName name="Z_5FCC9217_B3E9_4B91_A943_5F21728EBEE9_.wvu.PrintArea" localSheetId="8" hidden="1">'Nota 6 a Nota 12'!$A$9:$I$48</definedName>
    <definedName name="Z_5FCC9217_B3E9_4B91_A943_5F21728EBEE9_.wvu.PrintArea" localSheetId="4" hidden="1">VPN!$B$9:$M$39</definedName>
    <definedName name="Z_5FCC9217_B3E9_4B91_A943_5F21728EBEE9_.wvu.Rows" localSheetId="5" hidden="1">EFE!$35:$35</definedName>
    <definedName name="Z_7015FC6D_0680_4B00_AA0E_B83DA1D0B666_.wvu.FilterData" localSheetId="13" hidden="1">Clasificaciones!$A$4:$J$887</definedName>
    <definedName name="Z_7015FC6D_0680_4B00_AA0E_B83DA1D0B666_.wvu.PrintArea" localSheetId="2" hidden="1">BG!$B$10:$L$95</definedName>
    <definedName name="Z_7015FC6D_0680_4B00_AA0E_B83DA1D0B666_.wvu.PrintArea" localSheetId="3" hidden="1">EERR!$B$10:$G$101</definedName>
    <definedName name="Z_7015FC6D_0680_4B00_AA0E_B83DA1D0B666_.wvu.PrintArea" localSheetId="5" hidden="1">EFE!$A$9:$G$63</definedName>
    <definedName name="Z_7015FC6D_0680_4B00_AA0E_B83DA1D0B666_.wvu.PrintArea" localSheetId="6" hidden="1">'Nota 1 a Nota 4'!$A$10:$L$107</definedName>
    <definedName name="Z_7015FC6D_0680_4B00_AA0E_B83DA1D0B666_.wvu.PrintArea" localSheetId="9" hidden="1">'Nota 5'!$A$9:$I$966</definedName>
    <definedName name="Z_7015FC6D_0680_4B00_AA0E_B83DA1D0B666_.wvu.PrintArea" localSheetId="8" hidden="1">'Nota 6 a Nota 12'!$A$9:$I$48</definedName>
    <definedName name="Z_7015FC6D_0680_4B00_AA0E_B83DA1D0B666_.wvu.PrintArea" localSheetId="4" hidden="1">VPN!$B$9:$M$39</definedName>
    <definedName name="Z_7015FC6D_0680_4B00_AA0E_B83DA1D0B666_.wvu.Rows" localSheetId="5" hidden="1">EFE!$35:$35</definedName>
    <definedName name="Z_970CBB53_F4B3_462F_AEFE_2BC403F5F0AD_.wvu.PrintArea" localSheetId="6" hidden="1">'Nota 1 a Nota 4'!$A$10:$L$107</definedName>
    <definedName name="Z_970CBB53_F4B3_462F_AEFE_2BC403F5F0AD_.wvu.PrintArea" localSheetId="9" hidden="1">'Nota 5'!$A$9:$I$966</definedName>
    <definedName name="Z_970CBB53_F4B3_462F_AEFE_2BC403F5F0AD_.wvu.PrintArea" localSheetId="8" hidden="1">'Nota 6 a Nota 12'!$A$9:$I$48</definedName>
    <definedName name="Z_B9F63820_5C32_455A_BC9D_0BE84D6B0867_.wvu.FilterData" localSheetId="13" hidden="1">Clasificaciones!$A$4:$J$887</definedName>
    <definedName name="Z_B9F63820_5C32_455A_BC9D_0BE84D6B0867_.wvu.PrintArea" localSheetId="2" hidden="1">BG!$B$10:$L$95</definedName>
    <definedName name="Z_B9F63820_5C32_455A_BC9D_0BE84D6B0867_.wvu.PrintArea" localSheetId="3" hidden="1">EERR!$B$10:$G$101</definedName>
    <definedName name="Z_B9F63820_5C32_455A_BC9D_0BE84D6B0867_.wvu.PrintArea" localSheetId="5" hidden="1">EFE!$A$9:$G$63</definedName>
    <definedName name="Z_B9F63820_5C32_455A_BC9D_0BE84D6B0867_.wvu.PrintArea" localSheetId="4" hidden="1">VPN!$B$9:$M$39</definedName>
    <definedName name="Z_B9F63820_5C32_455A_BC9D_0BE84D6B0867_.wvu.Rows" localSheetId="5" hidden="1">EFE!$35:$35</definedName>
    <definedName name="Z_F3648BCD_1CED_4BBB_AE63_37BDB925883F_.wvu.FilterData" localSheetId="13" hidden="1">Clasificaciones!$A$4:$J$887</definedName>
    <definedName name="Z_F3648BCD_1CED_4BBB_AE63_37BDB925883F_.wvu.PrintArea" localSheetId="2" hidden="1">BG!$B$10:$L$95</definedName>
    <definedName name="Z_F3648BCD_1CED_4BBB_AE63_37BDB925883F_.wvu.PrintArea" localSheetId="3" hidden="1">EERR!$B$10:$G$101</definedName>
    <definedName name="Z_F3648BCD_1CED_4BBB_AE63_37BDB925883F_.wvu.PrintArea" localSheetId="5" hidden="1">EFE!$A$9:$G$63</definedName>
    <definedName name="Z_F3648BCD_1CED_4BBB_AE63_37BDB925883F_.wvu.PrintArea" localSheetId="6" hidden="1">'Nota 1 a Nota 4'!$A$10:$L$107</definedName>
    <definedName name="Z_F3648BCD_1CED_4BBB_AE63_37BDB925883F_.wvu.PrintArea" localSheetId="9" hidden="1">'Nota 5'!$A$9:$I$966</definedName>
    <definedName name="Z_F3648BCD_1CED_4BBB_AE63_37BDB925883F_.wvu.PrintArea" localSheetId="8" hidden="1">'Nota 6 a Nota 12'!$A$9:$I$48</definedName>
    <definedName name="Z_F3648BCD_1CED_4BBB_AE63_37BDB925883F_.wvu.PrintArea" localSheetId="4" hidden="1">VPN!$B$9:$M$39</definedName>
    <definedName name="Z_F3648BCD_1CED_4BBB_AE63_37BDB925883F_.wvu.Rows" localSheetId="5" hidden="1">EFE!$35:$35</definedName>
    <definedName name="zdfd" localSheetId="1" hidden="1">#REF!</definedName>
    <definedName name="zdfd" localSheetId="6" hidden="1">#REF!</definedName>
    <definedName name="zdfd" localSheetId="9" hidden="1">#REF!</definedName>
    <definedName name="zdfd" localSheetId="8"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7" i="6" l="1"/>
  <c r="C396" i="6"/>
  <c r="C395" i="6"/>
  <c r="C394" i="6"/>
  <c r="C393" i="6"/>
  <c r="C392" i="6"/>
  <c r="C391" i="6"/>
  <c r="C390" i="6"/>
  <c r="C389" i="6"/>
  <c r="C388" i="6"/>
  <c r="C387" i="6"/>
  <c r="C386" i="6"/>
  <c r="C385" i="6"/>
  <c r="C384" i="6"/>
  <c r="C382" i="6"/>
  <c r="C381" i="6"/>
  <c r="C380" i="6"/>
  <c r="C379" i="6"/>
  <c r="C378" i="6"/>
  <c r="C377" i="6"/>
  <c r="C329" i="6"/>
  <c r="C327" i="6"/>
  <c r="C326" i="6"/>
  <c r="C325" i="6"/>
  <c r="C324" i="6"/>
  <c r="C323" i="6"/>
  <c r="C322" i="6"/>
  <c r="C321" i="6"/>
  <c r="C320" i="6"/>
  <c r="C319" i="6"/>
  <c r="C318" i="6"/>
  <c r="C317" i="6"/>
  <c r="C316" i="6"/>
  <c r="C315" i="6"/>
  <c r="C314" i="6"/>
  <c r="C313" i="6"/>
  <c r="C312" i="6"/>
  <c r="C311" i="6"/>
  <c r="C227" i="6"/>
  <c r="C226" i="6"/>
  <c r="C225" i="6"/>
  <c r="C223" i="6"/>
  <c r="C222" i="6"/>
  <c r="C221" i="6"/>
  <c r="C219" i="6"/>
  <c r="C218" i="6"/>
  <c r="C217" i="6"/>
  <c r="C116" i="6"/>
  <c r="C117" i="6"/>
  <c r="C122" i="6"/>
  <c r="C123" i="6"/>
  <c r="C127" i="6"/>
  <c r="C132" i="6"/>
  <c r="C133" i="6"/>
  <c r="C134" i="6"/>
  <c r="C140" i="6"/>
  <c r="C145" i="6"/>
  <c r="C147" i="6"/>
  <c r="C148" i="6"/>
  <c r="C149" i="6"/>
  <c r="C151" i="6"/>
  <c r="C176" i="6"/>
  <c r="C177" i="6"/>
  <c r="C181" i="6"/>
  <c r="C188" i="6"/>
  <c r="C195" i="6"/>
  <c r="C196" i="6"/>
  <c r="C197" i="6"/>
  <c r="C198" i="6"/>
  <c r="C233" i="6"/>
  <c r="C235" i="6"/>
  <c r="C240" i="6"/>
  <c r="C241" i="6"/>
  <c r="C245" i="6"/>
  <c r="C250" i="6"/>
  <c r="C251" i="6"/>
  <c r="C252" i="6"/>
  <c r="C353" i="6"/>
  <c r="C354" i="6"/>
  <c r="C365" i="6"/>
  <c r="C368" i="6"/>
  <c r="C369" i="6"/>
  <c r="C371" i="6"/>
  <c r="C372" i="6"/>
  <c r="C373" i="6"/>
  <c r="C400" i="6"/>
  <c r="C402" i="6"/>
  <c r="C403" i="6"/>
  <c r="C404" i="6"/>
  <c r="C405" i="6"/>
  <c r="C413" i="6"/>
  <c r="C416" i="6"/>
  <c r="C417" i="6"/>
  <c r="C418" i="6"/>
  <c r="C421" i="6"/>
  <c r="C422" i="6"/>
  <c r="C441" i="6"/>
  <c r="C442" i="6"/>
  <c r="C443" i="6"/>
  <c r="C445" i="6"/>
  <c r="C446" i="6"/>
  <c r="C447" i="6"/>
  <c r="C449" i="6"/>
  <c r="C451" i="6"/>
  <c r="C452" i="6"/>
  <c r="C463" i="6"/>
  <c r="C465" i="6"/>
  <c r="C468" i="6"/>
  <c r="C472" i="6"/>
  <c r="C473" i="6"/>
  <c r="C479" i="6"/>
  <c r="C481" i="6"/>
  <c r="C482" i="6"/>
  <c r="C483" i="6"/>
  <c r="C484" i="6"/>
  <c r="C486" i="6"/>
  <c r="Q488" i="6"/>
  <c r="L488" i="6"/>
  <c r="K49" i="30" l="1"/>
  <c r="K48" i="30"/>
  <c r="K47" i="30"/>
  <c r="K46" i="30"/>
  <c r="K43" i="30"/>
  <c r="K41" i="30"/>
  <c r="K40" i="30"/>
  <c r="K39" i="30"/>
  <c r="K29" i="30"/>
  <c r="K28" i="30"/>
  <c r="K27" i="30"/>
  <c r="K26" i="30"/>
  <c r="K24" i="30"/>
  <c r="K23" i="30"/>
  <c r="K22" i="30"/>
  <c r="K21" i="30"/>
  <c r="K19" i="30"/>
  <c r="K18" i="30"/>
  <c r="K17" i="30"/>
  <c r="K16" i="30"/>
  <c r="I70" i="14" l="1"/>
  <c r="J46" i="5" l="1"/>
  <c r="D50" i="9"/>
  <c r="D51" i="9"/>
  <c r="D858" i="9" l="1"/>
  <c r="C858" i="9"/>
  <c r="E858" i="9" s="1"/>
  <c r="D856" i="9"/>
  <c r="C856" i="9"/>
  <c r="E856" i="9" s="1"/>
  <c r="F854" i="9"/>
  <c r="C855" i="9"/>
  <c r="C853" i="9"/>
  <c r="D853" i="9" s="1"/>
  <c r="H741" i="9"/>
  <c r="F569" i="9"/>
  <c r="D569" i="9"/>
  <c r="G345" i="9"/>
  <c r="E20" i="7"/>
  <c r="L38" i="3"/>
  <c r="F858" i="9" l="1"/>
  <c r="F856" i="9"/>
  <c r="D855" i="9"/>
  <c r="F855" i="9" s="1"/>
  <c r="F853" i="9"/>
  <c r="I690" i="30"/>
  <c r="I689" i="30"/>
  <c r="I688" i="30"/>
  <c r="I687" i="30"/>
  <c r="I686" i="30"/>
  <c r="I685" i="30"/>
  <c r="I684" i="30"/>
  <c r="I683" i="30"/>
  <c r="I682" i="30"/>
  <c r="I681" i="30"/>
  <c r="I680" i="30"/>
  <c r="I679" i="30"/>
  <c r="I678" i="30"/>
  <c r="I677" i="30"/>
  <c r="I676" i="30"/>
  <c r="I675" i="30"/>
  <c r="I674" i="30"/>
  <c r="I673" i="30"/>
  <c r="I672" i="30"/>
  <c r="I671" i="30"/>
  <c r="I670" i="30"/>
  <c r="I669" i="30"/>
  <c r="I668" i="30"/>
  <c r="I667" i="30"/>
  <c r="I666" i="30"/>
  <c r="I665" i="30"/>
  <c r="I664" i="30"/>
  <c r="I663" i="30"/>
  <c r="I662" i="30"/>
  <c r="I661" i="30"/>
  <c r="I660" i="30"/>
  <c r="I659" i="30"/>
  <c r="I658" i="30"/>
  <c r="I657" i="30"/>
  <c r="I656" i="30"/>
  <c r="I655" i="30"/>
  <c r="I654" i="30"/>
  <c r="I653" i="30"/>
  <c r="I652" i="30"/>
  <c r="I651" i="30"/>
  <c r="I650" i="30"/>
  <c r="I649" i="30"/>
  <c r="I648" i="30"/>
  <c r="I647" i="30"/>
  <c r="I646" i="30"/>
  <c r="I645" i="30"/>
  <c r="I644" i="30"/>
  <c r="I643" i="30"/>
  <c r="I642" i="30"/>
  <c r="I641" i="30"/>
  <c r="I640" i="30"/>
  <c r="I639" i="30"/>
  <c r="I638" i="30"/>
  <c r="I637" i="30"/>
  <c r="I636" i="30"/>
  <c r="I635" i="30"/>
  <c r="I634" i="30"/>
  <c r="I633" i="30"/>
  <c r="I632" i="30"/>
  <c r="I631" i="30"/>
  <c r="I630" i="30"/>
  <c r="I629" i="30"/>
  <c r="I628" i="30"/>
  <c r="I627" i="30"/>
  <c r="I626" i="30"/>
  <c r="I625" i="30"/>
  <c r="I624" i="30"/>
  <c r="I623" i="30"/>
  <c r="I622" i="30"/>
  <c r="I621" i="30"/>
  <c r="I620" i="30"/>
  <c r="I619" i="30"/>
  <c r="I618" i="30"/>
  <c r="I617" i="30"/>
  <c r="I616" i="30"/>
  <c r="I615" i="30"/>
  <c r="I614" i="30"/>
  <c r="I613" i="30"/>
  <c r="I612" i="30"/>
  <c r="I611" i="30"/>
  <c r="I610" i="30"/>
  <c r="I609" i="30"/>
  <c r="I608" i="30"/>
  <c r="I607" i="30"/>
  <c r="I606" i="30"/>
  <c r="I605" i="30"/>
  <c r="I604" i="30"/>
  <c r="I603" i="30"/>
  <c r="I602" i="30"/>
  <c r="I601" i="30"/>
  <c r="I600" i="30"/>
  <c r="I599" i="30"/>
  <c r="I598" i="30"/>
  <c r="I597" i="30"/>
  <c r="I596" i="30"/>
  <c r="I595" i="30"/>
  <c r="I594" i="30"/>
  <c r="I593" i="30"/>
  <c r="I592" i="30"/>
  <c r="I591" i="30"/>
  <c r="I590" i="30"/>
  <c r="I589" i="30"/>
  <c r="I588" i="30"/>
  <c r="I587" i="30"/>
  <c r="I586" i="30"/>
  <c r="I585" i="30"/>
  <c r="I584" i="30"/>
  <c r="I583" i="30"/>
  <c r="I582" i="30"/>
  <c r="I581" i="30"/>
  <c r="I580" i="30"/>
  <c r="I579" i="30"/>
  <c r="I578" i="30"/>
  <c r="I577" i="30"/>
  <c r="I576" i="30"/>
  <c r="I575" i="30"/>
  <c r="I574" i="30"/>
  <c r="I573" i="30"/>
  <c r="I572" i="30"/>
  <c r="I571" i="30"/>
  <c r="I570" i="30"/>
  <c r="I569" i="30"/>
  <c r="I568" i="30"/>
  <c r="I567" i="30"/>
  <c r="I566" i="30"/>
  <c r="I565" i="30"/>
  <c r="I564" i="30"/>
  <c r="I563" i="30"/>
  <c r="I562" i="30"/>
  <c r="I561" i="30"/>
  <c r="I560" i="30"/>
  <c r="I559" i="30"/>
  <c r="I558" i="30"/>
  <c r="I557" i="30"/>
  <c r="I556" i="30"/>
  <c r="I555" i="30"/>
  <c r="I554" i="30"/>
  <c r="I553" i="30"/>
  <c r="I552" i="30"/>
  <c r="I551" i="30"/>
  <c r="I550" i="30"/>
  <c r="I549" i="30"/>
  <c r="I548" i="30"/>
  <c r="I547" i="30"/>
  <c r="I546" i="30"/>
  <c r="M545" i="30"/>
  <c r="M544" i="30"/>
  <c r="M543" i="30"/>
  <c r="M542" i="30"/>
  <c r="M541" i="30"/>
  <c r="M540" i="30"/>
  <c r="M539" i="30"/>
  <c r="M538" i="30"/>
  <c r="M537" i="30"/>
  <c r="M536" i="30"/>
  <c r="M535" i="30"/>
  <c r="M534" i="30"/>
  <c r="M533" i="30"/>
  <c r="M532" i="30"/>
  <c r="M531" i="30"/>
  <c r="I545" i="30"/>
  <c r="I544" i="30"/>
  <c r="I543" i="30"/>
  <c r="I542" i="30"/>
  <c r="I541" i="30"/>
  <c r="I540" i="30"/>
  <c r="I539" i="30"/>
  <c r="I538" i="30"/>
  <c r="I537" i="30"/>
  <c r="I536" i="30"/>
  <c r="I535" i="30"/>
  <c r="I534" i="30"/>
  <c r="I533" i="30"/>
  <c r="I532" i="30"/>
  <c r="I531" i="30"/>
  <c r="G634" i="9" l="1"/>
  <c r="G633" i="9"/>
  <c r="G632" i="9"/>
  <c r="F786" i="9" l="1"/>
  <c r="D400" i="6" l="1"/>
  <c r="I76" i="14"/>
  <c r="D955" i="9"/>
  <c r="D950" i="9"/>
  <c r="D943" i="9"/>
  <c r="K713" i="30"/>
  <c r="G752" i="30"/>
  <c r="C897" i="9" s="1"/>
  <c r="G757" i="30"/>
  <c r="C901" i="9" s="1"/>
  <c r="C857" i="9"/>
  <c r="F857" i="9" s="1"/>
  <c r="F859" i="9" s="1"/>
  <c r="D859" i="9" l="1"/>
  <c r="E859" i="9"/>
  <c r="C859" i="9"/>
  <c r="E646" i="9" l="1"/>
  <c r="E648" i="9" s="1"/>
  <c r="F653" i="9"/>
  <c r="F654" i="9"/>
  <c r="F647" i="9"/>
  <c r="F645" i="9"/>
  <c r="D648" i="9"/>
  <c r="C648" i="9"/>
  <c r="F655" i="9" l="1"/>
  <c r="F646" i="9"/>
  <c r="F648" i="9" s="1"/>
  <c r="L633" i="9"/>
  <c r="L632" i="9"/>
  <c r="L635" i="9"/>
  <c r="L634" i="9"/>
  <c r="C636" i="9"/>
  <c r="D636" i="9"/>
  <c r="E120" i="9"/>
  <c r="L636" i="9" l="1"/>
  <c r="I112" i="21" l="1"/>
  <c r="H112" i="21"/>
  <c r="G112" i="21"/>
  <c r="J111" i="21"/>
  <c r="J112" i="21" s="1"/>
  <c r="I106" i="21"/>
  <c r="H106" i="21"/>
  <c r="G106" i="21"/>
  <c r="J105" i="21"/>
  <c r="N105" i="21" s="1"/>
  <c r="J104" i="21"/>
  <c r="N104" i="21" s="1"/>
  <c r="J103" i="21"/>
  <c r="N103" i="21" s="1"/>
  <c r="J102" i="21"/>
  <c r="N102" i="21" s="1"/>
  <c r="N101" i="21"/>
  <c r="J101" i="21"/>
  <c r="J100" i="21"/>
  <c r="N100" i="21" s="1"/>
  <c r="J99" i="21"/>
  <c r="N99" i="21" s="1"/>
  <c r="J98" i="21"/>
  <c r="N98" i="21" s="1"/>
  <c r="N97" i="21"/>
  <c r="J97" i="21"/>
  <c r="J96" i="21"/>
  <c r="N96" i="21" s="1"/>
  <c r="J95" i="21"/>
  <c r="N95" i="21" s="1"/>
  <c r="J94" i="21"/>
  <c r="N94" i="21" s="1"/>
  <c r="N93" i="21"/>
  <c r="J93" i="21"/>
  <c r="J92" i="21"/>
  <c r="N92" i="21" s="1"/>
  <c r="J91" i="21"/>
  <c r="N91" i="21" s="1"/>
  <c r="J90" i="21"/>
  <c r="N90" i="21" s="1"/>
  <c r="N89" i="21"/>
  <c r="J89" i="21"/>
  <c r="J88" i="21"/>
  <c r="N88" i="21" s="1"/>
  <c r="J87" i="21"/>
  <c r="N87" i="21" s="1"/>
  <c r="J86" i="21"/>
  <c r="N86" i="21" s="1"/>
  <c r="N85" i="21"/>
  <c r="J85" i="21"/>
  <c r="J84" i="21"/>
  <c r="N84" i="21" s="1"/>
  <c r="J83" i="21"/>
  <c r="N83" i="21" s="1"/>
  <c r="J82" i="21"/>
  <c r="N82" i="21" s="1"/>
  <c r="N81" i="21"/>
  <c r="J81" i="21"/>
  <c r="J80" i="21"/>
  <c r="N80" i="21" s="1"/>
  <c r="J79" i="21"/>
  <c r="N79" i="21" s="1"/>
  <c r="J78" i="21"/>
  <c r="N78" i="21" s="1"/>
  <c r="N77" i="21"/>
  <c r="J77" i="21"/>
  <c r="J76" i="21"/>
  <c r="N76" i="21" s="1"/>
  <c r="J75" i="21"/>
  <c r="N75" i="21" s="1"/>
  <c r="J74" i="21"/>
  <c r="N74" i="21" s="1"/>
  <c r="N73" i="21"/>
  <c r="J73" i="21"/>
  <c r="J72" i="21"/>
  <c r="N72" i="21" s="1"/>
  <c r="J71" i="21"/>
  <c r="N71" i="21" s="1"/>
  <c r="J70" i="21"/>
  <c r="N70" i="21" s="1"/>
  <c r="N69" i="21"/>
  <c r="J69" i="21"/>
  <c r="J68" i="21"/>
  <c r="N68" i="21" s="1"/>
  <c r="J67" i="21"/>
  <c r="N67" i="21" s="1"/>
  <c r="J66" i="21"/>
  <c r="N66" i="21" s="1"/>
  <c r="N65" i="21"/>
  <c r="J65" i="21"/>
  <c r="J64" i="21"/>
  <c r="N64" i="21" s="1"/>
  <c r="J63" i="21"/>
  <c r="J106" i="21" s="1"/>
  <c r="J62" i="21"/>
  <c r="N62" i="21" s="1"/>
  <c r="I58" i="21"/>
  <c r="H58" i="21"/>
  <c r="G58" i="21"/>
  <c r="J57" i="21"/>
  <c r="N57" i="21" s="1"/>
  <c r="J56" i="21"/>
  <c r="N56" i="21" s="1"/>
  <c r="N55" i="21"/>
  <c r="J55" i="21"/>
  <c r="J54" i="21"/>
  <c r="N54" i="21" s="1"/>
  <c r="J53" i="21"/>
  <c r="N53" i="21" s="1"/>
  <c r="J52" i="21"/>
  <c r="N52" i="21" s="1"/>
  <c r="N51" i="21"/>
  <c r="J51" i="21"/>
  <c r="J50" i="21"/>
  <c r="N50" i="21" s="1"/>
  <c r="J49" i="21"/>
  <c r="N49" i="21" s="1"/>
  <c r="J48" i="21"/>
  <c r="N48" i="21" s="1"/>
  <c r="N47" i="21"/>
  <c r="J47" i="21"/>
  <c r="J46" i="21"/>
  <c r="N46" i="21" s="1"/>
  <c r="J45" i="21"/>
  <c r="N45" i="21" s="1"/>
  <c r="J44" i="21"/>
  <c r="N44" i="21" s="1"/>
  <c r="N43" i="21"/>
  <c r="J43" i="21"/>
  <c r="J42" i="21"/>
  <c r="N42" i="21" s="1"/>
  <c r="J41" i="21"/>
  <c r="N41" i="21" s="1"/>
  <c r="J40" i="21"/>
  <c r="N40" i="21" s="1"/>
  <c r="N39" i="21"/>
  <c r="J39" i="21"/>
  <c r="J38" i="21"/>
  <c r="N38" i="21" s="1"/>
  <c r="J37" i="21"/>
  <c r="J58" i="21" s="1"/>
  <c r="I34" i="21"/>
  <c r="H34" i="21"/>
  <c r="G34" i="21"/>
  <c r="N33" i="21"/>
  <c r="J33" i="21"/>
  <c r="J34" i="21" s="1"/>
  <c r="J29" i="21"/>
  <c r="I29" i="21"/>
  <c r="H29" i="21"/>
  <c r="G29" i="21"/>
  <c r="N28" i="21"/>
  <c r="J28" i="21"/>
  <c r="N25" i="21"/>
  <c r="J25" i="21"/>
  <c r="I25" i="21"/>
  <c r="H25" i="21"/>
  <c r="G25" i="21"/>
  <c r="I21" i="21"/>
  <c r="H21" i="21"/>
  <c r="G21" i="21"/>
  <c r="N20" i="21"/>
  <c r="J20" i="21"/>
  <c r="J21" i="21" s="1"/>
  <c r="J17" i="21"/>
  <c r="I17" i="21"/>
  <c r="H17" i="21"/>
  <c r="G17" i="21"/>
  <c r="N16" i="21"/>
  <c r="J16" i="21"/>
  <c r="N15" i="21"/>
  <c r="J15" i="21"/>
  <c r="N14" i="21"/>
  <c r="J14" i="21"/>
  <c r="N13" i="21"/>
  <c r="J13" i="21"/>
  <c r="N12" i="21"/>
  <c r="J12" i="21"/>
  <c r="N11" i="21"/>
  <c r="J11" i="21"/>
  <c r="N10" i="21"/>
  <c r="J10" i="21"/>
  <c r="N9" i="21"/>
  <c r="J9" i="21"/>
  <c r="N111" i="21" l="1"/>
  <c r="N37" i="21"/>
  <c r="N63" i="21"/>
  <c r="D120" i="9" l="1"/>
  <c r="F64" i="9" l="1"/>
  <c r="E63" i="9"/>
  <c r="E62" i="9"/>
  <c r="E60" i="9"/>
  <c r="E59" i="9"/>
  <c r="C59" i="9"/>
  <c r="C63" i="9"/>
  <c r="C62" i="9"/>
  <c r="C60" i="9"/>
  <c r="H52" i="9"/>
  <c r="G50" i="9"/>
  <c r="G51" i="9"/>
  <c r="G48" i="9"/>
  <c r="G46" i="9"/>
  <c r="G45" i="9"/>
  <c r="G44" i="9"/>
  <c r="H40" i="9"/>
  <c r="G39" i="9"/>
  <c r="G38" i="9"/>
  <c r="G34" i="9"/>
  <c r="G33" i="9"/>
  <c r="G32" i="9"/>
  <c r="G35" i="9"/>
  <c r="D30" i="9"/>
  <c r="G31" i="9"/>
  <c r="G30" i="9"/>
  <c r="G28" i="9"/>
  <c r="D28" i="9"/>
  <c r="D48" i="9"/>
  <c r="D46" i="9"/>
  <c r="D45" i="9"/>
  <c r="D44" i="9"/>
  <c r="E51" i="9"/>
  <c r="E50" i="9"/>
  <c r="E48" i="9"/>
  <c r="E46" i="9"/>
  <c r="E45" i="9"/>
  <c r="E44" i="9"/>
  <c r="E39" i="9"/>
  <c r="E38" i="9"/>
  <c r="E37" i="9"/>
  <c r="D34" i="9"/>
  <c r="D39" i="9"/>
  <c r="D38" i="9"/>
  <c r="D37" i="9"/>
  <c r="D33" i="9"/>
  <c r="D35" i="9"/>
  <c r="E35" i="9"/>
  <c r="E34" i="9"/>
  <c r="E28" i="9"/>
  <c r="D32" i="9"/>
  <c r="D31" i="9"/>
  <c r="E33" i="9"/>
  <c r="E32" i="9"/>
  <c r="E31" i="9"/>
  <c r="E30" i="9"/>
  <c r="D40" i="9" l="1"/>
  <c r="F45" i="9"/>
  <c r="F50" i="9"/>
  <c r="F28" i="9"/>
  <c r="F44" i="9"/>
  <c r="F46" i="9"/>
  <c r="F32" i="9"/>
  <c r="F39" i="9"/>
  <c r="F51" i="9"/>
  <c r="F34" i="9"/>
  <c r="F48" i="9"/>
  <c r="D52" i="9"/>
  <c r="F37" i="9"/>
  <c r="F38" i="9"/>
  <c r="F35" i="9"/>
  <c r="F33" i="9"/>
  <c r="F30" i="9"/>
  <c r="F31" i="9"/>
  <c r="G41" i="8"/>
  <c r="F52" i="9" l="1"/>
  <c r="F40" i="9"/>
  <c r="F186" i="6"/>
  <c r="J44" i="5"/>
  <c r="K803" i="30"/>
  <c r="K802" i="30"/>
  <c r="M715" i="30"/>
  <c r="K715" i="30"/>
  <c r="G84" i="26"/>
  <c r="G83" i="26"/>
  <c r="G80" i="26"/>
  <c r="G76" i="26"/>
  <c r="G73" i="26"/>
  <c r="G50" i="26"/>
  <c r="G31" i="26"/>
  <c r="G25" i="26"/>
  <c r="G24" i="26"/>
  <c r="M530" i="30"/>
  <c r="M529" i="30"/>
  <c r="M528" i="30"/>
  <c r="M527" i="30"/>
  <c r="M526" i="30"/>
  <c r="M525" i="30"/>
  <c r="M524" i="30"/>
  <c r="M523" i="30"/>
  <c r="M522" i="30"/>
  <c r="M521" i="30"/>
  <c r="M520" i="30"/>
  <c r="M519" i="30"/>
  <c r="M518" i="30"/>
  <c r="M517" i="30"/>
  <c r="M516" i="30"/>
  <c r="M515" i="30"/>
  <c r="M514" i="30"/>
  <c r="M513" i="30"/>
  <c r="M512" i="30"/>
  <c r="M511" i="30"/>
  <c r="M510" i="30"/>
  <c r="M509" i="30"/>
  <c r="M508" i="30"/>
  <c r="M507" i="30"/>
  <c r="M506" i="30"/>
  <c r="M505" i="30"/>
  <c r="M504" i="30"/>
  <c r="M503" i="30"/>
  <c r="M502" i="30"/>
  <c r="M501" i="30"/>
  <c r="M500" i="30"/>
  <c r="M499" i="30"/>
  <c r="M498" i="30"/>
  <c r="M497" i="30"/>
  <c r="M496" i="30"/>
  <c r="M495" i="30"/>
  <c r="M494" i="30"/>
  <c r="M493" i="30"/>
  <c r="M492" i="30"/>
  <c r="M491" i="30"/>
  <c r="M490" i="30"/>
  <c r="M489" i="30"/>
  <c r="M488" i="30"/>
  <c r="M487" i="30"/>
  <c r="M486" i="30"/>
  <c r="M485" i="30"/>
  <c r="M484" i="30"/>
  <c r="M483" i="30"/>
  <c r="M482" i="30"/>
  <c r="M481" i="30"/>
  <c r="M480" i="30"/>
  <c r="M479" i="30"/>
  <c r="M478" i="30"/>
  <c r="M477" i="30"/>
  <c r="M476" i="30"/>
  <c r="M475" i="30"/>
  <c r="M474" i="30"/>
  <c r="M473" i="30"/>
  <c r="M472" i="30"/>
  <c r="M471" i="30"/>
  <c r="M470" i="30"/>
  <c r="M469" i="30"/>
  <c r="M468" i="30"/>
  <c r="M467" i="30"/>
  <c r="M466" i="30"/>
  <c r="M465" i="30"/>
  <c r="M464" i="30"/>
  <c r="M463" i="30"/>
  <c r="M462" i="30"/>
  <c r="M461" i="30"/>
  <c r="M460" i="30"/>
  <c r="M459" i="30"/>
  <c r="M458" i="30"/>
  <c r="M457" i="30"/>
  <c r="M456" i="30"/>
  <c r="M455" i="30"/>
  <c r="M454" i="30"/>
  <c r="M453" i="30"/>
  <c r="M452" i="30"/>
  <c r="M451" i="30"/>
  <c r="M450" i="30"/>
  <c r="M449" i="30"/>
  <c r="M448" i="30"/>
  <c r="M447" i="30"/>
  <c r="M446" i="30"/>
  <c r="M445" i="30"/>
  <c r="M444" i="30"/>
  <c r="M443" i="30"/>
  <c r="M442" i="30"/>
  <c r="M441" i="30"/>
  <c r="M440" i="30"/>
  <c r="M439" i="30"/>
  <c r="M438" i="30"/>
  <c r="M437" i="30"/>
  <c r="M436" i="30"/>
  <c r="M435" i="30"/>
  <c r="M434" i="30"/>
  <c r="M433" i="30"/>
  <c r="M432" i="30"/>
  <c r="M431" i="30"/>
  <c r="M430" i="30"/>
  <c r="M429" i="30"/>
  <c r="M428" i="30"/>
  <c r="M427" i="30"/>
  <c r="M426" i="30"/>
  <c r="M425" i="30"/>
  <c r="M424" i="30"/>
  <c r="M423" i="30"/>
  <c r="M422" i="30"/>
  <c r="M421" i="30"/>
  <c r="M420" i="30"/>
  <c r="M419" i="30"/>
  <c r="M418" i="30"/>
  <c r="M417" i="30"/>
  <c r="M416" i="30"/>
  <c r="M415" i="30"/>
  <c r="M414" i="30"/>
  <c r="M413" i="30"/>
  <c r="M412" i="30"/>
  <c r="M411" i="30"/>
  <c r="M410" i="30"/>
  <c r="M409" i="30"/>
  <c r="M408" i="30"/>
  <c r="M407" i="30"/>
  <c r="M406" i="30"/>
  <c r="M405" i="30"/>
  <c r="M404" i="30"/>
  <c r="I530" i="30"/>
  <c r="I529" i="30"/>
  <c r="I528" i="30"/>
  <c r="I527" i="30"/>
  <c r="I526" i="30"/>
  <c r="I525" i="30"/>
  <c r="I524" i="30"/>
  <c r="I523" i="30"/>
  <c r="I522" i="30"/>
  <c r="I521" i="30"/>
  <c r="I520" i="30"/>
  <c r="I519" i="30"/>
  <c r="I518" i="30"/>
  <c r="I517" i="30"/>
  <c r="I516" i="30"/>
  <c r="I515" i="30"/>
  <c r="I514" i="30"/>
  <c r="I513" i="30"/>
  <c r="I512" i="30"/>
  <c r="I511" i="30"/>
  <c r="I510" i="30"/>
  <c r="I509" i="30"/>
  <c r="I508" i="30"/>
  <c r="I507" i="30"/>
  <c r="I506" i="30"/>
  <c r="I505" i="30"/>
  <c r="I504" i="30"/>
  <c r="I503" i="30"/>
  <c r="I502" i="30"/>
  <c r="I501" i="30"/>
  <c r="I500" i="30"/>
  <c r="I499" i="30"/>
  <c r="I498" i="30"/>
  <c r="I497" i="30"/>
  <c r="I496" i="30"/>
  <c r="I495" i="30"/>
  <c r="I494" i="30"/>
  <c r="I493" i="30"/>
  <c r="I492" i="30"/>
  <c r="I491" i="30"/>
  <c r="I490" i="30"/>
  <c r="I489" i="30"/>
  <c r="I488" i="30"/>
  <c r="I487" i="30"/>
  <c r="I486" i="30"/>
  <c r="I485" i="30"/>
  <c r="I484" i="30"/>
  <c r="I483" i="30"/>
  <c r="I482" i="30"/>
  <c r="I481" i="30"/>
  <c r="I480" i="30"/>
  <c r="I479" i="30"/>
  <c r="I478" i="30"/>
  <c r="I477" i="30"/>
  <c r="I476" i="30"/>
  <c r="I475" i="30"/>
  <c r="I474" i="30"/>
  <c r="I473" i="30"/>
  <c r="I472" i="30"/>
  <c r="I471" i="30"/>
  <c r="I470" i="30"/>
  <c r="I469" i="30"/>
  <c r="I468" i="30"/>
  <c r="I467" i="30"/>
  <c r="I466" i="30"/>
  <c r="I465" i="30"/>
  <c r="I464" i="30"/>
  <c r="I463" i="30"/>
  <c r="I462" i="30"/>
  <c r="I461" i="30"/>
  <c r="I460" i="30"/>
  <c r="I459" i="30"/>
  <c r="I458" i="30"/>
  <c r="I457" i="30"/>
  <c r="I456" i="30"/>
  <c r="I455" i="30"/>
  <c r="I454" i="30"/>
  <c r="I453" i="30"/>
  <c r="I452" i="30"/>
  <c r="I451" i="30"/>
  <c r="I450" i="30"/>
  <c r="I449" i="30"/>
  <c r="I448" i="30"/>
  <c r="I447" i="30"/>
  <c r="I446" i="30"/>
  <c r="I445" i="30"/>
  <c r="I444" i="30"/>
  <c r="I443" i="30"/>
  <c r="I442" i="30"/>
  <c r="I441" i="30"/>
  <c r="I440" i="30"/>
  <c r="I439" i="30"/>
  <c r="I438" i="30"/>
  <c r="I437" i="30"/>
  <c r="I436" i="30"/>
  <c r="I435" i="30"/>
  <c r="I434" i="30"/>
  <c r="I433" i="30"/>
  <c r="I432" i="30"/>
  <c r="I431" i="30"/>
  <c r="I430" i="30"/>
  <c r="I429" i="30"/>
  <c r="I428" i="30"/>
  <c r="I427" i="30"/>
  <c r="I426" i="30"/>
  <c r="I425" i="30"/>
  <c r="I424" i="30"/>
  <c r="I423" i="30"/>
  <c r="I422" i="30"/>
  <c r="I421" i="30"/>
  <c r="I420" i="30"/>
  <c r="I419" i="30"/>
  <c r="I418" i="30"/>
  <c r="I417" i="30"/>
  <c r="I416" i="30"/>
  <c r="I415" i="30"/>
  <c r="I414" i="30"/>
  <c r="I413" i="30"/>
  <c r="I412" i="30"/>
  <c r="I411" i="30"/>
  <c r="I410" i="30"/>
  <c r="I409" i="30"/>
  <c r="I408" i="30"/>
  <c r="I407" i="30"/>
  <c r="I406" i="30"/>
  <c r="I405" i="30"/>
  <c r="K404" i="30"/>
  <c r="I404" i="30"/>
  <c r="M690" i="30"/>
  <c r="K690" i="30"/>
  <c r="M689" i="30"/>
  <c r="K689" i="30"/>
  <c r="M688" i="30"/>
  <c r="K688" i="30"/>
  <c r="D938" i="9" s="1"/>
  <c r="M687" i="30"/>
  <c r="K687" i="30"/>
  <c r="D936" i="9" s="1"/>
  <c r="M686" i="30"/>
  <c r="K686" i="30"/>
  <c r="M685" i="30"/>
  <c r="K685" i="30"/>
  <c r="M684" i="30"/>
  <c r="K684" i="30"/>
  <c r="M683" i="30"/>
  <c r="K683" i="30"/>
  <c r="M682" i="30"/>
  <c r="K682" i="30"/>
  <c r="M681" i="30"/>
  <c r="K681" i="30"/>
  <c r="D939" i="9" s="1"/>
  <c r="M680" i="30"/>
  <c r="K680" i="30"/>
  <c r="M679" i="30"/>
  <c r="K679" i="30"/>
  <c r="M678" i="30"/>
  <c r="M677" i="30"/>
  <c r="M676" i="30"/>
  <c r="K676" i="30"/>
  <c r="M675" i="30"/>
  <c r="K675" i="30"/>
  <c r="M674" i="30"/>
  <c r="K674" i="30"/>
  <c r="M673" i="30"/>
  <c r="K673" i="30"/>
  <c r="D885" i="9" s="1"/>
  <c r="M672" i="30"/>
  <c r="K672" i="30"/>
  <c r="D884" i="9" s="1"/>
  <c r="M671" i="30"/>
  <c r="K671" i="30"/>
  <c r="M670" i="30"/>
  <c r="K670" i="30"/>
  <c r="D883" i="9" s="1"/>
  <c r="M669" i="30"/>
  <c r="K669" i="30"/>
  <c r="D882" i="9" s="1"/>
  <c r="M668" i="30"/>
  <c r="K668" i="30"/>
  <c r="M667" i="30"/>
  <c r="K667" i="30"/>
  <c r="D881" i="9" s="1"/>
  <c r="M666" i="30"/>
  <c r="K666" i="30"/>
  <c r="D880" i="9" s="1"/>
  <c r="M665" i="30"/>
  <c r="K665" i="30"/>
  <c r="M664" i="30"/>
  <c r="K664" i="30"/>
  <c r="M663" i="30"/>
  <c r="K663" i="30"/>
  <c r="M662" i="30"/>
  <c r="K662" i="30"/>
  <c r="M661" i="30"/>
  <c r="K661" i="30"/>
  <c r="M660" i="30"/>
  <c r="K660" i="30"/>
  <c r="M659" i="30"/>
  <c r="K659" i="30"/>
  <c r="M658" i="30"/>
  <c r="K658" i="30"/>
  <c r="M657" i="30"/>
  <c r="K657" i="30"/>
  <c r="D879" i="9" s="1"/>
  <c r="M656" i="30"/>
  <c r="K656" i="30"/>
  <c r="M655" i="30"/>
  <c r="K655" i="30"/>
  <c r="M654" i="30"/>
  <c r="K654" i="30"/>
  <c r="M653" i="30"/>
  <c r="K653" i="30"/>
  <c r="M652" i="30"/>
  <c r="K652" i="30"/>
  <c r="M651" i="30"/>
  <c r="K651" i="30"/>
  <c r="M650" i="30"/>
  <c r="K650" i="30"/>
  <c r="M649" i="30"/>
  <c r="K649" i="30"/>
  <c r="M648" i="30"/>
  <c r="K648" i="30"/>
  <c r="M647" i="30"/>
  <c r="K647" i="30"/>
  <c r="M646" i="30"/>
  <c r="K646" i="30"/>
  <c r="M645" i="30"/>
  <c r="K645" i="30"/>
  <c r="M644" i="30"/>
  <c r="K644" i="30"/>
  <c r="M643" i="30"/>
  <c r="K643" i="30"/>
  <c r="M642" i="30"/>
  <c r="K642" i="30"/>
  <c r="M641" i="30"/>
  <c r="K641" i="30"/>
  <c r="M640" i="30"/>
  <c r="K640" i="30"/>
  <c r="M639" i="30"/>
  <c r="K639" i="30"/>
  <c r="M638" i="30"/>
  <c r="K638" i="30"/>
  <c r="M637" i="30"/>
  <c r="K637" i="30"/>
  <c r="M636" i="30"/>
  <c r="K636" i="30"/>
  <c r="M635" i="30"/>
  <c r="K635" i="30"/>
  <c r="M634" i="30"/>
  <c r="K634" i="30"/>
  <c r="M633" i="30"/>
  <c r="K633" i="30"/>
  <c r="M632" i="30"/>
  <c r="K632" i="30"/>
  <c r="M631" i="30"/>
  <c r="K631" i="30"/>
  <c r="M630" i="30"/>
  <c r="K630" i="30"/>
  <c r="M629" i="30"/>
  <c r="K629" i="30"/>
  <c r="M628" i="30"/>
  <c r="K628" i="30"/>
  <c r="M627" i="30"/>
  <c r="K627" i="30"/>
  <c r="M626" i="30"/>
  <c r="K626" i="30"/>
  <c r="M625" i="30"/>
  <c r="K625" i="30"/>
  <c r="M624" i="30"/>
  <c r="K624" i="30"/>
  <c r="M623" i="30"/>
  <c r="K623" i="30"/>
  <c r="M622" i="30"/>
  <c r="K622" i="30"/>
  <c r="M621" i="30"/>
  <c r="K621" i="30"/>
  <c r="M620" i="30"/>
  <c r="K620" i="30"/>
  <c r="M619" i="30"/>
  <c r="K619" i="30"/>
  <c r="M618" i="30"/>
  <c r="K618" i="30"/>
  <c r="M617" i="30"/>
  <c r="K617" i="30"/>
  <c r="M616" i="30"/>
  <c r="K616" i="30"/>
  <c r="M615" i="30"/>
  <c r="K615" i="30"/>
  <c r="M614" i="30"/>
  <c r="K614" i="30"/>
  <c r="M613" i="30"/>
  <c r="K613" i="30"/>
  <c r="M612" i="30"/>
  <c r="K612" i="30"/>
  <c r="M611" i="30"/>
  <c r="K611" i="30"/>
  <c r="M610" i="30"/>
  <c r="K610" i="30"/>
  <c r="M609" i="30"/>
  <c r="K609" i="30"/>
  <c r="M608" i="30"/>
  <c r="K608" i="30"/>
  <c r="M607" i="30"/>
  <c r="K607" i="30"/>
  <c r="M606" i="30"/>
  <c r="K606" i="30"/>
  <c r="M605" i="30"/>
  <c r="K605" i="30"/>
  <c r="M604" i="30"/>
  <c r="K604" i="30"/>
  <c r="M603" i="30"/>
  <c r="K603" i="30"/>
  <c r="M602" i="30"/>
  <c r="K602" i="30"/>
  <c r="M601" i="30"/>
  <c r="K601" i="30"/>
  <c r="M600" i="30"/>
  <c r="K600" i="30"/>
  <c r="M599" i="30"/>
  <c r="K599" i="30"/>
  <c r="M598" i="30"/>
  <c r="K598" i="30"/>
  <c r="M597" i="30"/>
  <c r="K597" i="30"/>
  <c r="M596" i="30"/>
  <c r="K596" i="30"/>
  <c r="M595" i="30"/>
  <c r="K595" i="30"/>
  <c r="M594" i="30"/>
  <c r="K594" i="30"/>
  <c r="M593" i="30"/>
  <c r="K593" i="30"/>
  <c r="M592" i="30"/>
  <c r="K592" i="30"/>
  <c r="M591" i="30"/>
  <c r="K591" i="30"/>
  <c r="M590" i="30"/>
  <c r="K590" i="30"/>
  <c r="M589" i="30"/>
  <c r="K589" i="30"/>
  <c r="M588" i="30"/>
  <c r="K588" i="30"/>
  <c r="M587" i="30"/>
  <c r="K587" i="30"/>
  <c r="M586" i="30"/>
  <c r="K586" i="30"/>
  <c r="M585" i="30"/>
  <c r="K585" i="30"/>
  <c r="M584" i="30"/>
  <c r="K584" i="30"/>
  <c r="M583" i="30"/>
  <c r="K583" i="30"/>
  <c r="M582" i="30"/>
  <c r="K582" i="30"/>
  <c r="M581" i="30"/>
  <c r="K581" i="30"/>
  <c r="M580" i="30"/>
  <c r="K580" i="30"/>
  <c r="M579" i="30"/>
  <c r="K579" i="30"/>
  <c r="M578" i="30"/>
  <c r="K578" i="30"/>
  <c r="M577" i="30"/>
  <c r="K577" i="30"/>
  <c r="M576" i="30"/>
  <c r="K576" i="30"/>
  <c r="M575" i="30"/>
  <c r="K575" i="30"/>
  <c r="M574" i="30"/>
  <c r="K574" i="30"/>
  <c r="M573" i="30"/>
  <c r="K573" i="30"/>
  <c r="M572" i="30"/>
  <c r="K572" i="30"/>
  <c r="M571" i="30"/>
  <c r="K571" i="30"/>
  <c r="G32" i="26" s="1"/>
  <c r="M570" i="30"/>
  <c r="K570" i="30"/>
  <c r="M569" i="30"/>
  <c r="K569" i="30"/>
  <c r="M568" i="30"/>
  <c r="K568" i="30"/>
  <c r="G28" i="26" s="1"/>
  <c r="M567" i="30"/>
  <c r="K567" i="30"/>
  <c r="M566" i="30"/>
  <c r="K566" i="30"/>
  <c r="M565" i="30"/>
  <c r="K565" i="30"/>
  <c r="M564" i="30"/>
  <c r="K564" i="30"/>
  <c r="M563" i="30"/>
  <c r="K563" i="30"/>
  <c r="M562" i="30"/>
  <c r="K562" i="30"/>
  <c r="M561" i="30"/>
  <c r="K561" i="30"/>
  <c r="M560" i="30"/>
  <c r="K560" i="30"/>
  <c r="M559" i="30"/>
  <c r="K559" i="30"/>
  <c r="M558" i="30"/>
  <c r="K558" i="30"/>
  <c r="M557" i="30"/>
  <c r="K557" i="30"/>
  <c r="M556" i="30"/>
  <c r="K556" i="30"/>
  <c r="M555" i="30"/>
  <c r="K555" i="30"/>
  <c r="M554" i="30"/>
  <c r="K554" i="30"/>
  <c r="M553" i="30"/>
  <c r="K553" i="30"/>
  <c r="M552" i="30"/>
  <c r="K552" i="30"/>
  <c r="M551" i="30"/>
  <c r="K551" i="30"/>
  <c r="M550" i="30"/>
  <c r="K550" i="30"/>
  <c r="M549" i="30"/>
  <c r="K549" i="30"/>
  <c r="M548" i="30"/>
  <c r="K548" i="30"/>
  <c r="M547" i="30"/>
  <c r="K547" i="30"/>
  <c r="K546" i="30"/>
  <c r="M546" i="30"/>
  <c r="F50" i="26"/>
  <c r="F31" i="26"/>
  <c r="M893" i="30" l="1"/>
  <c r="I893" i="30"/>
  <c r="G79" i="26"/>
  <c r="D962" i="9"/>
  <c r="G72" i="26"/>
  <c r="G71" i="26" s="1"/>
  <c r="D949" i="9"/>
  <c r="D951" i="9" s="1"/>
  <c r="D937" i="9"/>
  <c r="D940" i="9" s="1"/>
  <c r="D871" i="9"/>
  <c r="D872" i="9" s="1"/>
  <c r="G67" i="26"/>
  <c r="G29" i="26"/>
  <c r="G27" i="26" s="1"/>
  <c r="G39" i="26"/>
  <c r="G33" i="26"/>
  <c r="G38" i="26"/>
  <c r="G35" i="26"/>
  <c r="G36" i="26"/>
  <c r="G34" i="26"/>
  <c r="G37" i="26"/>
  <c r="G23" i="26"/>
  <c r="F872" i="9" l="1"/>
  <c r="L19" i="7" l="1"/>
  <c r="L18" i="7"/>
  <c r="M23" i="7"/>
  <c r="N23" i="7" s="1"/>
  <c r="K21" i="7"/>
  <c r="L21" i="7" s="1"/>
  <c r="K16" i="7"/>
  <c r="K20" i="7" s="1"/>
  <c r="J20" i="7" s="1"/>
  <c r="L37" i="3"/>
  <c r="L28" i="3"/>
  <c r="L23" i="3"/>
  <c r="L22" i="3"/>
  <c r="F63" i="3"/>
  <c r="F62" i="3"/>
  <c r="F60" i="3"/>
  <c r="F59" i="3"/>
  <c r="F58" i="3"/>
  <c r="F57" i="3"/>
  <c r="F56" i="3"/>
  <c r="F55" i="3"/>
  <c r="F53" i="3"/>
  <c r="F39" i="3"/>
  <c r="F38" i="3"/>
  <c r="F35" i="3"/>
  <c r="F34" i="3"/>
  <c r="F27" i="3"/>
  <c r="K545" i="30"/>
  <c r="G273" i="6" s="1"/>
  <c r="K544" i="30"/>
  <c r="G272" i="6" s="1"/>
  <c r="K543" i="30"/>
  <c r="G271" i="6" s="1"/>
  <c r="K542" i="30"/>
  <c r="G270" i="6" s="1"/>
  <c r="K541" i="30"/>
  <c r="K540" i="30"/>
  <c r="G269" i="6" s="1"/>
  <c r="K539" i="30"/>
  <c r="G268" i="6" s="1"/>
  <c r="K538" i="30"/>
  <c r="G267" i="6" s="1"/>
  <c r="K537" i="30"/>
  <c r="G266" i="6" s="1"/>
  <c r="K536" i="30"/>
  <c r="G265" i="6" s="1"/>
  <c r="K535" i="30"/>
  <c r="G264" i="6" s="1"/>
  <c r="K534" i="30"/>
  <c r="G263" i="6" s="1"/>
  <c r="K533" i="30"/>
  <c r="G262" i="6" s="1"/>
  <c r="K532" i="30"/>
  <c r="G261" i="6" s="1"/>
  <c r="K531" i="30"/>
  <c r="K530" i="30"/>
  <c r="K529" i="30"/>
  <c r="K528" i="30"/>
  <c r="K527" i="30"/>
  <c r="K526" i="30"/>
  <c r="K525" i="30"/>
  <c r="K524" i="30"/>
  <c r="G258" i="6" s="1"/>
  <c r="K523" i="30"/>
  <c r="G257" i="6" s="1"/>
  <c r="K522" i="30"/>
  <c r="G256" i="6" s="1"/>
  <c r="K521" i="30"/>
  <c r="G255" i="6" s="1"/>
  <c r="K520" i="30"/>
  <c r="G254" i="6" s="1"/>
  <c r="K519" i="30"/>
  <c r="G253" i="6" s="1"/>
  <c r="K518" i="30"/>
  <c r="G252" i="6" s="1"/>
  <c r="K517" i="30"/>
  <c r="G251" i="6" s="1"/>
  <c r="K516" i="30"/>
  <c r="G250" i="6" s="1"/>
  <c r="K515" i="30"/>
  <c r="K514" i="30"/>
  <c r="G249" i="6" s="1"/>
  <c r="K513" i="30"/>
  <c r="K512" i="30"/>
  <c r="G248" i="6" s="1"/>
  <c r="K511" i="30"/>
  <c r="G247" i="6" s="1"/>
  <c r="K510" i="30"/>
  <c r="G246" i="6" s="1"/>
  <c r="K509" i="30"/>
  <c r="K508" i="30"/>
  <c r="G245" i="6" s="1"/>
  <c r="K507" i="30"/>
  <c r="G244" i="6" s="1"/>
  <c r="K506" i="30"/>
  <c r="G243" i="6" s="1"/>
  <c r="K505" i="30"/>
  <c r="K504" i="30"/>
  <c r="G242" i="6" s="1"/>
  <c r="K503" i="30"/>
  <c r="K502" i="30"/>
  <c r="K501" i="30"/>
  <c r="K500" i="30"/>
  <c r="K499" i="30"/>
  <c r="K498" i="30"/>
  <c r="K497" i="30"/>
  <c r="K496" i="30"/>
  <c r="K495" i="30"/>
  <c r="G241" i="6" s="1"/>
  <c r="K494" i="30"/>
  <c r="G240" i="6" s="1"/>
  <c r="K493" i="30"/>
  <c r="K492" i="30"/>
  <c r="K491" i="30"/>
  <c r="K490" i="30"/>
  <c r="G238" i="6" s="1"/>
  <c r="K489" i="30"/>
  <c r="K488" i="30"/>
  <c r="G236" i="6" s="1"/>
  <c r="K487" i="30"/>
  <c r="K486" i="30"/>
  <c r="G235" i="6" s="1"/>
  <c r="K485" i="30"/>
  <c r="G234" i="6" s="1"/>
  <c r="K484" i="30"/>
  <c r="G233" i="6" s="1"/>
  <c r="K483" i="30"/>
  <c r="K482" i="30"/>
  <c r="G232" i="6" s="1"/>
  <c r="K481" i="30"/>
  <c r="G231" i="6" s="1"/>
  <c r="K480" i="30"/>
  <c r="K479" i="30"/>
  <c r="K478" i="30"/>
  <c r="K477" i="30"/>
  <c r="G229" i="6" s="1"/>
  <c r="K476" i="30"/>
  <c r="G228" i="6" s="1"/>
  <c r="K475" i="30"/>
  <c r="K474" i="30"/>
  <c r="K473" i="30"/>
  <c r="K472" i="30"/>
  <c r="K471" i="30"/>
  <c r="K470" i="30"/>
  <c r="K469" i="30"/>
  <c r="K468" i="30"/>
  <c r="G227" i="6" s="1"/>
  <c r="K467" i="30"/>
  <c r="G226" i="6" s="1"/>
  <c r="K466" i="30"/>
  <c r="G225" i="6" s="1"/>
  <c r="K465" i="30"/>
  <c r="G224" i="6" s="1"/>
  <c r="K464" i="30"/>
  <c r="G223" i="6" s="1"/>
  <c r="K463" i="30"/>
  <c r="G222" i="6" s="1"/>
  <c r="K462" i="30"/>
  <c r="G221" i="6" s="1"/>
  <c r="K461" i="30"/>
  <c r="G220" i="6" s="1"/>
  <c r="K460" i="30"/>
  <c r="G219" i="6" s="1"/>
  <c r="K459" i="30"/>
  <c r="G218" i="6" s="1"/>
  <c r="K458" i="30"/>
  <c r="K457" i="30"/>
  <c r="G216" i="6" s="1"/>
  <c r="K456" i="30"/>
  <c r="G215" i="6" s="1"/>
  <c r="K455" i="30"/>
  <c r="K454" i="30"/>
  <c r="K453" i="30"/>
  <c r="K452" i="30"/>
  <c r="K451" i="30"/>
  <c r="K450" i="30"/>
  <c r="K449" i="30"/>
  <c r="K448" i="30"/>
  <c r="K447" i="30"/>
  <c r="G214" i="6" s="1"/>
  <c r="K446" i="30"/>
  <c r="G213" i="6" s="1"/>
  <c r="K445" i="30"/>
  <c r="K444" i="30"/>
  <c r="G212" i="6" s="1"/>
  <c r="K443" i="30"/>
  <c r="G211" i="6" s="1"/>
  <c r="K442" i="30"/>
  <c r="G210" i="6" s="1"/>
  <c r="K441" i="30"/>
  <c r="G209" i="6" s="1"/>
  <c r="K440" i="30"/>
  <c r="K439" i="30"/>
  <c r="K438" i="30"/>
  <c r="K437" i="30"/>
  <c r="K436" i="30"/>
  <c r="K435" i="30"/>
  <c r="K434" i="30"/>
  <c r="K433" i="30"/>
  <c r="K432" i="30"/>
  <c r="K431" i="30"/>
  <c r="G208" i="6" s="1"/>
  <c r="K430" i="30"/>
  <c r="G207" i="6" s="1"/>
  <c r="K429" i="30"/>
  <c r="G206" i="6" s="1"/>
  <c r="K428" i="30"/>
  <c r="G205" i="6" s="1"/>
  <c r="K427" i="30"/>
  <c r="K426" i="30"/>
  <c r="K425" i="30"/>
  <c r="K424" i="30"/>
  <c r="K423" i="30"/>
  <c r="K422" i="30"/>
  <c r="K421" i="30"/>
  <c r="G203" i="6" s="1"/>
  <c r="K420" i="30"/>
  <c r="G202" i="6" s="1"/>
  <c r="K419" i="30"/>
  <c r="K418" i="30"/>
  <c r="G201" i="6" s="1"/>
  <c r="K417" i="30"/>
  <c r="G200" i="6" s="1"/>
  <c r="K416" i="30"/>
  <c r="G199" i="6" s="1"/>
  <c r="K415" i="30"/>
  <c r="K414" i="30"/>
  <c r="K413" i="30"/>
  <c r="K412" i="30"/>
  <c r="G198" i="6" s="1"/>
  <c r="K411" i="30"/>
  <c r="G197" i="6" s="1"/>
  <c r="K410" i="30"/>
  <c r="G196" i="6" s="1"/>
  <c r="K409" i="30"/>
  <c r="G195" i="6" s="1"/>
  <c r="K408" i="30"/>
  <c r="G194" i="6" s="1"/>
  <c r="K407" i="30"/>
  <c r="G193" i="6" s="1"/>
  <c r="K406" i="30"/>
  <c r="G192" i="6" s="1"/>
  <c r="K405" i="30"/>
  <c r="G191" i="6" s="1"/>
  <c r="J38" i="3"/>
  <c r="J37" i="3"/>
  <c r="J23" i="3"/>
  <c r="J22" i="3"/>
  <c r="G690" i="30"/>
  <c r="D358" i="6" s="1"/>
  <c r="G689" i="30"/>
  <c r="G688" i="30"/>
  <c r="G687" i="30"/>
  <c r="G686" i="30"/>
  <c r="G685" i="30"/>
  <c r="G684" i="30"/>
  <c r="G683" i="30"/>
  <c r="G682" i="30"/>
  <c r="C962" i="9" s="1"/>
  <c r="C963" i="9" s="1"/>
  <c r="G681" i="30"/>
  <c r="G680" i="30"/>
  <c r="G679" i="30"/>
  <c r="D352" i="6" s="1"/>
  <c r="G678" i="30"/>
  <c r="G677" i="30"/>
  <c r="G676" i="30"/>
  <c r="D349" i="6" s="1"/>
  <c r="G675" i="30"/>
  <c r="C949" i="9" s="1"/>
  <c r="G674" i="30"/>
  <c r="D347" i="6" s="1"/>
  <c r="G673" i="30"/>
  <c r="G672" i="30"/>
  <c r="G671" i="30"/>
  <c r="D344" i="6" s="1"/>
  <c r="G670" i="30"/>
  <c r="G669" i="30"/>
  <c r="G668" i="30"/>
  <c r="D341" i="6" s="1"/>
  <c r="G667" i="30"/>
  <c r="G666" i="30"/>
  <c r="G665" i="30"/>
  <c r="D338" i="6" s="1"/>
  <c r="G664" i="30"/>
  <c r="G663" i="30"/>
  <c r="G662" i="30"/>
  <c r="G661" i="30"/>
  <c r="G660" i="30"/>
  <c r="G659" i="30"/>
  <c r="G658" i="30"/>
  <c r="G657" i="30"/>
  <c r="C879" i="9" s="1"/>
  <c r="G656" i="30"/>
  <c r="D336" i="6" s="1"/>
  <c r="G655" i="30"/>
  <c r="D335" i="6" s="1"/>
  <c r="G654" i="30"/>
  <c r="G653" i="30"/>
  <c r="G652" i="30"/>
  <c r="G651" i="30"/>
  <c r="D331" i="6" s="1"/>
  <c r="H331" i="6" s="1"/>
  <c r="G650" i="30"/>
  <c r="D330" i="6" s="1"/>
  <c r="H330" i="6" s="1"/>
  <c r="G649" i="30"/>
  <c r="G648" i="30"/>
  <c r="G647" i="30"/>
  <c r="G646" i="30"/>
  <c r="G645" i="30"/>
  <c r="D327" i="6" s="1"/>
  <c r="G644" i="30"/>
  <c r="G643" i="30"/>
  <c r="D326" i="6" s="1"/>
  <c r="G642" i="30"/>
  <c r="G641" i="30"/>
  <c r="D325" i="6" s="1"/>
  <c r="G640" i="30"/>
  <c r="G639" i="30"/>
  <c r="G638" i="30"/>
  <c r="G637" i="30"/>
  <c r="G636" i="30"/>
  <c r="G635" i="30"/>
  <c r="G634" i="30"/>
  <c r="G633" i="30"/>
  <c r="D324" i="6" s="1"/>
  <c r="G632" i="30"/>
  <c r="G631" i="30"/>
  <c r="D323" i="6" s="1"/>
  <c r="G630" i="30"/>
  <c r="D322" i="6" s="1"/>
  <c r="G629" i="30"/>
  <c r="G628" i="30"/>
  <c r="G627" i="30"/>
  <c r="G626" i="30"/>
  <c r="G625" i="30"/>
  <c r="G624" i="30"/>
  <c r="G623" i="30"/>
  <c r="G622" i="30"/>
  <c r="G621" i="30"/>
  <c r="D319" i="6" s="1"/>
  <c r="G620" i="30"/>
  <c r="D318" i="6" s="1"/>
  <c r="G619" i="30"/>
  <c r="D317" i="6" s="1"/>
  <c r="G618" i="30"/>
  <c r="D316" i="6" s="1"/>
  <c r="G617" i="30"/>
  <c r="G616" i="30"/>
  <c r="D314" i="6" s="1"/>
  <c r="G615" i="30"/>
  <c r="D313" i="6" s="1"/>
  <c r="G614" i="30"/>
  <c r="D312" i="6" s="1"/>
  <c r="G613" i="30"/>
  <c r="D311" i="6" s="1"/>
  <c r="G612" i="30"/>
  <c r="D310" i="6" s="1"/>
  <c r="G611" i="30"/>
  <c r="D309" i="6" s="1"/>
  <c r="G610" i="30"/>
  <c r="G609" i="30"/>
  <c r="D308" i="6" s="1"/>
  <c r="G608" i="30"/>
  <c r="D307" i="6" s="1"/>
  <c r="G607" i="30"/>
  <c r="G606" i="30"/>
  <c r="D306" i="6" s="1"/>
  <c r="G605" i="30"/>
  <c r="G604" i="30"/>
  <c r="G603" i="30"/>
  <c r="G602" i="30"/>
  <c r="G601" i="30"/>
  <c r="G600" i="30"/>
  <c r="G599" i="30"/>
  <c r="G598" i="30"/>
  <c r="G597" i="30"/>
  <c r="G596" i="30"/>
  <c r="G595" i="30"/>
  <c r="D305" i="6" s="1"/>
  <c r="G594" i="30"/>
  <c r="G593" i="30"/>
  <c r="D303" i="6" s="1"/>
  <c r="G592" i="30"/>
  <c r="G591" i="30"/>
  <c r="G590" i="30"/>
  <c r="G589" i="30"/>
  <c r="G588" i="30"/>
  <c r="G587" i="30"/>
  <c r="G586" i="30"/>
  <c r="D301" i="6" s="1"/>
  <c r="G585" i="30"/>
  <c r="D300" i="6" s="1"/>
  <c r="G584" i="30"/>
  <c r="D299" i="6" s="1"/>
  <c r="G583" i="30"/>
  <c r="D298" i="6" s="1"/>
  <c r="G582" i="30"/>
  <c r="D297" i="6" s="1"/>
  <c r="G581" i="30"/>
  <c r="D296" i="6" s="1"/>
  <c r="G580" i="30"/>
  <c r="D295" i="6" s="1"/>
  <c r="G579" i="30"/>
  <c r="G578" i="30"/>
  <c r="D294" i="6" s="1"/>
  <c r="G577" i="30"/>
  <c r="D293" i="6" s="1"/>
  <c r="G576" i="30"/>
  <c r="D292" i="6" s="1"/>
  <c r="G575" i="30"/>
  <c r="D291" i="6" s="1"/>
  <c r="G574" i="30"/>
  <c r="D290" i="6" s="1"/>
  <c r="G573" i="30"/>
  <c r="G572" i="30"/>
  <c r="D289" i="6" s="1"/>
  <c r="G571" i="30"/>
  <c r="G570" i="30"/>
  <c r="G569" i="30"/>
  <c r="D287" i="6" s="1"/>
  <c r="G568" i="30"/>
  <c r="G567" i="30"/>
  <c r="D285" i="6" s="1"/>
  <c r="G566" i="30"/>
  <c r="D284" i="6" s="1"/>
  <c r="G565" i="30"/>
  <c r="D283" i="6" s="1"/>
  <c r="G564" i="30"/>
  <c r="G563" i="30"/>
  <c r="G562" i="30"/>
  <c r="G561" i="30"/>
  <c r="G560" i="30"/>
  <c r="G559" i="30"/>
  <c r="G558" i="30"/>
  <c r="G557" i="30"/>
  <c r="G556" i="30"/>
  <c r="G555" i="30"/>
  <c r="G554" i="30"/>
  <c r="D282" i="6" s="1"/>
  <c r="G553" i="30"/>
  <c r="D281" i="6" s="1"/>
  <c r="G552" i="30"/>
  <c r="D280" i="6" s="1"/>
  <c r="G551" i="30"/>
  <c r="G550" i="30"/>
  <c r="G549" i="30"/>
  <c r="D278" i="6" s="1"/>
  <c r="G548" i="30"/>
  <c r="D277" i="6" s="1"/>
  <c r="G547" i="30"/>
  <c r="D276" i="6" s="1"/>
  <c r="G546" i="30"/>
  <c r="G545" i="30"/>
  <c r="D273" i="6" s="1"/>
  <c r="D487" i="6" s="1"/>
  <c r="G544" i="30"/>
  <c r="D272" i="6" s="1"/>
  <c r="G543" i="30"/>
  <c r="D271" i="6" s="1"/>
  <c r="G542" i="30"/>
  <c r="D270" i="6" s="1"/>
  <c r="G541" i="30"/>
  <c r="G540" i="30"/>
  <c r="D269" i="6" s="1"/>
  <c r="G539" i="30"/>
  <c r="D268" i="6" s="1"/>
  <c r="G538" i="30"/>
  <c r="D267" i="6" s="1"/>
  <c r="G537" i="30"/>
  <c r="D266" i="6" s="1"/>
  <c r="G536" i="30"/>
  <c r="D265" i="6" s="1"/>
  <c r="G535" i="30"/>
  <c r="D264" i="6" s="1"/>
  <c r="G534" i="30"/>
  <c r="D263" i="6" s="1"/>
  <c r="G533" i="30"/>
  <c r="D262" i="6" s="1"/>
  <c r="G532" i="30"/>
  <c r="D261" i="6" s="1"/>
  <c r="G531" i="30"/>
  <c r="G530" i="30"/>
  <c r="G529" i="30"/>
  <c r="G528" i="30"/>
  <c r="G527" i="30"/>
  <c r="G526" i="30"/>
  <c r="G525" i="30"/>
  <c r="G524" i="30"/>
  <c r="G523" i="30"/>
  <c r="G522" i="30"/>
  <c r="G521" i="30"/>
  <c r="G520" i="30"/>
  <c r="D254" i="6" s="1"/>
  <c r="G519" i="30"/>
  <c r="G518" i="30"/>
  <c r="G517" i="30"/>
  <c r="G516" i="30"/>
  <c r="D250" i="6" s="1"/>
  <c r="G515" i="30"/>
  <c r="G514" i="30"/>
  <c r="D249" i="6" s="1"/>
  <c r="G513" i="30"/>
  <c r="G512" i="30"/>
  <c r="D248" i="6" s="1"/>
  <c r="G511" i="30"/>
  <c r="D247" i="6" s="1"/>
  <c r="G510" i="30"/>
  <c r="D246" i="6" s="1"/>
  <c r="G509" i="30"/>
  <c r="G508" i="30"/>
  <c r="G507" i="30"/>
  <c r="D244" i="6" s="1"/>
  <c r="G506" i="30"/>
  <c r="D243" i="6" s="1"/>
  <c r="G505" i="30"/>
  <c r="G504" i="30"/>
  <c r="D242" i="6" s="1"/>
  <c r="G503" i="30"/>
  <c r="G502" i="30"/>
  <c r="G501" i="30"/>
  <c r="G500" i="30"/>
  <c r="G499" i="30"/>
  <c r="G498" i="30"/>
  <c r="G497" i="30"/>
  <c r="G496" i="30"/>
  <c r="G495" i="30"/>
  <c r="D241" i="6" s="1"/>
  <c r="G494" i="30"/>
  <c r="G493" i="30"/>
  <c r="C717" i="9" s="1"/>
  <c r="G492" i="30"/>
  <c r="G491" i="30"/>
  <c r="G490" i="30"/>
  <c r="D238" i="6" s="1"/>
  <c r="G489" i="30"/>
  <c r="C716" i="9" s="1"/>
  <c r="G488" i="30"/>
  <c r="D236" i="6" s="1"/>
  <c r="G487" i="30"/>
  <c r="G486" i="30"/>
  <c r="D235" i="6" s="1"/>
  <c r="G485" i="30"/>
  <c r="G484" i="30"/>
  <c r="C719" i="9" s="1"/>
  <c r="G483" i="30"/>
  <c r="G482" i="30"/>
  <c r="D232" i="6" s="1"/>
  <c r="G481" i="30"/>
  <c r="G480" i="30"/>
  <c r="G479" i="30"/>
  <c r="G478" i="30"/>
  <c r="D230" i="6" s="1"/>
  <c r="G477" i="30"/>
  <c r="D229" i="6" s="1"/>
  <c r="G476" i="30"/>
  <c r="D228" i="6" s="1"/>
  <c r="G475" i="30"/>
  <c r="G474" i="30"/>
  <c r="G473" i="30"/>
  <c r="G472" i="30"/>
  <c r="G471" i="30"/>
  <c r="G470" i="30"/>
  <c r="G469" i="30"/>
  <c r="G468" i="30"/>
  <c r="D227" i="6" s="1"/>
  <c r="G467" i="30"/>
  <c r="D226" i="6" s="1"/>
  <c r="G466" i="30"/>
  <c r="G465" i="30"/>
  <c r="D224" i="6" s="1"/>
  <c r="G464" i="30"/>
  <c r="D223" i="6" s="1"/>
  <c r="G463" i="30"/>
  <c r="D222" i="6" s="1"/>
  <c r="G462" i="30"/>
  <c r="D221" i="6" s="1"/>
  <c r="G461" i="30"/>
  <c r="D220" i="6" s="1"/>
  <c r="G460" i="30"/>
  <c r="G459" i="30"/>
  <c r="D218" i="6" s="1"/>
  <c r="G458" i="30"/>
  <c r="G457" i="30"/>
  <c r="D216" i="6" s="1"/>
  <c r="G456" i="30"/>
  <c r="D215" i="6" s="1"/>
  <c r="G455" i="30"/>
  <c r="G454" i="30"/>
  <c r="G453" i="30"/>
  <c r="G452" i="30"/>
  <c r="G451" i="30"/>
  <c r="G450" i="30"/>
  <c r="G449" i="30"/>
  <c r="G448" i="30"/>
  <c r="G447" i="30"/>
  <c r="E778" i="9" s="1"/>
  <c r="G446" i="30"/>
  <c r="D213" i="6" s="1"/>
  <c r="G445" i="30"/>
  <c r="G444" i="30"/>
  <c r="D212" i="6" s="1"/>
  <c r="G443" i="30"/>
  <c r="D211" i="6" s="1"/>
  <c r="G442" i="30"/>
  <c r="D210" i="6" s="1"/>
  <c r="G441" i="30"/>
  <c r="D209" i="6" s="1"/>
  <c r="G440" i="30"/>
  <c r="G439" i="30"/>
  <c r="G438" i="30"/>
  <c r="G437" i="30"/>
  <c r="G436" i="30"/>
  <c r="G435" i="30"/>
  <c r="G434" i="30"/>
  <c r="G433" i="30"/>
  <c r="G432" i="30"/>
  <c r="G431" i="30"/>
  <c r="G430" i="30"/>
  <c r="G429" i="30"/>
  <c r="G428" i="30"/>
  <c r="D205" i="6" s="1"/>
  <c r="G427" i="30"/>
  <c r="G426" i="30"/>
  <c r="G425" i="30"/>
  <c r="G424" i="30"/>
  <c r="G423" i="30"/>
  <c r="G422" i="30"/>
  <c r="G421" i="30"/>
  <c r="D203" i="6" s="1"/>
  <c r="G420" i="30"/>
  <c r="D202" i="6" s="1"/>
  <c r="G419" i="30"/>
  <c r="G418" i="30"/>
  <c r="D201" i="6" s="1"/>
  <c r="G417" i="30"/>
  <c r="G416" i="30"/>
  <c r="D199" i="6" s="1"/>
  <c r="G415" i="30"/>
  <c r="G414" i="30"/>
  <c r="G413" i="30"/>
  <c r="G412" i="30"/>
  <c r="C695" i="9" s="1"/>
  <c r="G411" i="30"/>
  <c r="G410" i="30"/>
  <c r="G409" i="30"/>
  <c r="C692" i="9" s="1"/>
  <c r="G408" i="30"/>
  <c r="D194" i="6" s="1"/>
  <c r="G407" i="30"/>
  <c r="D193" i="6" s="1"/>
  <c r="G406" i="30"/>
  <c r="D192" i="6" s="1"/>
  <c r="G405" i="30"/>
  <c r="D191" i="6" s="1"/>
  <c r="G404" i="30"/>
  <c r="M844" i="30"/>
  <c r="K844" i="30"/>
  <c r="D921" i="9" s="1"/>
  <c r="I844" i="30"/>
  <c r="G844" i="30"/>
  <c r="C921" i="9" s="1"/>
  <c r="I715" i="30"/>
  <c r="G715" i="30"/>
  <c r="D382" i="6" s="1"/>
  <c r="H382" i="6" s="1"/>
  <c r="I382" i="6" s="1"/>
  <c r="M394" i="30"/>
  <c r="K394" i="30"/>
  <c r="I394" i="30"/>
  <c r="G394" i="30"/>
  <c r="M309" i="30"/>
  <c r="K309" i="30"/>
  <c r="G149" i="6" s="1"/>
  <c r="I309" i="30"/>
  <c r="G309" i="30"/>
  <c r="C668" i="9" s="1"/>
  <c r="M213" i="30"/>
  <c r="K213" i="30"/>
  <c r="G101" i="6" s="1"/>
  <c r="I213" i="30"/>
  <c r="G213" i="30"/>
  <c r="D101" i="6" s="1"/>
  <c r="G887" i="30"/>
  <c r="G886" i="30"/>
  <c r="G885" i="30"/>
  <c r="G884" i="30"/>
  <c r="G883" i="30"/>
  <c r="G882" i="30"/>
  <c r="G881" i="30"/>
  <c r="G880" i="30"/>
  <c r="G879" i="30"/>
  <c r="G878" i="30"/>
  <c r="G877" i="30"/>
  <c r="G876" i="30"/>
  <c r="G875" i="30"/>
  <c r="G874" i="30"/>
  <c r="G873" i="30"/>
  <c r="G872" i="30"/>
  <c r="G871" i="30"/>
  <c r="G870" i="30"/>
  <c r="G869" i="30"/>
  <c r="G868" i="30"/>
  <c r="C942" i="9" s="1"/>
  <c r="C943" i="9" s="1"/>
  <c r="G867" i="30"/>
  <c r="G866" i="30"/>
  <c r="G865" i="30"/>
  <c r="G864" i="30"/>
  <c r="G863" i="30"/>
  <c r="G862" i="30"/>
  <c r="C927" i="9" s="1"/>
  <c r="G861" i="30"/>
  <c r="C926" i="9" s="1"/>
  <c r="G860" i="30"/>
  <c r="C925" i="9" s="1"/>
  <c r="G859" i="30"/>
  <c r="G858" i="30"/>
  <c r="G857" i="30"/>
  <c r="G856" i="30"/>
  <c r="G855" i="30"/>
  <c r="G854" i="30"/>
  <c r="G853" i="30"/>
  <c r="G852" i="30"/>
  <c r="G851" i="30"/>
  <c r="C923" i="9" s="1"/>
  <c r="G850" i="30"/>
  <c r="G849" i="30"/>
  <c r="G848" i="30"/>
  <c r="G847" i="30"/>
  <c r="G846" i="30"/>
  <c r="G845" i="30"/>
  <c r="C922" i="9" s="1"/>
  <c r="G843" i="30"/>
  <c r="C920" i="9" s="1"/>
  <c r="G842" i="30"/>
  <c r="C919" i="9" s="1"/>
  <c r="G841" i="30"/>
  <c r="G840" i="30"/>
  <c r="G839" i="30"/>
  <c r="C918" i="9" s="1"/>
  <c r="G838" i="30"/>
  <c r="C917" i="9" s="1"/>
  <c r="G837" i="30"/>
  <c r="G836" i="30"/>
  <c r="G835" i="30"/>
  <c r="G834" i="30"/>
  <c r="G833" i="30"/>
  <c r="C916" i="9" s="1"/>
  <c r="G832" i="30"/>
  <c r="G831" i="30"/>
  <c r="G830" i="30"/>
  <c r="C915" i="9" s="1"/>
  <c r="G829" i="30"/>
  <c r="C914" i="9" s="1"/>
  <c r="G828" i="30"/>
  <c r="G827" i="30"/>
  <c r="G826" i="30"/>
  <c r="G825" i="30"/>
  <c r="C913" i="9" s="1"/>
  <c r="G824" i="30"/>
  <c r="C912" i="9" s="1"/>
  <c r="G823" i="30"/>
  <c r="G822" i="30"/>
  <c r="G821" i="30"/>
  <c r="G820" i="30"/>
  <c r="G819" i="30"/>
  <c r="G818" i="30"/>
  <c r="G817" i="30"/>
  <c r="G816" i="30"/>
  <c r="G815" i="30"/>
  <c r="G814" i="30"/>
  <c r="G813" i="30"/>
  <c r="G812" i="30"/>
  <c r="G811" i="30"/>
  <c r="G810" i="30"/>
  <c r="G809" i="30"/>
  <c r="G808" i="30"/>
  <c r="G807" i="30"/>
  <c r="G806" i="30"/>
  <c r="G805" i="30"/>
  <c r="G804" i="30"/>
  <c r="G803" i="30"/>
  <c r="G802" i="30"/>
  <c r="G801" i="30"/>
  <c r="G800" i="30"/>
  <c r="G799" i="30"/>
  <c r="G798" i="30"/>
  <c r="G797" i="30"/>
  <c r="G796" i="30"/>
  <c r="G795" i="30"/>
  <c r="G794" i="30"/>
  <c r="G793" i="30"/>
  <c r="G792" i="30"/>
  <c r="G791" i="30"/>
  <c r="G790" i="30"/>
  <c r="G789" i="30"/>
  <c r="G788" i="30"/>
  <c r="G787" i="30"/>
  <c r="G786" i="30"/>
  <c r="G785" i="30"/>
  <c r="G784" i="30"/>
  <c r="G783" i="30"/>
  <c r="G782" i="30"/>
  <c r="D830" i="9" s="1"/>
  <c r="G781" i="30"/>
  <c r="G780" i="30"/>
  <c r="G779" i="30"/>
  <c r="G778" i="30"/>
  <c r="C911" i="9" s="1"/>
  <c r="G777" i="30"/>
  <c r="C910" i="9" s="1"/>
  <c r="G776" i="30"/>
  <c r="C909" i="9" s="1"/>
  <c r="G775" i="30"/>
  <c r="C908" i="9" s="1"/>
  <c r="G774" i="30"/>
  <c r="C907" i="9" s="1"/>
  <c r="G773" i="30"/>
  <c r="G772" i="30"/>
  <c r="G771" i="30"/>
  <c r="C906" i="9" s="1"/>
  <c r="G770" i="30"/>
  <c r="G769" i="30"/>
  <c r="G768" i="30"/>
  <c r="G767" i="30"/>
  <c r="G766" i="30"/>
  <c r="G765" i="30"/>
  <c r="G764" i="30"/>
  <c r="G763" i="30"/>
  <c r="G762" i="30"/>
  <c r="G761" i="30"/>
  <c r="G760" i="30"/>
  <c r="C903" i="9" s="1"/>
  <c r="G759" i="30"/>
  <c r="C902" i="9" s="1"/>
  <c r="G758" i="30"/>
  <c r="G756" i="30"/>
  <c r="C900" i="9" s="1"/>
  <c r="G755" i="30"/>
  <c r="G754" i="30"/>
  <c r="F49" i="26" s="1"/>
  <c r="G753" i="30"/>
  <c r="D401" i="6" s="1"/>
  <c r="G750" i="30"/>
  <c r="D398" i="6" s="1"/>
  <c r="G749" i="30"/>
  <c r="G748" i="30"/>
  <c r="G747" i="30"/>
  <c r="G746" i="30"/>
  <c r="G745" i="30"/>
  <c r="G744" i="30"/>
  <c r="G743" i="30"/>
  <c r="G742" i="30"/>
  <c r="G741" i="30"/>
  <c r="G740" i="30"/>
  <c r="G739" i="30"/>
  <c r="G738" i="30"/>
  <c r="G737" i="30"/>
  <c r="G736" i="30"/>
  <c r="G735" i="30"/>
  <c r="G734" i="30"/>
  <c r="G733" i="30"/>
  <c r="G732" i="30"/>
  <c r="G731" i="30"/>
  <c r="G730" i="30"/>
  <c r="G729" i="30"/>
  <c r="G728" i="30"/>
  <c r="G727" i="30"/>
  <c r="G726" i="30"/>
  <c r="G725" i="30"/>
  <c r="G724" i="30"/>
  <c r="D390" i="6" s="1"/>
  <c r="H390" i="6" s="1"/>
  <c r="I390" i="6" s="1"/>
  <c r="G723" i="30"/>
  <c r="G722" i="30"/>
  <c r="G721" i="30"/>
  <c r="G720" i="30"/>
  <c r="G719" i="30"/>
  <c r="G718" i="30"/>
  <c r="G717" i="30"/>
  <c r="G716" i="30"/>
  <c r="G714" i="30"/>
  <c r="G713" i="30"/>
  <c r="G712" i="30"/>
  <c r="G711" i="30"/>
  <c r="G710" i="30"/>
  <c r="G709" i="30"/>
  <c r="G708" i="30"/>
  <c r="G707" i="30"/>
  <c r="G706" i="30"/>
  <c r="G705" i="30"/>
  <c r="G704" i="30"/>
  <c r="G703" i="30"/>
  <c r="G702" i="30"/>
  <c r="G701" i="30"/>
  <c r="G700" i="30"/>
  <c r="G699" i="30"/>
  <c r="G698" i="30"/>
  <c r="G697" i="30"/>
  <c r="F42" i="26" s="1"/>
  <c r="G696" i="30"/>
  <c r="G695" i="30"/>
  <c r="G694" i="30"/>
  <c r="G693" i="30"/>
  <c r="G692" i="30"/>
  <c r="G691" i="30"/>
  <c r="G403" i="30"/>
  <c r="C672" i="9" s="1"/>
  <c r="G402" i="30"/>
  <c r="G401" i="30"/>
  <c r="G400" i="30"/>
  <c r="G399" i="30"/>
  <c r="G398" i="30"/>
  <c r="G397" i="30"/>
  <c r="G396" i="30"/>
  <c r="G395" i="30"/>
  <c r="D181" i="6" s="1"/>
  <c r="G393" i="30"/>
  <c r="G392" i="30"/>
  <c r="G391" i="30"/>
  <c r="D71" i="3" s="1"/>
  <c r="G390" i="30"/>
  <c r="G389" i="30"/>
  <c r="G388" i="30"/>
  <c r="G387" i="30"/>
  <c r="D69" i="3" s="1"/>
  <c r="G386" i="30"/>
  <c r="G385" i="30"/>
  <c r="G384" i="30"/>
  <c r="G383" i="30"/>
  <c r="G382" i="30"/>
  <c r="G381" i="30"/>
  <c r="G380" i="30"/>
  <c r="G379" i="30"/>
  <c r="G378" i="30"/>
  <c r="G377" i="30"/>
  <c r="G376" i="30"/>
  <c r="G375" i="30"/>
  <c r="G374" i="30"/>
  <c r="G373" i="30"/>
  <c r="G372" i="30"/>
  <c r="G371" i="30"/>
  <c r="G370" i="30"/>
  <c r="G369" i="30"/>
  <c r="G368" i="30"/>
  <c r="G367" i="30"/>
  <c r="G366" i="30"/>
  <c r="G365" i="30"/>
  <c r="G364" i="30"/>
  <c r="G363" i="30"/>
  <c r="G362" i="30"/>
  <c r="G361" i="30"/>
  <c r="G360" i="30"/>
  <c r="G359" i="30"/>
  <c r="G358" i="30"/>
  <c r="G357" i="30"/>
  <c r="G356" i="30"/>
  <c r="G355" i="30"/>
  <c r="G354" i="30"/>
  <c r="G353" i="30"/>
  <c r="G352" i="30"/>
  <c r="G351" i="30"/>
  <c r="G350" i="30"/>
  <c r="G349" i="30"/>
  <c r="G348" i="30"/>
  <c r="G347" i="30"/>
  <c r="G346" i="30"/>
  <c r="G345" i="30"/>
  <c r="G344" i="30"/>
  <c r="G343" i="30"/>
  <c r="G342" i="30"/>
  <c r="G341" i="30"/>
  <c r="G340" i="30"/>
  <c r="G339" i="30"/>
  <c r="G338" i="30"/>
  <c r="G337" i="30"/>
  <c r="G336" i="30"/>
  <c r="G335" i="30"/>
  <c r="G334" i="30"/>
  <c r="G333" i="30"/>
  <c r="G332" i="30"/>
  <c r="G331" i="30"/>
  <c r="G330" i="30"/>
  <c r="E777" i="9" s="1"/>
  <c r="G329" i="30"/>
  <c r="G328" i="30"/>
  <c r="G327" i="30"/>
  <c r="G326" i="30"/>
  <c r="G325" i="30"/>
  <c r="G324" i="30"/>
  <c r="E776" i="9" s="1"/>
  <c r="G323" i="30"/>
  <c r="G322" i="30"/>
  <c r="G321" i="30"/>
  <c r="G320" i="30"/>
  <c r="G319" i="30"/>
  <c r="G318" i="30"/>
  <c r="G317" i="30"/>
  <c r="G316" i="30"/>
  <c r="G315" i="30"/>
  <c r="C667" i="9" s="1"/>
  <c r="G314" i="30"/>
  <c r="G313" i="30"/>
  <c r="G312" i="30"/>
  <c r="G311" i="30"/>
  <c r="G310" i="30"/>
  <c r="G308" i="30"/>
  <c r="C671" i="9" s="1"/>
  <c r="G307" i="30"/>
  <c r="C670" i="9" s="1"/>
  <c r="G306" i="30"/>
  <c r="G305" i="30"/>
  <c r="C669" i="9" s="1"/>
  <c r="G304" i="30"/>
  <c r="G303" i="30"/>
  <c r="G302" i="30"/>
  <c r="G301" i="30"/>
  <c r="G300" i="30"/>
  <c r="G299" i="30"/>
  <c r="G298" i="30"/>
  <c r="G297" i="30"/>
  <c r="G296" i="30"/>
  <c r="G295" i="30"/>
  <c r="G294" i="30"/>
  <c r="C624" i="9" s="1"/>
  <c r="C625" i="9" s="1"/>
  <c r="G293" i="30"/>
  <c r="G292" i="30"/>
  <c r="G291" i="30"/>
  <c r="G290" i="30"/>
  <c r="G289" i="30"/>
  <c r="G288" i="30"/>
  <c r="G287" i="30"/>
  <c r="C665" i="9" s="1"/>
  <c r="G286" i="30"/>
  <c r="C664" i="9" s="1"/>
  <c r="G285" i="30"/>
  <c r="C666" i="9" s="1"/>
  <c r="G284" i="30"/>
  <c r="G283" i="30"/>
  <c r="G282" i="30"/>
  <c r="G281" i="30"/>
  <c r="C663" i="9" s="1"/>
  <c r="G280" i="30"/>
  <c r="G279" i="30"/>
  <c r="G278" i="30"/>
  <c r="G277" i="30"/>
  <c r="G276" i="30"/>
  <c r="G275" i="30"/>
  <c r="G274" i="30"/>
  <c r="G273" i="30"/>
  <c r="G272" i="30"/>
  <c r="G271" i="30"/>
  <c r="G270" i="30"/>
  <c r="G269" i="30"/>
  <c r="G268" i="30"/>
  <c r="G267" i="30"/>
  <c r="G266" i="30"/>
  <c r="G265" i="30"/>
  <c r="C612" i="9" s="1"/>
  <c r="G264" i="30"/>
  <c r="C611" i="9" s="1"/>
  <c r="G263" i="30"/>
  <c r="G262" i="30"/>
  <c r="G261" i="30"/>
  <c r="C610" i="9" s="1"/>
  <c r="G260" i="30"/>
  <c r="G259" i="30"/>
  <c r="G258" i="30"/>
  <c r="G257" i="30"/>
  <c r="G256" i="30"/>
  <c r="G255" i="30"/>
  <c r="G254" i="30"/>
  <c r="G253" i="30"/>
  <c r="C609" i="9" s="1"/>
  <c r="G252" i="30"/>
  <c r="C608" i="9" s="1"/>
  <c r="G251" i="30"/>
  <c r="G250" i="30"/>
  <c r="C600" i="9" s="1"/>
  <c r="G249" i="30"/>
  <c r="C599" i="9" s="1"/>
  <c r="G248" i="30"/>
  <c r="G247" i="30"/>
  <c r="G246" i="30"/>
  <c r="G245" i="30"/>
  <c r="G244" i="30"/>
  <c r="G243" i="30"/>
  <c r="G242" i="30"/>
  <c r="G241" i="30"/>
  <c r="G240" i="30"/>
  <c r="G239" i="30"/>
  <c r="G238" i="30"/>
  <c r="G237" i="30"/>
  <c r="G236" i="30"/>
  <c r="G235" i="30"/>
  <c r="G234" i="30"/>
  <c r="G233" i="30"/>
  <c r="G232" i="30"/>
  <c r="G231" i="30"/>
  <c r="G230" i="30"/>
  <c r="G229" i="30"/>
  <c r="G228" i="30"/>
  <c r="G227" i="30"/>
  <c r="G226" i="30"/>
  <c r="G225" i="30"/>
  <c r="G224" i="30"/>
  <c r="G223" i="30"/>
  <c r="G222" i="30"/>
  <c r="G221" i="30"/>
  <c r="G220" i="30"/>
  <c r="G219" i="30"/>
  <c r="G218" i="30"/>
  <c r="G217" i="30"/>
  <c r="G216" i="30"/>
  <c r="G215" i="30"/>
  <c r="G214" i="30"/>
  <c r="G212" i="30"/>
  <c r="G211" i="30"/>
  <c r="G210" i="30"/>
  <c r="G209" i="30"/>
  <c r="G208" i="30"/>
  <c r="G207" i="30"/>
  <c r="G206" i="30"/>
  <c r="G205" i="30"/>
  <c r="G204" i="30"/>
  <c r="G203" i="30"/>
  <c r="G202" i="30"/>
  <c r="G201" i="30"/>
  <c r="G200" i="30"/>
  <c r="G199" i="30"/>
  <c r="G198" i="30"/>
  <c r="G197" i="30"/>
  <c r="G196" i="30"/>
  <c r="G195" i="30"/>
  <c r="G194" i="30"/>
  <c r="G193" i="30"/>
  <c r="G192" i="30"/>
  <c r="G191" i="30"/>
  <c r="G190" i="30"/>
  <c r="G189" i="30"/>
  <c r="G188" i="30"/>
  <c r="G187" i="30"/>
  <c r="G186" i="30"/>
  <c r="G185" i="30"/>
  <c r="G184" i="30"/>
  <c r="G183" i="30"/>
  <c r="G182" i="30"/>
  <c r="G181" i="30"/>
  <c r="G180" i="30"/>
  <c r="G179" i="30"/>
  <c r="G178" i="30"/>
  <c r="G177" i="30"/>
  <c r="G176" i="30"/>
  <c r="G175" i="30"/>
  <c r="G174" i="30"/>
  <c r="G173" i="30"/>
  <c r="G172" i="30"/>
  <c r="G171" i="30"/>
  <c r="G170" i="30"/>
  <c r="G169" i="30"/>
  <c r="G168" i="30"/>
  <c r="G167" i="30"/>
  <c r="G166" i="30"/>
  <c r="G165" i="30"/>
  <c r="G164" i="30"/>
  <c r="G163" i="30"/>
  <c r="G162" i="30"/>
  <c r="G161" i="30"/>
  <c r="G160" i="30"/>
  <c r="G159" i="30"/>
  <c r="G158" i="30"/>
  <c r="G157" i="30"/>
  <c r="G156" i="30"/>
  <c r="D89" i="6" s="1"/>
  <c r="G155" i="30"/>
  <c r="G154" i="30"/>
  <c r="G153" i="30"/>
  <c r="G152" i="30"/>
  <c r="G151" i="30"/>
  <c r="G150" i="30"/>
  <c r="G149" i="30"/>
  <c r="G148" i="30"/>
  <c r="G147" i="30"/>
  <c r="G146" i="30"/>
  <c r="G145" i="30"/>
  <c r="G144" i="30"/>
  <c r="G143" i="30"/>
  <c r="G142" i="30"/>
  <c r="G141" i="30"/>
  <c r="G140" i="30"/>
  <c r="G139" i="30"/>
  <c r="G138" i="30"/>
  <c r="G137" i="30"/>
  <c r="G136" i="30"/>
  <c r="G135" i="30"/>
  <c r="G134" i="30"/>
  <c r="G133" i="30"/>
  <c r="G132" i="30"/>
  <c r="G131" i="30"/>
  <c r="G130" i="30"/>
  <c r="G129" i="30"/>
  <c r="D77" i="6" s="1"/>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14" i="30"/>
  <c r="G13" i="30"/>
  <c r="G12" i="30"/>
  <c r="G11" i="30"/>
  <c r="G10" i="30"/>
  <c r="G9" i="30"/>
  <c r="G8" i="30"/>
  <c r="G7" i="30"/>
  <c r="G6" i="30"/>
  <c r="G5" i="30"/>
  <c r="AA390" i="6" l="1"/>
  <c r="E773" i="9"/>
  <c r="E775" i="9"/>
  <c r="E774" i="9"/>
  <c r="C588" i="9"/>
  <c r="C954" i="9"/>
  <c r="D260" i="6"/>
  <c r="G230" i="6"/>
  <c r="L39" i="3"/>
  <c r="J40" i="3"/>
  <c r="G217" i="6"/>
  <c r="L40" i="3"/>
  <c r="C936" i="9"/>
  <c r="C813" i="9"/>
  <c r="F43" i="26"/>
  <c r="G890" i="30"/>
  <c r="C955" i="9"/>
  <c r="D356" i="6"/>
  <c r="C938" i="9"/>
  <c r="D353" i="6"/>
  <c r="C939" i="9"/>
  <c r="D357" i="6"/>
  <c r="C937" i="9"/>
  <c r="D804" i="9"/>
  <c r="C950" i="9"/>
  <c r="C951" i="9" s="1"/>
  <c r="D805" i="9"/>
  <c r="C924" i="9"/>
  <c r="C904" i="9"/>
  <c r="C896" i="9"/>
  <c r="C893" i="9"/>
  <c r="G893" i="30"/>
  <c r="G891" i="30"/>
  <c r="G889" i="30"/>
  <c r="D384" i="6"/>
  <c r="H384" i="6" s="1"/>
  <c r="I384" i="6" s="1"/>
  <c r="C895" i="9"/>
  <c r="D417" i="6"/>
  <c r="C894" i="9"/>
  <c r="D345" i="6"/>
  <c r="C884" i="9"/>
  <c r="D346" i="6"/>
  <c r="C885" i="9"/>
  <c r="D339" i="6"/>
  <c r="C880" i="9"/>
  <c r="D340" i="6"/>
  <c r="C881" i="9"/>
  <c r="D342" i="6"/>
  <c r="C882" i="9"/>
  <c r="D343" i="6"/>
  <c r="C883" i="9"/>
  <c r="D328" i="6"/>
  <c r="C878" i="9"/>
  <c r="D329" i="6"/>
  <c r="D332" i="6"/>
  <c r="H332" i="6" s="1"/>
  <c r="C807" i="9"/>
  <c r="D315" i="6"/>
  <c r="C871" i="9"/>
  <c r="D333" i="6"/>
  <c r="H333" i="6" s="1"/>
  <c r="C808" i="9"/>
  <c r="D334" i="6"/>
  <c r="H334" i="6" s="1"/>
  <c r="C809" i="9"/>
  <c r="D337" i="6"/>
  <c r="C798" i="9"/>
  <c r="D321" i="6"/>
  <c r="C799" i="9"/>
  <c r="D355" i="6"/>
  <c r="D320" i="6"/>
  <c r="D304" i="6"/>
  <c r="C797" i="9"/>
  <c r="D214" i="6"/>
  <c r="D302" i="6"/>
  <c r="C796" i="9"/>
  <c r="D231" i="6"/>
  <c r="E231" i="6" s="1"/>
  <c r="F415" i="6" s="1"/>
  <c r="C754" i="9"/>
  <c r="D255" i="6"/>
  <c r="E255" i="6" s="1"/>
  <c r="F430" i="6" s="1"/>
  <c r="C760" i="9"/>
  <c r="D256" i="6"/>
  <c r="E256" i="6" s="1"/>
  <c r="F461" i="6" s="1"/>
  <c r="C761" i="9"/>
  <c r="D257" i="6"/>
  <c r="E257" i="6" s="1"/>
  <c r="H257" i="6" s="1"/>
  <c r="C762" i="9"/>
  <c r="D245" i="6"/>
  <c r="C756" i="9"/>
  <c r="D258" i="6"/>
  <c r="E258" i="6" s="1"/>
  <c r="F402" i="6" s="1"/>
  <c r="C763" i="9"/>
  <c r="D251" i="6"/>
  <c r="C757" i="9"/>
  <c r="D252" i="6"/>
  <c r="C758" i="9"/>
  <c r="D234" i="6"/>
  <c r="E234" i="6" s="1"/>
  <c r="F411" i="6" s="1"/>
  <c r="C755" i="9"/>
  <c r="D253" i="6"/>
  <c r="C759" i="9"/>
  <c r="D219" i="6"/>
  <c r="G733" i="9"/>
  <c r="D240" i="6"/>
  <c r="C718" i="9"/>
  <c r="C720" i="9" s="1"/>
  <c r="D233" i="6"/>
  <c r="D208" i="6"/>
  <c r="C708" i="9"/>
  <c r="D207" i="6"/>
  <c r="C707" i="9"/>
  <c r="D206" i="6"/>
  <c r="C706" i="9"/>
  <c r="D200" i="6"/>
  <c r="C696" i="9"/>
  <c r="D196" i="6"/>
  <c r="C693" i="9"/>
  <c r="D197" i="6"/>
  <c r="C694" i="9"/>
  <c r="D198" i="6"/>
  <c r="D195" i="6"/>
  <c r="D149" i="6"/>
  <c r="C673" i="9"/>
  <c r="C585" i="9"/>
  <c r="C613" i="9"/>
  <c r="D217" i="6"/>
  <c r="D225" i="6"/>
  <c r="C587" i="9"/>
  <c r="C584" i="9"/>
  <c r="D160" i="6"/>
  <c r="G349" i="9"/>
  <c r="D573" i="9" s="1"/>
  <c r="D574" i="9" s="1"/>
  <c r="D350" i="6"/>
  <c r="D59" i="9"/>
  <c r="D351" i="6"/>
  <c r="D60" i="9"/>
  <c r="H101" i="6"/>
  <c r="L21" i="3"/>
  <c r="G204" i="6"/>
  <c r="L31" i="3"/>
  <c r="G237" i="6"/>
  <c r="H213" i="6"/>
  <c r="P213" i="6" s="1"/>
  <c r="AA213" i="6" s="1"/>
  <c r="L32" i="3"/>
  <c r="G239" i="6"/>
  <c r="F88" i="26"/>
  <c r="D478" i="6"/>
  <c r="F478" i="6" s="1"/>
  <c r="F28" i="26"/>
  <c r="D286" i="6"/>
  <c r="H286" i="6" s="1"/>
  <c r="J31" i="3"/>
  <c r="D237" i="6"/>
  <c r="S330" i="6"/>
  <c r="AA330" i="6" s="1"/>
  <c r="F79" i="26"/>
  <c r="D354" i="6"/>
  <c r="AA382" i="6"/>
  <c r="F32" i="26"/>
  <c r="D288" i="6"/>
  <c r="S331" i="6"/>
  <c r="AA331" i="6" s="1"/>
  <c r="F72" i="26"/>
  <c r="D348" i="6"/>
  <c r="J32" i="3"/>
  <c r="D239" i="6"/>
  <c r="F20" i="26"/>
  <c r="D279" i="6"/>
  <c r="J21" i="3"/>
  <c r="D204" i="6"/>
  <c r="F73" i="26"/>
  <c r="F76" i="26"/>
  <c r="F75" i="26"/>
  <c r="F67" i="26"/>
  <c r="F55" i="26"/>
  <c r="F38" i="26"/>
  <c r="F34" i="26"/>
  <c r="F37" i="26"/>
  <c r="F33" i="26"/>
  <c r="F35" i="26"/>
  <c r="F36" i="26"/>
  <c r="F39" i="26"/>
  <c r="J33" i="3"/>
  <c r="F29" i="26"/>
  <c r="L34" i="3"/>
  <c r="J19" i="3"/>
  <c r="L19" i="3"/>
  <c r="E698" i="9" s="1"/>
  <c r="L27" i="3"/>
  <c r="L26" i="3" s="1"/>
  <c r="E684" i="9" s="1"/>
  <c r="J39" i="3"/>
  <c r="L20" i="3"/>
  <c r="E710" i="9" s="1"/>
  <c r="F21" i="26"/>
  <c r="L33" i="3"/>
  <c r="J34" i="3"/>
  <c r="J27" i="3"/>
  <c r="J20" i="3"/>
  <c r="D19" i="3"/>
  <c r="D65" i="3"/>
  <c r="D66" i="3"/>
  <c r="L638" i="9" s="1"/>
  <c r="D72" i="3"/>
  <c r="D73" i="3"/>
  <c r="S101" i="6" l="1"/>
  <c r="AA101" i="6" s="1"/>
  <c r="I332" i="6"/>
  <c r="AA332" i="6" s="1"/>
  <c r="I334" i="6"/>
  <c r="AA334" i="6" s="1"/>
  <c r="AA384" i="6"/>
  <c r="I333" i="6"/>
  <c r="AA333" i="6" s="1"/>
  <c r="H149" i="6"/>
  <c r="M149" i="6" s="1"/>
  <c r="H417" i="6"/>
  <c r="M417" i="6" s="1"/>
  <c r="E786" i="9"/>
  <c r="L36" i="3"/>
  <c r="J36" i="3"/>
  <c r="C956" i="9"/>
  <c r="C957" i="9" s="1"/>
  <c r="D190" i="6"/>
  <c r="D275" i="6"/>
  <c r="J30" i="3"/>
  <c r="D845" i="9"/>
  <c r="C845" i="9"/>
  <c r="C940" i="9"/>
  <c r="E940" i="9" s="1"/>
  <c r="C898" i="9"/>
  <c r="D403" i="6"/>
  <c r="D467" i="6"/>
  <c r="F467" i="6" s="1"/>
  <c r="H467" i="6" s="1"/>
  <c r="E445" i="27"/>
  <c r="E437" i="27"/>
  <c r="E429" i="27"/>
  <c r="E444" i="27"/>
  <c r="E436" i="27"/>
  <c r="E428" i="27"/>
  <c r="G751" i="30"/>
  <c r="D399" i="6" s="1"/>
  <c r="E443" i="27"/>
  <c r="E435" i="27"/>
  <c r="E427" i="27"/>
  <c r="E431" i="27"/>
  <c r="E442" i="27"/>
  <c r="E434" i="27"/>
  <c r="E441" i="27"/>
  <c r="E433" i="27"/>
  <c r="E439" i="27"/>
  <c r="E440" i="27"/>
  <c r="E432" i="27"/>
  <c r="E438" i="27"/>
  <c r="E430" i="27"/>
  <c r="D486" i="6"/>
  <c r="D470" i="6"/>
  <c r="H470" i="6" s="1"/>
  <c r="Y470" i="6" s="1"/>
  <c r="C886" i="9"/>
  <c r="E886" i="9" s="1"/>
  <c r="C764" i="9"/>
  <c r="F764" i="9" s="1"/>
  <c r="C709" i="9"/>
  <c r="E709" i="9" s="1"/>
  <c r="C697" i="9"/>
  <c r="E697" i="9" s="1"/>
  <c r="F19" i="26"/>
  <c r="C589" i="9"/>
  <c r="F27" i="26"/>
  <c r="H234" i="6"/>
  <c r="F71" i="26"/>
  <c r="H258" i="6"/>
  <c r="S257" i="6"/>
  <c r="AA257" i="6" s="1"/>
  <c r="H256" i="6"/>
  <c r="I286" i="6"/>
  <c r="AA286" i="6" s="1"/>
  <c r="H255" i="6"/>
  <c r="K22" i="7"/>
  <c r="L30" i="3"/>
  <c r="E721" i="9" s="1"/>
  <c r="L18" i="3"/>
  <c r="J18" i="3"/>
  <c r="G892" i="30"/>
  <c r="G350" i="9"/>
  <c r="S258" i="6" l="1"/>
  <c r="AA258" i="6" s="1"/>
  <c r="AA470" i="6"/>
  <c r="J234" i="6"/>
  <c r="AA234" i="6" s="1"/>
  <c r="S256" i="6"/>
  <c r="AA256" i="6" s="1"/>
  <c r="AA417" i="6"/>
  <c r="AA149" i="6"/>
  <c r="H403" i="6"/>
  <c r="M403" i="6" s="1"/>
  <c r="M467" i="6"/>
  <c r="K467" i="6"/>
  <c r="G894" i="30"/>
  <c r="G895" i="30" s="1"/>
  <c r="F44" i="26"/>
  <c r="E898" i="9" s="1"/>
  <c r="S255" i="6"/>
  <c r="AA255" i="6" s="1"/>
  <c r="L42" i="3"/>
  <c r="L62" i="3" s="1"/>
  <c r="L80" i="3" s="1"/>
  <c r="F573" i="9"/>
  <c r="F574" i="9" s="1"/>
  <c r="AA403" i="6" l="1"/>
  <c r="AA467" i="6"/>
  <c r="I5" i="30"/>
  <c r="K5" i="30"/>
  <c r="M5" i="30"/>
  <c r="I6" i="30"/>
  <c r="K6" i="30"/>
  <c r="M6" i="30"/>
  <c r="I7" i="30"/>
  <c r="K7" i="30"/>
  <c r="M7" i="30"/>
  <c r="I8" i="30"/>
  <c r="K8" i="30"/>
  <c r="M8" i="30"/>
  <c r="I9" i="30"/>
  <c r="K9" i="30"/>
  <c r="M9" i="30"/>
  <c r="I10" i="30"/>
  <c r="K10" i="30"/>
  <c r="M10" i="30"/>
  <c r="I11" i="30"/>
  <c r="K11" i="30"/>
  <c r="M11" i="30"/>
  <c r="I12" i="30"/>
  <c r="K12" i="30"/>
  <c r="M12" i="30"/>
  <c r="I13" i="30"/>
  <c r="K13" i="30"/>
  <c r="M13" i="30"/>
  <c r="I14" i="30"/>
  <c r="K14" i="30"/>
  <c r="M14" i="30"/>
  <c r="I15" i="30"/>
  <c r="K15" i="30"/>
  <c r="M15" i="30"/>
  <c r="I16" i="30"/>
  <c r="M16" i="30"/>
  <c r="I17" i="30"/>
  <c r="M17" i="30"/>
  <c r="I18" i="30"/>
  <c r="M18" i="30"/>
  <c r="I19" i="30"/>
  <c r="M19" i="30"/>
  <c r="I20" i="30"/>
  <c r="K20" i="30"/>
  <c r="M20" i="30"/>
  <c r="I21" i="30"/>
  <c r="M21" i="30"/>
  <c r="I22" i="30"/>
  <c r="M22" i="30"/>
  <c r="I23" i="30"/>
  <c r="M23" i="30"/>
  <c r="I24" i="30"/>
  <c r="M24" i="30"/>
  <c r="I25" i="30"/>
  <c r="K25" i="30"/>
  <c r="M25" i="30"/>
  <c r="I26" i="30"/>
  <c r="M26" i="30"/>
  <c r="I27" i="30"/>
  <c r="M27" i="30"/>
  <c r="I28" i="30"/>
  <c r="M28" i="30"/>
  <c r="I29" i="30"/>
  <c r="M29" i="30"/>
  <c r="I30" i="30"/>
  <c r="K30" i="30"/>
  <c r="M30" i="30"/>
  <c r="I31" i="30"/>
  <c r="K31" i="30"/>
  <c r="M31" i="30"/>
  <c r="I32" i="30"/>
  <c r="K32" i="30"/>
  <c r="M32" i="30"/>
  <c r="I33" i="30"/>
  <c r="K33" i="30"/>
  <c r="M33" i="30"/>
  <c r="I34" i="30"/>
  <c r="K34" i="30"/>
  <c r="M34" i="30"/>
  <c r="I35" i="30"/>
  <c r="K35" i="30"/>
  <c r="M35" i="30"/>
  <c r="I36" i="30"/>
  <c r="K36" i="30"/>
  <c r="M36" i="30"/>
  <c r="I37" i="30"/>
  <c r="K37" i="30"/>
  <c r="M37" i="30"/>
  <c r="I38" i="30"/>
  <c r="K38" i="30"/>
  <c r="M38" i="30"/>
  <c r="I39" i="30"/>
  <c r="M39" i="30"/>
  <c r="I40" i="30"/>
  <c r="M40" i="30"/>
  <c r="I41" i="30"/>
  <c r="M41" i="30"/>
  <c r="I42" i="30"/>
  <c r="K42" i="30"/>
  <c r="M42" i="30"/>
  <c r="I43" i="30"/>
  <c r="M43" i="30"/>
  <c r="I44" i="30"/>
  <c r="K44" i="30"/>
  <c r="M44" i="30"/>
  <c r="I45" i="30"/>
  <c r="K45" i="30"/>
  <c r="M45" i="30"/>
  <c r="I46" i="30"/>
  <c r="M46" i="30"/>
  <c r="I47" i="30"/>
  <c r="M47" i="30"/>
  <c r="I48" i="30"/>
  <c r="M48" i="30"/>
  <c r="I49" i="30"/>
  <c r="M49" i="30"/>
  <c r="I50" i="30"/>
  <c r="K50" i="30"/>
  <c r="M50" i="30"/>
  <c r="I51" i="30"/>
  <c r="K51" i="30"/>
  <c r="M51" i="30"/>
  <c r="I52" i="30"/>
  <c r="K52" i="30"/>
  <c r="M52" i="30"/>
  <c r="I53" i="30"/>
  <c r="K53" i="30"/>
  <c r="M53" i="30"/>
  <c r="I54" i="30"/>
  <c r="K54" i="30"/>
  <c r="M54" i="30"/>
  <c r="I55" i="30"/>
  <c r="K55" i="30"/>
  <c r="M55" i="30"/>
  <c r="I56" i="30"/>
  <c r="K56" i="30"/>
  <c r="M56" i="30"/>
  <c r="I57" i="30"/>
  <c r="K57" i="30"/>
  <c r="M57" i="30"/>
  <c r="I58" i="30"/>
  <c r="K58" i="30"/>
  <c r="M58" i="30"/>
  <c r="I59" i="30"/>
  <c r="K59" i="30"/>
  <c r="M59" i="30"/>
  <c r="I60" i="30"/>
  <c r="K60" i="30"/>
  <c r="M60" i="30"/>
  <c r="I61" i="30"/>
  <c r="K61" i="30"/>
  <c r="M61" i="30"/>
  <c r="I62" i="30"/>
  <c r="K62" i="30"/>
  <c r="M62" i="30"/>
  <c r="I63" i="30"/>
  <c r="K63" i="30"/>
  <c r="M63" i="30"/>
  <c r="I64" i="30"/>
  <c r="K64" i="30"/>
  <c r="M64" i="30"/>
  <c r="I65" i="30"/>
  <c r="K65" i="30"/>
  <c r="M65" i="30"/>
  <c r="I66" i="30"/>
  <c r="K66" i="30"/>
  <c r="M66" i="30"/>
  <c r="I67" i="30"/>
  <c r="K67" i="30"/>
  <c r="M67" i="30"/>
  <c r="I68" i="30"/>
  <c r="K68" i="30"/>
  <c r="M68" i="30"/>
  <c r="I69" i="30"/>
  <c r="K69" i="30"/>
  <c r="M69" i="30"/>
  <c r="I70" i="30"/>
  <c r="K70" i="30"/>
  <c r="M70" i="30"/>
  <c r="I71" i="30"/>
  <c r="K71" i="30"/>
  <c r="M71" i="30"/>
  <c r="I72" i="30"/>
  <c r="K72" i="30"/>
  <c r="M72" i="30"/>
  <c r="I73" i="30"/>
  <c r="K73" i="30"/>
  <c r="M73" i="30"/>
  <c r="I74" i="30"/>
  <c r="K74" i="30"/>
  <c r="M74" i="30"/>
  <c r="I75" i="30"/>
  <c r="K75" i="30"/>
  <c r="M75" i="30"/>
  <c r="I76" i="30"/>
  <c r="K76" i="30"/>
  <c r="M76" i="30"/>
  <c r="I77" i="30"/>
  <c r="K77" i="30"/>
  <c r="M77" i="30"/>
  <c r="I78" i="30"/>
  <c r="K78" i="30"/>
  <c r="M78" i="30"/>
  <c r="I79" i="30"/>
  <c r="K79" i="30"/>
  <c r="M79" i="30"/>
  <c r="I80" i="30"/>
  <c r="K80" i="30"/>
  <c r="M80" i="30"/>
  <c r="I81" i="30"/>
  <c r="K81" i="30"/>
  <c r="M81" i="30"/>
  <c r="I82" i="30"/>
  <c r="K82" i="30"/>
  <c r="M82" i="30"/>
  <c r="I83" i="30"/>
  <c r="K83" i="30"/>
  <c r="M83" i="30"/>
  <c r="I84" i="30"/>
  <c r="K84" i="30"/>
  <c r="M84" i="30"/>
  <c r="I85" i="30"/>
  <c r="K85" i="30"/>
  <c r="M85" i="30"/>
  <c r="I86" i="30"/>
  <c r="K86" i="30"/>
  <c r="M86" i="30"/>
  <c r="I87" i="30"/>
  <c r="K87" i="30"/>
  <c r="M87" i="30"/>
  <c r="I88" i="30"/>
  <c r="K88" i="30"/>
  <c r="M88" i="30"/>
  <c r="I89" i="30"/>
  <c r="K89" i="30"/>
  <c r="M89" i="30"/>
  <c r="I90" i="30"/>
  <c r="K90" i="30"/>
  <c r="M90" i="30"/>
  <c r="I91" i="30"/>
  <c r="K91" i="30"/>
  <c r="M91" i="30"/>
  <c r="I92" i="30"/>
  <c r="K92" i="30"/>
  <c r="M92" i="30"/>
  <c r="I93" i="30"/>
  <c r="K93" i="30"/>
  <c r="M93" i="30"/>
  <c r="I94" i="30"/>
  <c r="K94" i="30"/>
  <c r="M94" i="30"/>
  <c r="I95" i="30"/>
  <c r="K95" i="30"/>
  <c r="M95" i="30"/>
  <c r="I96" i="30"/>
  <c r="K96" i="30"/>
  <c r="M96" i="30"/>
  <c r="I97" i="30"/>
  <c r="K97" i="30"/>
  <c r="M97" i="30"/>
  <c r="I98" i="30"/>
  <c r="K98" i="30"/>
  <c r="M98" i="30"/>
  <c r="I99" i="30"/>
  <c r="K99" i="30"/>
  <c r="M99" i="30"/>
  <c r="I100" i="30"/>
  <c r="K100" i="30"/>
  <c r="M100" i="30"/>
  <c r="I101" i="30"/>
  <c r="K101" i="30"/>
  <c r="M101" i="30"/>
  <c r="I102" i="30"/>
  <c r="K102" i="30"/>
  <c r="M102" i="30"/>
  <c r="I103" i="30"/>
  <c r="K103" i="30"/>
  <c r="M103" i="30"/>
  <c r="I104" i="30"/>
  <c r="K104" i="30"/>
  <c r="M104" i="30"/>
  <c r="I105" i="30"/>
  <c r="K105" i="30"/>
  <c r="M105" i="30"/>
  <c r="I106" i="30"/>
  <c r="K106" i="30"/>
  <c r="M106" i="30"/>
  <c r="I107" i="30"/>
  <c r="K107" i="30"/>
  <c r="M107" i="30"/>
  <c r="I108" i="30"/>
  <c r="K108" i="30"/>
  <c r="M108" i="30"/>
  <c r="I109" i="30"/>
  <c r="K109" i="30"/>
  <c r="M109" i="30"/>
  <c r="I110" i="30"/>
  <c r="K110" i="30"/>
  <c r="M110" i="30"/>
  <c r="I111" i="30"/>
  <c r="K111" i="30"/>
  <c r="M111" i="30"/>
  <c r="I112" i="30"/>
  <c r="K112" i="30"/>
  <c r="M112" i="30"/>
  <c r="I113" i="30"/>
  <c r="K113" i="30"/>
  <c r="M113" i="30"/>
  <c r="I114" i="30"/>
  <c r="K114" i="30"/>
  <c r="M114" i="30"/>
  <c r="I115" i="30"/>
  <c r="K115" i="30"/>
  <c r="M115" i="30"/>
  <c r="I116" i="30"/>
  <c r="K116" i="30"/>
  <c r="M116" i="30"/>
  <c r="I117" i="30"/>
  <c r="K117" i="30"/>
  <c r="M117" i="30"/>
  <c r="I118" i="30"/>
  <c r="K118" i="30"/>
  <c r="M118" i="30"/>
  <c r="I119" i="30"/>
  <c r="K119" i="30"/>
  <c r="M119" i="30"/>
  <c r="I120" i="30"/>
  <c r="K120" i="30"/>
  <c r="M120" i="30"/>
  <c r="I121" i="30"/>
  <c r="K121" i="30"/>
  <c r="M121" i="30"/>
  <c r="I122" i="30"/>
  <c r="K122" i="30"/>
  <c r="M122" i="30"/>
  <c r="I123" i="30"/>
  <c r="K123" i="30"/>
  <c r="M123" i="30"/>
  <c r="I124" i="30"/>
  <c r="K124" i="30"/>
  <c r="M124" i="30"/>
  <c r="I125" i="30"/>
  <c r="K125" i="30"/>
  <c r="M125" i="30"/>
  <c r="I126" i="30"/>
  <c r="K126" i="30"/>
  <c r="M126" i="30"/>
  <c r="I127" i="30"/>
  <c r="K127" i="30"/>
  <c r="M127" i="30"/>
  <c r="I128" i="30"/>
  <c r="K128" i="30"/>
  <c r="M128" i="30"/>
  <c r="I129" i="30"/>
  <c r="K129" i="30"/>
  <c r="G77" i="6" s="1"/>
  <c r="H77" i="6" s="1"/>
  <c r="M129" i="30"/>
  <c r="I130" i="30"/>
  <c r="K130" i="30"/>
  <c r="M130" i="30"/>
  <c r="I131" i="30"/>
  <c r="K131" i="30"/>
  <c r="M131" i="30"/>
  <c r="I132" i="30"/>
  <c r="K132" i="30"/>
  <c r="M132" i="30"/>
  <c r="I133" i="30"/>
  <c r="K133" i="30"/>
  <c r="M133" i="30"/>
  <c r="I134" i="30"/>
  <c r="K134" i="30"/>
  <c r="M134" i="30"/>
  <c r="I135" i="30"/>
  <c r="K135" i="30"/>
  <c r="M135" i="30"/>
  <c r="I136" i="30"/>
  <c r="K136" i="30"/>
  <c r="M136" i="30"/>
  <c r="I137" i="30"/>
  <c r="K137" i="30"/>
  <c r="M137" i="30"/>
  <c r="I138" i="30"/>
  <c r="K138" i="30"/>
  <c r="M138" i="30"/>
  <c r="I139" i="30"/>
  <c r="K139" i="30"/>
  <c r="M139" i="30"/>
  <c r="I140" i="30"/>
  <c r="K140" i="30"/>
  <c r="M140" i="30"/>
  <c r="I141" i="30"/>
  <c r="K141" i="30"/>
  <c r="M141" i="30"/>
  <c r="I142" i="30"/>
  <c r="K142" i="30"/>
  <c r="M142" i="30"/>
  <c r="I143" i="30"/>
  <c r="K143" i="30"/>
  <c r="M143" i="30"/>
  <c r="I144" i="30"/>
  <c r="K144" i="30"/>
  <c r="M144" i="30"/>
  <c r="I145" i="30"/>
  <c r="K145" i="30"/>
  <c r="M145" i="30"/>
  <c r="I146" i="30"/>
  <c r="K146" i="30"/>
  <c r="M146" i="30"/>
  <c r="I147" i="30"/>
  <c r="K147" i="30"/>
  <c r="M147" i="30"/>
  <c r="I148" i="30"/>
  <c r="K148" i="30"/>
  <c r="M148" i="30"/>
  <c r="I149" i="30"/>
  <c r="K149" i="30"/>
  <c r="M149" i="30"/>
  <c r="I150" i="30"/>
  <c r="K150" i="30"/>
  <c r="M150" i="30"/>
  <c r="I151" i="30"/>
  <c r="K151" i="30"/>
  <c r="M151" i="30"/>
  <c r="I152" i="30"/>
  <c r="K152" i="30"/>
  <c r="M152" i="30"/>
  <c r="I153" i="30"/>
  <c r="K153" i="30"/>
  <c r="M153" i="30"/>
  <c r="I154" i="30"/>
  <c r="K154" i="30"/>
  <c r="M154" i="30"/>
  <c r="I155" i="30"/>
  <c r="K155" i="30"/>
  <c r="M155" i="30"/>
  <c r="I156" i="30"/>
  <c r="K156" i="30"/>
  <c r="G89" i="6" s="1"/>
  <c r="H89" i="6" s="1"/>
  <c r="M156" i="30"/>
  <c r="I157" i="30"/>
  <c r="K157" i="30"/>
  <c r="M157" i="30"/>
  <c r="I158" i="30"/>
  <c r="K158" i="30"/>
  <c r="M158" i="30"/>
  <c r="I159" i="30"/>
  <c r="K159" i="30"/>
  <c r="M159" i="30"/>
  <c r="I160" i="30"/>
  <c r="K160" i="30"/>
  <c r="M160" i="30"/>
  <c r="I161" i="30"/>
  <c r="K161" i="30"/>
  <c r="M161" i="30"/>
  <c r="I162" i="30"/>
  <c r="K162" i="30"/>
  <c r="M162" i="30"/>
  <c r="I163" i="30"/>
  <c r="K163" i="30"/>
  <c r="M163" i="30"/>
  <c r="I164" i="30"/>
  <c r="K164" i="30"/>
  <c r="M164" i="30"/>
  <c r="I165" i="30"/>
  <c r="K165" i="30"/>
  <c r="M165" i="30"/>
  <c r="I166" i="30"/>
  <c r="K166" i="30"/>
  <c r="M166" i="30"/>
  <c r="I167" i="30"/>
  <c r="K167" i="30"/>
  <c r="M167" i="30"/>
  <c r="I168" i="30"/>
  <c r="K168" i="30"/>
  <c r="M168" i="30"/>
  <c r="I169" i="30"/>
  <c r="K169" i="30"/>
  <c r="M169" i="30"/>
  <c r="I170" i="30"/>
  <c r="K170" i="30"/>
  <c r="M170" i="30"/>
  <c r="I171" i="30"/>
  <c r="K171" i="30"/>
  <c r="M171" i="30"/>
  <c r="I172" i="30"/>
  <c r="K172" i="30"/>
  <c r="M172" i="30"/>
  <c r="I173" i="30"/>
  <c r="K173" i="30"/>
  <c r="M173" i="30"/>
  <c r="I174" i="30"/>
  <c r="K174" i="30"/>
  <c r="M174" i="30"/>
  <c r="I175" i="30"/>
  <c r="K175" i="30"/>
  <c r="M175" i="30"/>
  <c r="I176" i="30"/>
  <c r="K176" i="30"/>
  <c r="M176" i="30"/>
  <c r="I177" i="30"/>
  <c r="K177" i="30"/>
  <c r="M177" i="30"/>
  <c r="I178" i="30"/>
  <c r="K178" i="30"/>
  <c r="M178" i="30"/>
  <c r="I179" i="30"/>
  <c r="K179" i="30"/>
  <c r="M179" i="30"/>
  <c r="I180" i="30"/>
  <c r="K180" i="30"/>
  <c r="M180" i="30"/>
  <c r="I181" i="30"/>
  <c r="K181" i="30"/>
  <c r="M181" i="30"/>
  <c r="I182" i="30"/>
  <c r="K182" i="30"/>
  <c r="M182" i="30"/>
  <c r="I183" i="30"/>
  <c r="K183" i="30"/>
  <c r="M183" i="30"/>
  <c r="I184" i="30"/>
  <c r="K184" i="30"/>
  <c r="M184" i="30"/>
  <c r="I185" i="30"/>
  <c r="K185" i="30"/>
  <c r="M185" i="30"/>
  <c r="I186" i="30"/>
  <c r="K186" i="30"/>
  <c r="M186" i="30"/>
  <c r="I187" i="30"/>
  <c r="K187" i="30"/>
  <c r="M187" i="30"/>
  <c r="I188" i="30"/>
  <c r="K188" i="30"/>
  <c r="M188" i="30"/>
  <c r="I189" i="30"/>
  <c r="K189" i="30"/>
  <c r="M189" i="30"/>
  <c r="I190" i="30"/>
  <c r="K190" i="30"/>
  <c r="M190" i="30"/>
  <c r="I191" i="30"/>
  <c r="K191" i="30"/>
  <c r="M191" i="30"/>
  <c r="I192" i="30"/>
  <c r="K192" i="30"/>
  <c r="M192" i="30"/>
  <c r="I193" i="30"/>
  <c r="K193" i="30"/>
  <c r="M193" i="30"/>
  <c r="I194" i="30"/>
  <c r="K194" i="30"/>
  <c r="M194" i="30"/>
  <c r="I195" i="30"/>
  <c r="K195" i="30"/>
  <c r="M195" i="30"/>
  <c r="I196" i="30"/>
  <c r="K196" i="30"/>
  <c r="M196" i="30"/>
  <c r="I197" i="30"/>
  <c r="K197" i="30"/>
  <c r="M197" i="30"/>
  <c r="I198" i="30"/>
  <c r="K198" i="30"/>
  <c r="M198" i="30"/>
  <c r="I199" i="30"/>
  <c r="K199" i="30"/>
  <c r="M199" i="30"/>
  <c r="I200" i="30"/>
  <c r="K200" i="30"/>
  <c r="M200" i="30"/>
  <c r="I201" i="30"/>
  <c r="K201" i="30"/>
  <c r="M201" i="30"/>
  <c r="I202" i="30"/>
  <c r="K202" i="30"/>
  <c r="M202" i="30"/>
  <c r="I203" i="30"/>
  <c r="K203" i="30"/>
  <c r="M203" i="30"/>
  <c r="I204" i="30"/>
  <c r="K204" i="30"/>
  <c r="M204" i="30"/>
  <c r="I205" i="30"/>
  <c r="K205" i="30"/>
  <c r="M205" i="30"/>
  <c r="I206" i="30"/>
  <c r="K206" i="30"/>
  <c r="M206" i="30"/>
  <c r="I207" i="30"/>
  <c r="K207" i="30"/>
  <c r="M207" i="30"/>
  <c r="I208" i="30"/>
  <c r="K208" i="30"/>
  <c r="M208" i="30"/>
  <c r="I209" i="30"/>
  <c r="K209" i="30"/>
  <c r="M209" i="30"/>
  <c r="I210" i="30"/>
  <c r="K210" i="30"/>
  <c r="M210" i="30"/>
  <c r="I211" i="30"/>
  <c r="K211" i="30"/>
  <c r="M211" i="30"/>
  <c r="I212" i="30"/>
  <c r="K212" i="30"/>
  <c r="M212" i="30"/>
  <c r="I214" i="30"/>
  <c r="K214" i="30"/>
  <c r="M214" i="30"/>
  <c r="I215" i="30"/>
  <c r="K215" i="30"/>
  <c r="M215" i="30"/>
  <c r="I216" i="30"/>
  <c r="K216" i="30"/>
  <c r="M216" i="30"/>
  <c r="I217" i="30"/>
  <c r="K217" i="30"/>
  <c r="M217" i="30"/>
  <c r="I218" i="30"/>
  <c r="K218" i="30"/>
  <c r="M218" i="30"/>
  <c r="I219" i="30"/>
  <c r="K219" i="30"/>
  <c r="M219" i="30"/>
  <c r="I220" i="30"/>
  <c r="K220" i="30"/>
  <c r="M220" i="30"/>
  <c r="I221" i="30"/>
  <c r="K221" i="30"/>
  <c r="M221" i="30"/>
  <c r="I222" i="30"/>
  <c r="K222" i="30"/>
  <c r="M222" i="30"/>
  <c r="I223" i="30"/>
  <c r="K223" i="30"/>
  <c r="M223" i="30"/>
  <c r="I224" i="30"/>
  <c r="K224" i="30"/>
  <c r="M224" i="30"/>
  <c r="I225" i="30"/>
  <c r="K225" i="30"/>
  <c r="M225" i="30"/>
  <c r="I226" i="30"/>
  <c r="K226" i="30"/>
  <c r="M226" i="30"/>
  <c r="I227" i="30"/>
  <c r="K227" i="30"/>
  <c r="M227" i="30"/>
  <c r="I228" i="30"/>
  <c r="K228" i="30"/>
  <c r="M228" i="30"/>
  <c r="I229" i="30"/>
  <c r="K229" i="30"/>
  <c r="M229" i="30"/>
  <c r="I230" i="30"/>
  <c r="K230" i="30"/>
  <c r="M230" i="30"/>
  <c r="I231" i="30"/>
  <c r="K231" i="30"/>
  <c r="M231" i="30"/>
  <c r="I232" i="30"/>
  <c r="K232" i="30"/>
  <c r="M232" i="30"/>
  <c r="I233" i="30"/>
  <c r="K233" i="30"/>
  <c r="M233" i="30"/>
  <c r="I234" i="30"/>
  <c r="K234" i="30"/>
  <c r="M234" i="30"/>
  <c r="I235" i="30"/>
  <c r="K235" i="30"/>
  <c r="M235" i="30"/>
  <c r="I236" i="30"/>
  <c r="K236" i="30"/>
  <c r="M236" i="30"/>
  <c r="I237" i="30"/>
  <c r="K237" i="30"/>
  <c r="M237" i="30"/>
  <c r="I238" i="30"/>
  <c r="K238" i="30"/>
  <c r="M238" i="30"/>
  <c r="I239" i="30"/>
  <c r="K239" i="30"/>
  <c r="M239" i="30"/>
  <c r="I240" i="30"/>
  <c r="K240" i="30"/>
  <c r="M240" i="30"/>
  <c r="I241" i="30"/>
  <c r="K241" i="30"/>
  <c r="M241" i="30"/>
  <c r="I242" i="30"/>
  <c r="K242" i="30"/>
  <c r="M242" i="30"/>
  <c r="I243" i="30"/>
  <c r="K243" i="30"/>
  <c r="M243" i="30"/>
  <c r="I244" i="30"/>
  <c r="K244" i="30"/>
  <c r="M244" i="30"/>
  <c r="I245" i="30"/>
  <c r="K245" i="30"/>
  <c r="M245" i="30"/>
  <c r="I246" i="30"/>
  <c r="K246" i="30"/>
  <c r="M246" i="30"/>
  <c r="I247" i="30"/>
  <c r="K247" i="30"/>
  <c r="M247" i="30"/>
  <c r="I248" i="30"/>
  <c r="K248" i="30"/>
  <c r="M248" i="30"/>
  <c r="I249" i="30"/>
  <c r="K249" i="30"/>
  <c r="D599" i="9" s="1"/>
  <c r="M249" i="30"/>
  <c r="I250" i="30"/>
  <c r="K250" i="30"/>
  <c r="D600" i="9" s="1"/>
  <c r="M250" i="30"/>
  <c r="I251" i="30"/>
  <c r="K251" i="30"/>
  <c r="M251" i="30"/>
  <c r="I252" i="30"/>
  <c r="K252" i="30"/>
  <c r="D608" i="9" s="1"/>
  <c r="M252" i="30"/>
  <c r="I253" i="30"/>
  <c r="K253" i="30"/>
  <c r="D609" i="9" s="1"/>
  <c r="M253" i="30"/>
  <c r="I254" i="30"/>
  <c r="K254" i="30"/>
  <c r="M254" i="30"/>
  <c r="I255" i="30"/>
  <c r="K255" i="30"/>
  <c r="M255" i="30"/>
  <c r="I256" i="30"/>
  <c r="K256" i="30"/>
  <c r="M256" i="30"/>
  <c r="I257" i="30"/>
  <c r="K257" i="30"/>
  <c r="M257" i="30"/>
  <c r="I258" i="30"/>
  <c r="K258" i="30"/>
  <c r="M258" i="30"/>
  <c r="I259" i="30"/>
  <c r="K259" i="30"/>
  <c r="M259" i="30"/>
  <c r="I260" i="30"/>
  <c r="K260" i="30"/>
  <c r="M260" i="30"/>
  <c r="I261" i="30"/>
  <c r="K261" i="30"/>
  <c r="D610" i="9" s="1"/>
  <c r="M261" i="30"/>
  <c r="I262" i="30"/>
  <c r="K262" i="30"/>
  <c r="M262" i="30"/>
  <c r="I263" i="30"/>
  <c r="K263" i="30"/>
  <c r="M263" i="30"/>
  <c r="I264" i="30"/>
  <c r="K264" i="30"/>
  <c r="D611" i="9" s="1"/>
  <c r="M264" i="30"/>
  <c r="I265" i="30"/>
  <c r="K265" i="30"/>
  <c r="D612" i="9" s="1"/>
  <c r="M265" i="30"/>
  <c r="I266" i="30"/>
  <c r="K266" i="30"/>
  <c r="M266" i="30"/>
  <c r="I267" i="30"/>
  <c r="K267" i="30"/>
  <c r="M267" i="30"/>
  <c r="I268" i="30"/>
  <c r="K268" i="30"/>
  <c r="M268" i="30"/>
  <c r="I269" i="30"/>
  <c r="K269" i="30"/>
  <c r="M269" i="30"/>
  <c r="I270" i="30"/>
  <c r="K270" i="30"/>
  <c r="M270" i="30"/>
  <c r="I271" i="30"/>
  <c r="K271" i="30"/>
  <c r="M271" i="30"/>
  <c r="I272" i="30"/>
  <c r="K272" i="30"/>
  <c r="M272" i="30"/>
  <c r="I273" i="30"/>
  <c r="K273" i="30"/>
  <c r="M273" i="30"/>
  <c r="I274" i="30"/>
  <c r="K274" i="30"/>
  <c r="M274" i="30"/>
  <c r="I275" i="30"/>
  <c r="K275" i="30"/>
  <c r="M275" i="30"/>
  <c r="I276" i="30"/>
  <c r="K276" i="30"/>
  <c r="M276" i="30"/>
  <c r="I277" i="30"/>
  <c r="K277" i="30"/>
  <c r="M277" i="30"/>
  <c r="I278" i="30"/>
  <c r="K278" i="30"/>
  <c r="M278" i="30"/>
  <c r="I279" i="30"/>
  <c r="K279" i="30"/>
  <c r="M279" i="30"/>
  <c r="I280" i="30"/>
  <c r="K280" i="30"/>
  <c r="M280" i="30"/>
  <c r="I281" i="30"/>
  <c r="K281" i="30"/>
  <c r="M281" i="30"/>
  <c r="I282" i="30"/>
  <c r="K282" i="30"/>
  <c r="M282" i="30"/>
  <c r="I283" i="30"/>
  <c r="K283" i="30"/>
  <c r="M283" i="30"/>
  <c r="I284" i="30"/>
  <c r="K284" i="30"/>
  <c r="M284" i="30"/>
  <c r="I285" i="30"/>
  <c r="K285" i="30"/>
  <c r="D666" i="9" s="1"/>
  <c r="M285" i="30"/>
  <c r="I286" i="30"/>
  <c r="K286" i="30"/>
  <c r="D664" i="9" s="1"/>
  <c r="M286" i="30"/>
  <c r="I287" i="30"/>
  <c r="K287" i="30"/>
  <c r="M287" i="30"/>
  <c r="I288" i="30"/>
  <c r="K288" i="30"/>
  <c r="M288" i="30"/>
  <c r="I289" i="30"/>
  <c r="K289" i="30"/>
  <c r="M289" i="30"/>
  <c r="I290" i="30"/>
  <c r="K290" i="30"/>
  <c r="M290" i="30"/>
  <c r="I291" i="30"/>
  <c r="K291" i="30"/>
  <c r="M291" i="30"/>
  <c r="I292" i="30"/>
  <c r="K292" i="30"/>
  <c r="M292" i="30"/>
  <c r="I293" i="30"/>
  <c r="K293" i="30"/>
  <c r="M293" i="30"/>
  <c r="I294" i="30"/>
  <c r="K294" i="30"/>
  <c r="M294" i="30"/>
  <c r="I295" i="30"/>
  <c r="K295" i="30"/>
  <c r="M295" i="30"/>
  <c r="I296" i="30"/>
  <c r="K296" i="30"/>
  <c r="M296" i="30"/>
  <c r="I297" i="30"/>
  <c r="K297" i="30"/>
  <c r="M297" i="30"/>
  <c r="I298" i="30"/>
  <c r="K298" i="30"/>
  <c r="M298" i="30"/>
  <c r="I299" i="30"/>
  <c r="K299" i="30"/>
  <c r="M299" i="30"/>
  <c r="I300" i="30"/>
  <c r="K300" i="30"/>
  <c r="M300" i="30"/>
  <c r="I301" i="30"/>
  <c r="K301" i="30"/>
  <c r="M301" i="30"/>
  <c r="I302" i="30"/>
  <c r="K302" i="30"/>
  <c r="M302" i="30"/>
  <c r="I303" i="30"/>
  <c r="K303" i="30"/>
  <c r="M303" i="30"/>
  <c r="I304" i="30"/>
  <c r="K304" i="30"/>
  <c r="M304" i="30"/>
  <c r="I305" i="30"/>
  <c r="K305" i="30"/>
  <c r="M305" i="30"/>
  <c r="I306" i="30"/>
  <c r="K306" i="30"/>
  <c r="M306" i="30"/>
  <c r="I307" i="30"/>
  <c r="K307" i="30"/>
  <c r="M307" i="30"/>
  <c r="I308" i="30"/>
  <c r="K308" i="30"/>
  <c r="M308" i="30"/>
  <c r="I310" i="30"/>
  <c r="K310" i="30"/>
  <c r="M310" i="30"/>
  <c r="I311" i="30"/>
  <c r="K311" i="30"/>
  <c r="M311" i="30"/>
  <c r="I312" i="30"/>
  <c r="K312" i="30"/>
  <c r="M312" i="30"/>
  <c r="I313" i="30"/>
  <c r="K313" i="30"/>
  <c r="M313" i="30"/>
  <c r="I314" i="30"/>
  <c r="K314" i="30"/>
  <c r="M314" i="30"/>
  <c r="I315" i="30"/>
  <c r="K315" i="30"/>
  <c r="M315" i="30"/>
  <c r="I316" i="30"/>
  <c r="K316" i="30"/>
  <c r="M316" i="30"/>
  <c r="I317" i="30"/>
  <c r="K317" i="30"/>
  <c r="M317" i="30"/>
  <c r="I318" i="30"/>
  <c r="K318" i="30"/>
  <c r="M318" i="30"/>
  <c r="I319" i="30"/>
  <c r="K319" i="30"/>
  <c r="M319" i="30"/>
  <c r="I320" i="30"/>
  <c r="K320" i="30"/>
  <c r="M320" i="30"/>
  <c r="I321" i="30"/>
  <c r="K321" i="30"/>
  <c r="M321" i="30"/>
  <c r="I322" i="30"/>
  <c r="K322" i="30"/>
  <c r="M322" i="30"/>
  <c r="I323" i="30"/>
  <c r="K323" i="30"/>
  <c r="M323" i="30"/>
  <c r="I324" i="30"/>
  <c r="K324" i="30"/>
  <c r="G160" i="6" s="1"/>
  <c r="H160" i="6" s="1"/>
  <c r="M324" i="30"/>
  <c r="I325" i="30"/>
  <c r="K325" i="30"/>
  <c r="M325" i="30"/>
  <c r="I326" i="30"/>
  <c r="K326" i="30"/>
  <c r="M326" i="30"/>
  <c r="I327" i="30"/>
  <c r="K327" i="30"/>
  <c r="M327" i="30"/>
  <c r="I328" i="30"/>
  <c r="K328" i="30"/>
  <c r="M328" i="30"/>
  <c r="I329" i="30"/>
  <c r="K329" i="30"/>
  <c r="M329" i="30"/>
  <c r="I330" i="30"/>
  <c r="K330" i="30"/>
  <c r="M330" i="30"/>
  <c r="I331" i="30"/>
  <c r="K331" i="30"/>
  <c r="M331" i="30"/>
  <c r="I332" i="30"/>
  <c r="K332" i="30"/>
  <c r="M332" i="30"/>
  <c r="I333" i="30"/>
  <c r="K333" i="30"/>
  <c r="M333" i="30"/>
  <c r="I334" i="30"/>
  <c r="K334" i="30"/>
  <c r="M334" i="30"/>
  <c r="I335" i="30"/>
  <c r="K335" i="30"/>
  <c r="M335" i="30"/>
  <c r="I336" i="30"/>
  <c r="K336" i="30"/>
  <c r="M336" i="30"/>
  <c r="I337" i="30"/>
  <c r="K337" i="30"/>
  <c r="M337" i="30"/>
  <c r="I338" i="30"/>
  <c r="K338" i="30"/>
  <c r="M338" i="30"/>
  <c r="I339" i="30"/>
  <c r="K339" i="30"/>
  <c r="M339" i="30"/>
  <c r="I340" i="30"/>
  <c r="K340" i="30"/>
  <c r="M340" i="30"/>
  <c r="I341" i="30"/>
  <c r="K341" i="30"/>
  <c r="M341" i="30"/>
  <c r="I342" i="30"/>
  <c r="K342" i="30"/>
  <c r="M342" i="30"/>
  <c r="I343" i="30"/>
  <c r="K343" i="30"/>
  <c r="M343" i="30"/>
  <c r="I344" i="30"/>
  <c r="K344" i="30"/>
  <c r="M344" i="30"/>
  <c r="I345" i="30"/>
  <c r="K345" i="30"/>
  <c r="M345" i="30"/>
  <c r="I346" i="30"/>
  <c r="K346" i="30"/>
  <c r="M346" i="30"/>
  <c r="I347" i="30"/>
  <c r="K347" i="30"/>
  <c r="M347" i="30"/>
  <c r="I348" i="30"/>
  <c r="K348" i="30"/>
  <c r="M348" i="30"/>
  <c r="I349" i="30"/>
  <c r="K349" i="30"/>
  <c r="M349" i="30"/>
  <c r="I350" i="30"/>
  <c r="K350" i="30"/>
  <c r="M350" i="30"/>
  <c r="I351" i="30"/>
  <c r="K351" i="30"/>
  <c r="M351" i="30"/>
  <c r="I352" i="30"/>
  <c r="K352" i="30"/>
  <c r="M352" i="30"/>
  <c r="I353" i="30"/>
  <c r="K353" i="30"/>
  <c r="M353" i="30"/>
  <c r="I354" i="30"/>
  <c r="K354" i="30"/>
  <c r="M354" i="30"/>
  <c r="I355" i="30"/>
  <c r="K355" i="30"/>
  <c r="M355" i="30"/>
  <c r="I356" i="30"/>
  <c r="K356" i="30"/>
  <c r="M356" i="30"/>
  <c r="I357" i="30"/>
  <c r="K357" i="30"/>
  <c r="M357" i="30"/>
  <c r="I358" i="30"/>
  <c r="K358" i="30"/>
  <c r="M358" i="30"/>
  <c r="I359" i="30"/>
  <c r="K359" i="30"/>
  <c r="M359" i="30"/>
  <c r="I360" i="30"/>
  <c r="K360" i="30"/>
  <c r="M360" i="30"/>
  <c r="I361" i="30"/>
  <c r="K361" i="30"/>
  <c r="M361" i="30"/>
  <c r="I362" i="30"/>
  <c r="K362" i="30"/>
  <c r="M362" i="30"/>
  <c r="I363" i="30"/>
  <c r="K363" i="30"/>
  <c r="F52" i="3" s="1"/>
  <c r="M363" i="30"/>
  <c r="I364" i="30"/>
  <c r="K364" i="30"/>
  <c r="M364" i="30"/>
  <c r="I365" i="30"/>
  <c r="K365" i="30"/>
  <c r="M365" i="30"/>
  <c r="I366" i="30"/>
  <c r="K366" i="30"/>
  <c r="M366" i="30"/>
  <c r="I367" i="30"/>
  <c r="K367" i="30"/>
  <c r="M367" i="30"/>
  <c r="I368" i="30"/>
  <c r="K368" i="30"/>
  <c r="M368" i="30"/>
  <c r="I369" i="30"/>
  <c r="K369" i="30"/>
  <c r="M369" i="30"/>
  <c r="I370" i="30"/>
  <c r="K370" i="30"/>
  <c r="M370" i="30"/>
  <c r="I371" i="30"/>
  <c r="K371" i="30"/>
  <c r="M371" i="30"/>
  <c r="I372" i="30"/>
  <c r="K372" i="30"/>
  <c r="M372" i="30"/>
  <c r="I373" i="30"/>
  <c r="K373" i="30"/>
  <c r="M373" i="30"/>
  <c r="I374" i="30"/>
  <c r="K374" i="30"/>
  <c r="M374" i="30"/>
  <c r="I375" i="30"/>
  <c r="K375" i="30"/>
  <c r="M375" i="30"/>
  <c r="I376" i="30"/>
  <c r="K376" i="30"/>
  <c r="M376" i="30"/>
  <c r="I377" i="30"/>
  <c r="K377" i="30"/>
  <c r="M377" i="30"/>
  <c r="I378" i="30"/>
  <c r="K378" i="30"/>
  <c r="M378" i="30"/>
  <c r="I379" i="30"/>
  <c r="K379" i="30"/>
  <c r="M379" i="30"/>
  <c r="I380" i="30"/>
  <c r="K380" i="30"/>
  <c r="M380" i="30"/>
  <c r="I381" i="30"/>
  <c r="K381" i="30"/>
  <c r="M381" i="30"/>
  <c r="I382" i="30"/>
  <c r="K382" i="30"/>
  <c r="M382" i="30"/>
  <c r="I383" i="30"/>
  <c r="K383" i="30"/>
  <c r="M383" i="30"/>
  <c r="I384" i="30"/>
  <c r="K384" i="30"/>
  <c r="M384" i="30"/>
  <c r="I385" i="30"/>
  <c r="K385" i="30"/>
  <c r="M385" i="30"/>
  <c r="I386" i="30"/>
  <c r="K386" i="30"/>
  <c r="M386" i="30"/>
  <c r="I387" i="30"/>
  <c r="K387" i="30"/>
  <c r="F69" i="3" s="1"/>
  <c r="M387" i="30"/>
  <c r="I388" i="30"/>
  <c r="K388" i="30"/>
  <c r="M388" i="30"/>
  <c r="I389" i="30"/>
  <c r="K389" i="30"/>
  <c r="F70" i="3" s="1"/>
  <c r="M389" i="30"/>
  <c r="I390" i="30"/>
  <c r="K390" i="30"/>
  <c r="M390" i="30"/>
  <c r="I391" i="30"/>
  <c r="K391" i="30"/>
  <c r="F71" i="3" s="1"/>
  <c r="M391" i="30"/>
  <c r="I392" i="30"/>
  <c r="K392" i="30"/>
  <c r="M392" i="30"/>
  <c r="I393" i="30"/>
  <c r="K393" i="30"/>
  <c r="M393" i="30"/>
  <c r="I395" i="30"/>
  <c r="K395" i="30"/>
  <c r="G181" i="6" s="1"/>
  <c r="H181" i="6" s="1"/>
  <c r="M181" i="6" s="1"/>
  <c r="M395" i="30"/>
  <c r="I396" i="30"/>
  <c r="K396" i="30"/>
  <c r="M396" i="30"/>
  <c r="I397" i="30"/>
  <c r="K397" i="30"/>
  <c r="M397" i="30"/>
  <c r="I398" i="30"/>
  <c r="K398" i="30"/>
  <c r="M398" i="30"/>
  <c r="I399" i="30"/>
  <c r="K399" i="30"/>
  <c r="G185" i="6" s="1"/>
  <c r="M399" i="30"/>
  <c r="I400" i="30"/>
  <c r="K400" i="30"/>
  <c r="G186" i="6" s="1"/>
  <c r="M400" i="30"/>
  <c r="I401" i="30"/>
  <c r="K401" i="30"/>
  <c r="M401" i="30"/>
  <c r="I402" i="30"/>
  <c r="K402" i="30"/>
  <c r="M402" i="30"/>
  <c r="I403" i="30"/>
  <c r="K403" i="30"/>
  <c r="F76" i="3" s="1"/>
  <c r="M403" i="30"/>
  <c r="G20" i="26"/>
  <c r="I691" i="30"/>
  <c r="K691" i="30"/>
  <c r="M691" i="30"/>
  <c r="I692" i="30"/>
  <c r="K692" i="30"/>
  <c r="M692" i="30"/>
  <c r="I693" i="30"/>
  <c r="K693" i="30"/>
  <c r="M693" i="30"/>
  <c r="I694" i="30"/>
  <c r="K694" i="30"/>
  <c r="M694" i="30"/>
  <c r="I695" i="30"/>
  <c r="K695" i="30"/>
  <c r="M695" i="30"/>
  <c r="I696" i="30"/>
  <c r="K696" i="30"/>
  <c r="M696" i="30"/>
  <c r="I697" i="30"/>
  <c r="K697" i="30"/>
  <c r="G42" i="26" s="1"/>
  <c r="M697" i="30"/>
  <c r="I698" i="30"/>
  <c r="K698" i="30"/>
  <c r="M698" i="30"/>
  <c r="I699" i="30"/>
  <c r="K699" i="30"/>
  <c r="M699" i="30"/>
  <c r="I700" i="30"/>
  <c r="K700" i="30"/>
  <c r="M700" i="30"/>
  <c r="I701" i="30"/>
  <c r="K701" i="30"/>
  <c r="M701" i="30"/>
  <c r="I702" i="30"/>
  <c r="K702" i="30"/>
  <c r="M702" i="30"/>
  <c r="I703" i="30"/>
  <c r="K703" i="30"/>
  <c r="M703" i="30"/>
  <c r="I704" i="30"/>
  <c r="K704" i="30"/>
  <c r="M704" i="30"/>
  <c r="I705" i="30"/>
  <c r="K705" i="30"/>
  <c r="M705" i="30"/>
  <c r="I706" i="30"/>
  <c r="K706" i="30"/>
  <c r="D893" i="9" s="1"/>
  <c r="M706" i="30"/>
  <c r="I707" i="30"/>
  <c r="K707" i="30"/>
  <c r="M707" i="30"/>
  <c r="I708" i="30"/>
  <c r="K708" i="30"/>
  <c r="M708" i="30"/>
  <c r="I709" i="30"/>
  <c r="K709" i="30"/>
  <c r="D878" i="9" s="1"/>
  <c r="D886" i="9" s="1"/>
  <c r="F886" i="9" s="1"/>
  <c r="M709" i="30"/>
  <c r="I710" i="30"/>
  <c r="K710" i="30"/>
  <c r="D894" i="9" s="1"/>
  <c r="M710" i="30"/>
  <c r="I711" i="30"/>
  <c r="K711" i="30"/>
  <c r="M711" i="30"/>
  <c r="I712" i="30"/>
  <c r="K712" i="30"/>
  <c r="M712" i="30"/>
  <c r="I713" i="30"/>
  <c r="M713" i="30"/>
  <c r="I714" i="30"/>
  <c r="K714" i="30"/>
  <c r="M714" i="30"/>
  <c r="I716" i="30"/>
  <c r="K716" i="30"/>
  <c r="M716" i="30"/>
  <c r="I717" i="30"/>
  <c r="K717" i="30"/>
  <c r="M717" i="30"/>
  <c r="I718" i="30"/>
  <c r="K718" i="30"/>
  <c r="D896" i="9" s="1"/>
  <c r="M718" i="30"/>
  <c r="I719" i="30"/>
  <c r="K719" i="30"/>
  <c r="M719" i="30"/>
  <c r="I720" i="30"/>
  <c r="K720" i="30"/>
  <c r="M720" i="30"/>
  <c r="I721" i="30"/>
  <c r="K721" i="30"/>
  <c r="M721" i="30"/>
  <c r="I722" i="30"/>
  <c r="K722" i="30"/>
  <c r="M722" i="30"/>
  <c r="I723" i="30"/>
  <c r="K723" i="30"/>
  <c r="M723" i="30"/>
  <c r="I724" i="30"/>
  <c r="K724" i="30"/>
  <c r="M724" i="30"/>
  <c r="I725" i="30"/>
  <c r="K725" i="30"/>
  <c r="M725" i="30"/>
  <c r="I726" i="30"/>
  <c r="K726" i="30"/>
  <c r="M726" i="30"/>
  <c r="I727" i="30"/>
  <c r="K727" i="30"/>
  <c r="M727" i="30"/>
  <c r="I728" i="30"/>
  <c r="K728" i="30"/>
  <c r="M728" i="30"/>
  <c r="I729" i="30"/>
  <c r="K729" i="30"/>
  <c r="M729" i="30"/>
  <c r="I730" i="30"/>
  <c r="K730" i="30"/>
  <c r="M730" i="30"/>
  <c r="I731" i="30"/>
  <c r="K731" i="30"/>
  <c r="M731" i="30"/>
  <c r="I732" i="30"/>
  <c r="K732" i="30"/>
  <c r="M732" i="30"/>
  <c r="I733" i="30"/>
  <c r="K733" i="30"/>
  <c r="M733" i="30"/>
  <c r="I734" i="30"/>
  <c r="K734" i="30"/>
  <c r="M734" i="30"/>
  <c r="I735" i="30"/>
  <c r="K735" i="30"/>
  <c r="M735" i="30"/>
  <c r="I736" i="30"/>
  <c r="K736" i="30"/>
  <c r="M736" i="30"/>
  <c r="I737" i="30"/>
  <c r="K737" i="30"/>
  <c r="M737" i="30"/>
  <c r="I738" i="30"/>
  <c r="K738" i="30"/>
  <c r="M738" i="30"/>
  <c r="I739" i="30"/>
  <c r="K739" i="30"/>
  <c r="M739" i="30"/>
  <c r="I740" i="30"/>
  <c r="K740" i="30"/>
  <c r="M740" i="30"/>
  <c r="I741" i="30"/>
  <c r="K741" i="30"/>
  <c r="M741" i="30"/>
  <c r="I742" i="30"/>
  <c r="K742" i="30"/>
  <c r="M742" i="30"/>
  <c r="I743" i="30"/>
  <c r="K743" i="30"/>
  <c r="M743" i="30"/>
  <c r="I744" i="30"/>
  <c r="K744" i="30"/>
  <c r="M744" i="30"/>
  <c r="I745" i="30"/>
  <c r="K745" i="30"/>
  <c r="M745" i="30"/>
  <c r="I746" i="30"/>
  <c r="K746" i="30"/>
  <c r="M746" i="30"/>
  <c r="I747" i="30"/>
  <c r="K747" i="30"/>
  <c r="M747" i="30"/>
  <c r="I748" i="30"/>
  <c r="K748" i="30"/>
  <c r="M748" i="30"/>
  <c r="I749" i="30"/>
  <c r="K749" i="30"/>
  <c r="M749" i="30"/>
  <c r="I750" i="30"/>
  <c r="K750" i="30"/>
  <c r="M750" i="30"/>
  <c r="I751" i="30"/>
  <c r="K751" i="30"/>
  <c r="M751" i="30"/>
  <c r="I752" i="30"/>
  <c r="K752" i="30"/>
  <c r="D897" i="9" s="1"/>
  <c r="M752" i="30"/>
  <c r="I753" i="30"/>
  <c r="K753" i="30"/>
  <c r="M753" i="30"/>
  <c r="I754" i="30"/>
  <c r="K754" i="30"/>
  <c r="G49" i="26" s="1"/>
  <c r="M754" i="30"/>
  <c r="I755" i="30"/>
  <c r="K755" i="30"/>
  <c r="M755" i="30"/>
  <c r="I756" i="30"/>
  <c r="K756" i="30"/>
  <c r="D900" i="9" s="1"/>
  <c r="M756" i="30"/>
  <c r="I757" i="30"/>
  <c r="K757" i="30"/>
  <c r="D901" i="9" s="1"/>
  <c r="M757" i="30"/>
  <c r="I758" i="30"/>
  <c r="K758" i="30"/>
  <c r="M758" i="30"/>
  <c r="I759" i="30"/>
  <c r="K759" i="30"/>
  <c r="D902" i="9" s="1"/>
  <c r="M759" i="30"/>
  <c r="I760" i="30"/>
  <c r="K760" i="30"/>
  <c r="D903" i="9" s="1"/>
  <c r="M760" i="30"/>
  <c r="I761" i="30"/>
  <c r="K761" i="30"/>
  <c r="M761" i="30"/>
  <c r="I762" i="30"/>
  <c r="K762" i="30"/>
  <c r="M762" i="30"/>
  <c r="I763" i="30"/>
  <c r="K763" i="30"/>
  <c r="M763" i="30"/>
  <c r="I764" i="30"/>
  <c r="K764" i="30"/>
  <c r="M764" i="30"/>
  <c r="I765" i="30"/>
  <c r="K765" i="30"/>
  <c r="M765" i="30"/>
  <c r="I766" i="30"/>
  <c r="K766" i="30"/>
  <c r="M766" i="30"/>
  <c r="I767" i="30"/>
  <c r="K767" i="30"/>
  <c r="M767" i="30"/>
  <c r="I768" i="30"/>
  <c r="K768" i="30"/>
  <c r="M768" i="30"/>
  <c r="I769" i="30"/>
  <c r="K769" i="30"/>
  <c r="M769" i="30"/>
  <c r="I770" i="30"/>
  <c r="K770" i="30"/>
  <c r="M770" i="30"/>
  <c r="I771" i="30"/>
  <c r="K771" i="30"/>
  <c r="D906" i="9" s="1"/>
  <c r="M771" i="30"/>
  <c r="I772" i="30"/>
  <c r="K772" i="30"/>
  <c r="M772" i="30"/>
  <c r="I773" i="30"/>
  <c r="K773" i="30"/>
  <c r="M773" i="30"/>
  <c r="I774" i="30"/>
  <c r="K774" i="30"/>
  <c r="D907" i="9" s="1"/>
  <c r="M774" i="30"/>
  <c r="I775" i="30"/>
  <c r="K775" i="30"/>
  <c r="D908" i="9" s="1"/>
  <c r="M775" i="30"/>
  <c r="I776" i="30"/>
  <c r="K776" i="30"/>
  <c r="D909" i="9" s="1"/>
  <c r="M776" i="30"/>
  <c r="I777" i="30"/>
  <c r="K777" i="30"/>
  <c r="D910" i="9" s="1"/>
  <c r="M777" i="30"/>
  <c r="I778" i="30"/>
  <c r="K778" i="30"/>
  <c r="D911" i="9" s="1"/>
  <c r="M778" i="30"/>
  <c r="I779" i="30"/>
  <c r="K779" i="30"/>
  <c r="M779" i="30"/>
  <c r="I780" i="30"/>
  <c r="K780" i="30"/>
  <c r="M780" i="30"/>
  <c r="I781" i="30"/>
  <c r="K781" i="30"/>
  <c r="M781" i="30"/>
  <c r="I782" i="30"/>
  <c r="K782" i="30"/>
  <c r="M782" i="30"/>
  <c r="I783" i="30"/>
  <c r="K783" i="30"/>
  <c r="M783" i="30"/>
  <c r="I784" i="30"/>
  <c r="K784" i="30"/>
  <c r="M784" i="30"/>
  <c r="I785" i="30"/>
  <c r="K785" i="30"/>
  <c r="M785" i="30"/>
  <c r="I786" i="30"/>
  <c r="K786" i="30"/>
  <c r="M786" i="30"/>
  <c r="I787" i="30"/>
  <c r="K787" i="30"/>
  <c r="M787" i="30"/>
  <c r="I788" i="30"/>
  <c r="K788" i="30"/>
  <c r="M788" i="30"/>
  <c r="I789" i="30"/>
  <c r="K789" i="30"/>
  <c r="M789" i="30"/>
  <c r="I790" i="30"/>
  <c r="K790" i="30"/>
  <c r="M790" i="30"/>
  <c r="I791" i="30"/>
  <c r="K791" i="30"/>
  <c r="M791" i="30"/>
  <c r="I792" i="30"/>
  <c r="K792" i="30"/>
  <c r="M792" i="30"/>
  <c r="I793" i="30"/>
  <c r="K793" i="30"/>
  <c r="M793" i="30"/>
  <c r="I794" i="30"/>
  <c r="K794" i="30"/>
  <c r="M794" i="30"/>
  <c r="I795" i="30"/>
  <c r="K795" i="30"/>
  <c r="M795" i="30"/>
  <c r="I796" i="30"/>
  <c r="K796" i="30"/>
  <c r="M796" i="30"/>
  <c r="I797" i="30"/>
  <c r="K797" i="30"/>
  <c r="M797" i="30"/>
  <c r="I798" i="30"/>
  <c r="K798" i="30"/>
  <c r="M798" i="30"/>
  <c r="I799" i="30"/>
  <c r="K799" i="30"/>
  <c r="M799" i="30"/>
  <c r="I800" i="30"/>
  <c r="K800" i="30"/>
  <c r="M800" i="30"/>
  <c r="I801" i="30"/>
  <c r="K801" i="30"/>
  <c r="M801" i="30"/>
  <c r="I802" i="30"/>
  <c r="M802" i="30"/>
  <c r="I803" i="30"/>
  <c r="M803" i="30"/>
  <c r="I804" i="30"/>
  <c r="K804" i="30"/>
  <c r="M804" i="30"/>
  <c r="I805" i="30"/>
  <c r="K805" i="30"/>
  <c r="M805" i="30"/>
  <c r="I806" i="30"/>
  <c r="K806" i="30"/>
  <c r="M806" i="30"/>
  <c r="I807" i="30"/>
  <c r="K807" i="30"/>
  <c r="M807" i="30"/>
  <c r="I808" i="30"/>
  <c r="K808" i="30"/>
  <c r="M808" i="30"/>
  <c r="I809" i="30"/>
  <c r="K809" i="30"/>
  <c r="M809" i="30"/>
  <c r="I810" i="30"/>
  <c r="K810" i="30"/>
  <c r="M810" i="30"/>
  <c r="I811" i="30"/>
  <c r="K811" i="30"/>
  <c r="M811" i="30"/>
  <c r="I812" i="30"/>
  <c r="K812" i="30"/>
  <c r="M812" i="30"/>
  <c r="I813" i="30"/>
  <c r="K813" i="30"/>
  <c r="M813" i="30"/>
  <c r="I814" i="30"/>
  <c r="K814" i="30"/>
  <c r="M814" i="30"/>
  <c r="I815" i="30"/>
  <c r="K815" i="30"/>
  <c r="M815" i="30"/>
  <c r="I816" i="30"/>
  <c r="K816" i="30"/>
  <c r="M816" i="30"/>
  <c r="I817" i="30"/>
  <c r="K817" i="30"/>
  <c r="G59" i="26" s="1"/>
  <c r="M817" i="30"/>
  <c r="I818" i="30"/>
  <c r="K818" i="30"/>
  <c r="M818" i="30"/>
  <c r="I819" i="30"/>
  <c r="K819" i="30"/>
  <c r="M819" i="30"/>
  <c r="I820" i="30"/>
  <c r="K820" i="30"/>
  <c r="M820" i="30"/>
  <c r="I821" i="30"/>
  <c r="K821" i="30"/>
  <c r="M821" i="30"/>
  <c r="I822" i="30"/>
  <c r="K822" i="30"/>
  <c r="M822" i="30"/>
  <c r="I823" i="30"/>
  <c r="K823" i="30"/>
  <c r="M823" i="30"/>
  <c r="I824" i="30"/>
  <c r="K824" i="30"/>
  <c r="D912" i="9" s="1"/>
  <c r="M824" i="30"/>
  <c r="I825" i="30"/>
  <c r="K825" i="30"/>
  <c r="D913" i="9" s="1"/>
  <c r="M825" i="30"/>
  <c r="I826" i="30"/>
  <c r="K826" i="30"/>
  <c r="M826" i="30"/>
  <c r="I827" i="30"/>
  <c r="K827" i="30"/>
  <c r="M827" i="30"/>
  <c r="I828" i="30"/>
  <c r="K828" i="30"/>
  <c r="M828" i="30"/>
  <c r="I829" i="30"/>
  <c r="K829" i="30"/>
  <c r="D914" i="9" s="1"/>
  <c r="M829" i="30"/>
  <c r="I830" i="30"/>
  <c r="K830" i="30"/>
  <c r="D915" i="9" s="1"/>
  <c r="M830" i="30"/>
  <c r="I831" i="30"/>
  <c r="K831" i="30"/>
  <c r="M831" i="30"/>
  <c r="I832" i="30"/>
  <c r="K832" i="30"/>
  <c r="M832" i="30"/>
  <c r="I833" i="30"/>
  <c r="K833" i="30"/>
  <c r="D916" i="9" s="1"/>
  <c r="M833" i="30"/>
  <c r="I834" i="30"/>
  <c r="K834" i="30"/>
  <c r="M834" i="30"/>
  <c r="I835" i="30"/>
  <c r="K835" i="30"/>
  <c r="M835" i="30"/>
  <c r="I836" i="30"/>
  <c r="K836" i="30"/>
  <c r="M836" i="30"/>
  <c r="I837" i="30"/>
  <c r="K837" i="30"/>
  <c r="M837" i="30"/>
  <c r="I838" i="30"/>
  <c r="K838" i="30"/>
  <c r="D917" i="9" s="1"/>
  <c r="M838" i="30"/>
  <c r="I839" i="30"/>
  <c r="K839" i="30"/>
  <c r="D918" i="9" s="1"/>
  <c r="M839" i="30"/>
  <c r="I840" i="30"/>
  <c r="K840" i="30"/>
  <c r="M840" i="30"/>
  <c r="I841" i="30"/>
  <c r="K841" i="30"/>
  <c r="M841" i="30"/>
  <c r="I842" i="30"/>
  <c r="K842" i="30"/>
  <c r="D919" i="9" s="1"/>
  <c r="M842" i="30"/>
  <c r="I843" i="30"/>
  <c r="K843" i="30"/>
  <c r="D920" i="9" s="1"/>
  <c r="M843" i="30"/>
  <c r="I845" i="30"/>
  <c r="K845" i="30"/>
  <c r="D922" i="9" s="1"/>
  <c r="M845" i="30"/>
  <c r="I846" i="30"/>
  <c r="K846" i="30"/>
  <c r="M846" i="30"/>
  <c r="I847" i="30"/>
  <c r="K847" i="30"/>
  <c r="M847" i="30"/>
  <c r="I848" i="30"/>
  <c r="K848" i="30"/>
  <c r="M848" i="30"/>
  <c r="I849" i="30"/>
  <c r="K849" i="30"/>
  <c r="M849" i="30"/>
  <c r="I850" i="30"/>
  <c r="K850" i="30"/>
  <c r="D954" i="9" s="1"/>
  <c r="D956" i="9" s="1"/>
  <c r="D957" i="9" s="1"/>
  <c r="M850" i="30"/>
  <c r="I851" i="30"/>
  <c r="K851" i="30"/>
  <c r="D923" i="9" s="1"/>
  <c r="M851" i="30"/>
  <c r="I852" i="30"/>
  <c r="K852" i="30"/>
  <c r="D924" i="9" s="1"/>
  <c r="M852" i="30"/>
  <c r="I853" i="30"/>
  <c r="K853" i="30"/>
  <c r="M853" i="30"/>
  <c r="I854" i="30"/>
  <c r="M854" i="30"/>
  <c r="I855" i="30"/>
  <c r="M855" i="30"/>
  <c r="I856" i="30"/>
  <c r="K856" i="30"/>
  <c r="M856" i="30"/>
  <c r="I857" i="30"/>
  <c r="K857" i="30"/>
  <c r="G88" i="26" s="1"/>
  <c r="M857" i="30"/>
  <c r="I858" i="30"/>
  <c r="K858" i="30"/>
  <c r="M858" i="30"/>
  <c r="I859" i="30"/>
  <c r="K859" i="30"/>
  <c r="M859" i="30"/>
  <c r="I860" i="30"/>
  <c r="K860" i="30"/>
  <c r="D925" i="9" s="1"/>
  <c r="M860" i="30"/>
  <c r="I861" i="30"/>
  <c r="K861" i="30"/>
  <c r="D926" i="9" s="1"/>
  <c r="M861" i="30"/>
  <c r="I862" i="30"/>
  <c r="K862" i="30"/>
  <c r="D927" i="9" s="1"/>
  <c r="M862" i="30"/>
  <c r="I863" i="30"/>
  <c r="K863" i="30"/>
  <c r="G60" i="26" s="1"/>
  <c r="M863" i="30"/>
  <c r="I864" i="30"/>
  <c r="K864" i="30"/>
  <c r="M864" i="30"/>
  <c r="I865" i="30"/>
  <c r="K865" i="30"/>
  <c r="M865" i="30"/>
  <c r="I866" i="30"/>
  <c r="K866" i="30"/>
  <c r="M866" i="30"/>
  <c r="I867" i="30"/>
  <c r="K867" i="30"/>
  <c r="M867" i="30"/>
  <c r="I868" i="30"/>
  <c r="K868" i="30"/>
  <c r="G68" i="26" s="1"/>
  <c r="G66" i="26" s="1"/>
  <c r="F940" i="9" s="1"/>
  <c r="M868" i="30"/>
  <c r="I869" i="30"/>
  <c r="K869" i="30"/>
  <c r="M869" i="30"/>
  <c r="I870" i="30"/>
  <c r="K870" i="30"/>
  <c r="M870" i="30"/>
  <c r="I871" i="30"/>
  <c r="K871" i="30"/>
  <c r="M871" i="30"/>
  <c r="I872" i="30"/>
  <c r="K872" i="30"/>
  <c r="M872" i="30"/>
  <c r="I873" i="30"/>
  <c r="K873" i="30"/>
  <c r="M873" i="30"/>
  <c r="I874" i="30"/>
  <c r="K874" i="30"/>
  <c r="M874" i="30"/>
  <c r="I875" i="30"/>
  <c r="K875" i="30"/>
  <c r="M875" i="30"/>
  <c r="I876" i="30"/>
  <c r="K876" i="30"/>
  <c r="M876" i="30"/>
  <c r="I877" i="30"/>
  <c r="K877" i="30"/>
  <c r="M877" i="30"/>
  <c r="I878" i="30"/>
  <c r="K878" i="30"/>
  <c r="M878" i="30"/>
  <c r="I879" i="30"/>
  <c r="K879" i="30"/>
  <c r="M879" i="30"/>
  <c r="I880" i="30"/>
  <c r="K880" i="30"/>
  <c r="M880" i="30"/>
  <c r="I881" i="30"/>
  <c r="K881" i="30"/>
  <c r="M881" i="30"/>
  <c r="I882" i="30"/>
  <c r="K882" i="30"/>
  <c r="M882" i="30"/>
  <c r="I883" i="30"/>
  <c r="K883" i="30"/>
  <c r="M883" i="30"/>
  <c r="I884" i="30"/>
  <c r="K884" i="30"/>
  <c r="M884" i="30"/>
  <c r="I885" i="30"/>
  <c r="K885" i="30"/>
  <c r="M885" i="30"/>
  <c r="I886" i="30"/>
  <c r="K886" i="30"/>
  <c r="M886" i="30"/>
  <c r="I887" i="30"/>
  <c r="K887" i="30"/>
  <c r="M887" i="30"/>
  <c r="O160" i="6" l="1"/>
  <c r="AA160" i="6" s="1"/>
  <c r="T89" i="6"/>
  <c r="AA89" i="6" s="1"/>
  <c r="T77" i="6"/>
  <c r="AA77" i="6" s="1"/>
  <c r="AA181" i="6"/>
  <c r="I894" i="30"/>
  <c r="I895" i="30" s="1"/>
  <c r="M894" i="30"/>
  <c r="M895" i="30" s="1"/>
  <c r="D895" i="9"/>
  <c r="D898" i="9" s="1"/>
  <c r="D928" i="9"/>
  <c r="D904" i="9"/>
  <c r="D673" i="9"/>
  <c r="D613" i="9"/>
  <c r="D601" i="9"/>
  <c r="G57" i="26"/>
  <c r="G58" i="26"/>
  <c r="G56" i="26"/>
  <c r="G61" i="26"/>
  <c r="G54" i="26"/>
  <c r="G55" i="26"/>
  <c r="G62" i="26"/>
  <c r="G75" i="26"/>
  <c r="G74" i="26" s="1"/>
  <c r="G70" i="26" s="1"/>
  <c r="F957" i="9" s="1"/>
  <c r="G43" i="26"/>
  <c r="G44" i="26"/>
  <c r="G51" i="26"/>
  <c r="G48" i="26" s="1"/>
  <c r="G21" i="26"/>
  <c r="G19" i="26" s="1"/>
  <c r="F19" i="3"/>
  <c r="F66" i="3"/>
  <c r="F24" i="3"/>
  <c r="F72" i="3"/>
  <c r="F50" i="3"/>
  <c r="F49" i="3" s="1"/>
  <c r="F32" i="3"/>
  <c r="F20" i="3"/>
  <c r="F36" i="3"/>
  <c r="F65" i="3"/>
  <c r="F73" i="3"/>
  <c r="F43" i="3"/>
  <c r="F42" i="3" s="1"/>
  <c r="F33" i="3"/>
  <c r="F21" i="3"/>
  <c r="F26" i="3"/>
  <c r="F25" i="3"/>
  <c r="I891" i="30"/>
  <c r="M889" i="30"/>
  <c r="K889" i="30"/>
  <c r="M890" i="30"/>
  <c r="I890" i="30"/>
  <c r="I889" i="30"/>
  <c r="M891" i="30"/>
  <c r="K891" i="30"/>
  <c r="K890" i="30"/>
  <c r="F78" i="26"/>
  <c r="G78" i="26"/>
  <c r="D414" i="6"/>
  <c r="D415" i="6"/>
  <c r="D427" i="6"/>
  <c r="D428" i="6"/>
  <c r="D430" i="6"/>
  <c r="D458" i="6"/>
  <c r="D461" i="6"/>
  <c r="D466" i="6"/>
  <c r="F466" i="6" s="1"/>
  <c r="E253" i="6" s="1"/>
  <c r="D482" i="6"/>
  <c r="F60" i="26"/>
  <c r="D104" i="6"/>
  <c r="D107" i="6"/>
  <c r="D109" i="6"/>
  <c r="F59" i="26"/>
  <c r="E239" i="6"/>
  <c r="E238" i="6"/>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26" i="27"/>
  <c r="E227" i="27"/>
  <c r="E228" i="27"/>
  <c r="E229" i="27"/>
  <c r="E230" i="27"/>
  <c r="E231" i="27"/>
  <c r="E234" i="27"/>
  <c r="E235" i="27"/>
  <c r="E236" i="27"/>
  <c r="E237" i="27"/>
  <c r="E238" i="27"/>
  <c r="E239" i="27"/>
  <c r="E240" i="27"/>
  <c r="E241" i="27"/>
  <c r="E242" i="27"/>
  <c r="E243" i="27"/>
  <c r="E244" i="27"/>
  <c r="E245" i="27"/>
  <c r="E246" i="27"/>
  <c r="E247" i="27"/>
  <c r="E248" i="27"/>
  <c r="E249" i="27"/>
  <c r="E250" i="27"/>
  <c r="E251" i="27"/>
  <c r="E252" i="27"/>
  <c r="E253" i="27"/>
  <c r="E254" i="27"/>
  <c r="E255" i="27"/>
  <c r="E256" i="27"/>
  <c r="E257" i="27"/>
  <c r="E258" i="27"/>
  <c r="E259" i="27"/>
  <c r="E260" i="27"/>
  <c r="E261" i="27"/>
  <c r="E262" i="27"/>
  <c r="E263" i="27"/>
  <c r="E264" i="27"/>
  <c r="E265" i="27"/>
  <c r="E266" i="27"/>
  <c r="E267" i="27"/>
  <c r="E268" i="27"/>
  <c r="E269" i="27"/>
  <c r="E270" i="27"/>
  <c r="E271" i="27"/>
  <c r="E272" i="27"/>
  <c r="E273" i="27"/>
  <c r="E274" i="27"/>
  <c r="E275" i="27"/>
  <c r="E276" i="27"/>
  <c r="E277" i="27"/>
  <c r="E278" i="27"/>
  <c r="E279" i="27"/>
  <c r="E280" i="27"/>
  <c r="E281" i="27"/>
  <c r="E282" i="27"/>
  <c r="E283" i="27"/>
  <c r="E284" i="27"/>
  <c r="E285" i="27"/>
  <c r="E286" i="27"/>
  <c r="E287" i="27"/>
  <c r="E288" i="27"/>
  <c r="E289" i="27"/>
  <c r="E290" i="27"/>
  <c r="E291" i="27"/>
  <c r="E292" i="27"/>
  <c r="E293" i="27"/>
  <c r="E294" i="27"/>
  <c r="E295" i="27"/>
  <c r="E296" i="27"/>
  <c r="E297" i="27"/>
  <c r="E298" i="27"/>
  <c r="E299" i="27"/>
  <c r="E300" i="27"/>
  <c r="E301" i="27"/>
  <c r="E302" i="27"/>
  <c r="E303" i="27"/>
  <c r="E304" i="27"/>
  <c r="E305" i="27"/>
  <c r="E306" i="27"/>
  <c r="E307" i="27"/>
  <c r="E308" i="27"/>
  <c r="E309" i="27"/>
  <c r="E310" i="27"/>
  <c r="E311" i="27"/>
  <c r="E312" i="27"/>
  <c r="E313" i="27"/>
  <c r="E314" i="27"/>
  <c r="E315" i="27"/>
  <c r="E316" i="27"/>
  <c r="E317" i="27"/>
  <c r="E318" i="27"/>
  <c r="E319" i="27"/>
  <c r="E320" i="27"/>
  <c r="E321" i="27"/>
  <c r="E322" i="27"/>
  <c r="E323" i="27"/>
  <c r="E324" i="27"/>
  <c r="E325" i="27"/>
  <c r="E326" i="27"/>
  <c r="E327" i="27"/>
  <c r="E328" i="27"/>
  <c r="E329" i="27"/>
  <c r="E330" i="27"/>
  <c r="E331" i="27"/>
  <c r="E332" i="27"/>
  <c r="E333" i="27"/>
  <c r="E334" i="27"/>
  <c r="E335" i="27"/>
  <c r="E336" i="27"/>
  <c r="E337" i="27"/>
  <c r="E338" i="27"/>
  <c r="E339" i="27"/>
  <c r="E340" i="27"/>
  <c r="E341" i="27"/>
  <c r="E342" i="27"/>
  <c r="E343" i="27"/>
  <c r="E344" i="27"/>
  <c r="E345" i="27"/>
  <c r="E346" i="27"/>
  <c r="E347" i="27"/>
  <c r="E348" i="27"/>
  <c r="E349" i="27"/>
  <c r="E350" i="27"/>
  <c r="E351" i="27"/>
  <c r="E352" i="27"/>
  <c r="E353" i="27"/>
  <c r="E354" i="27"/>
  <c r="E355" i="27"/>
  <c r="E356" i="27"/>
  <c r="E357" i="27"/>
  <c r="E358" i="27"/>
  <c r="E359" i="27"/>
  <c r="E360" i="27"/>
  <c r="E361" i="27"/>
  <c r="E362" i="27"/>
  <c r="E363" i="27"/>
  <c r="E364" i="27"/>
  <c r="E365" i="27"/>
  <c r="E366" i="27"/>
  <c r="E367" i="27"/>
  <c r="E368" i="27"/>
  <c r="E369"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394" i="27"/>
  <c r="E395" i="27"/>
  <c r="E396" i="27"/>
  <c r="E397" i="27"/>
  <c r="E398" i="27"/>
  <c r="E399" i="27"/>
  <c r="E400" i="27"/>
  <c r="E401" i="27"/>
  <c r="E402" i="27"/>
  <c r="E403" i="27"/>
  <c r="E404" i="27"/>
  <c r="E405" i="27"/>
  <c r="E406" i="27"/>
  <c r="E407" i="27"/>
  <c r="E408" i="27"/>
  <c r="E409" i="27"/>
  <c r="E410" i="27"/>
  <c r="E411" i="27"/>
  <c r="E412" i="27"/>
  <c r="E413" i="27"/>
  <c r="E414" i="27"/>
  <c r="E415" i="27"/>
  <c r="E416" i="27"/>
  <c r="E417" i="27"/>
  <c r="E418" i="27"/>
  <c r="E419" i="27"/>
  <c r="E420" i="27"/>
  <c r="E421" i="27"/>
  <c r="E422" i="27"/>
  <c r="E423" i="27"/>
  <c r="E424" i="27"/>
  <c r="E425" i="27"/>
  <c r="E426" i="27"/>
  <c r="F24" i="26"/>
  <c r="F25" i="26"/>
  <c r="F80" i="26"/>
  <c r="F83" i="26"/>
  <c r="F84" i="26"/>
  <c r="D22" i="6"/>
  <c r="G22" i="6"/>
  <c r="D24" i="6"/>
  <c r="G24" i="6"/>
  <c r="D39" i="6"/>
  <c r="G39" i="6"/>
  <c r="D40" i="6"/>
  <c r="D57" i="6"/>
  <c r="D63" i="6"/>
  <c r="G63" i="6"/>
  <c r="D64" i="6"/>
  <c r="G64" i="6"/>
  <c r="D81" i="6"/>
  <c r="G81" i="6"/>
  <c r="D94" i="6"/>
  <c r="G94" i="6"/>
  <c r="D103" i="6"/>
  <c r="G103" i="6"/>
  <c r="D105" i="6"/>
  <c r="G105" i="6"/>
  <c r="G104" i="6"/>
  <c r="D106" i="6"/>
  <c r="G106" i="6"/>
  <c r="G107" i="6"/>
  <c r="D108" i="6"/>
  <c r="G108" i="6"/>
  <c r="G109" i="6"/>
  <c r="D123" i="6"/>
  <c r="G123" i="6"/>
  <c r="D147" i="6"/>
  <c r="G147" i="6"/>
  <c r="D148" i="6"/>
  <c r="G148" i="6"/>
  <c r="D381" i="6"/>
  <c r="D447" i="6"/>
  <c r="D454" i="6"/>
  <c r="F68" i="26"/>
  <c r="E943" i="9" s="1"/>
  <c r="H123" i="6" l="1"/>
  <c r="K894" i="30"/>
  <c r="M892" i="30"/>
  <c r="I892" i="30"/>
  <c r="F904" i="9"/>
  <c r="F928" i="9"/>
  <c r="F898" i="9"/>
  <c r="F673" i="9"/>
  <c r="F68" i="3"/>
  <c r="G656" i="9" s="1"/>
  <c r="F613" i="9"/>
  <c r="F601" i="9"/>
  <c r="G53" i="26"/>
  <c r="F31" i="3"/>
  <c r="F18" i="3"/>
  <c r="F23" i="3"/>
  <c r="K892" i="30"/>
  <c r="K893" i="30"/>
  <c r="H346" i="6"/>
  <c r="H105" i="6"/>
  <c r="H24" i="6"/>
  <c r="H358" i="6"/>
  <c r="H454" i="6"/>
  <c r="H106" i="6"/>
  <c r="H81" i="6"/>
  <c r="F66" i="26"/>
  <c r="H104" i="6"/>
  <c r="H94" i="6"/>
  <c r="H63" i="6"/>
  <c r="F58" i="26"/>
  <c r="H108" i="6"/>
  <c r="H238" i="6"/>
  <c r="H147" i="6"/>
  <c r="M147" i="6" s="1"/>
  <c r="I123" i="6"/>
  <c r="H109" i="6"/>
  <c r="H329" i="6"/>
  <c r="I329" i="6" s="1"/>
  <c r="H64" i="6"/>
  <c r="H482" i="6"/>
  <c r="M482" i="6" s="1"/>
  <c r="H39" i="6"/>
  <c r="H107" i="6"/>
  <c r="H328" i="6"/>
  <c r="H356" i="6"/>
  <c r="H458" i="6"/>
  <c r="H103" i="6"/>
  <c r="H148" i="6"/>
  <c r="M148" i="6" s="1"/>
  <c r="H22" i="6"/>
  <c r="H239" i="6"/>
  <c r="H253" i="6"/>
  <c r="H381" i="6"/>
  <c r="I381" i="6" s="1"/>
  <c r="H430" i="6"/>
  <c r="H204" i="6"/>
  <c r="H414" i="6"/>
  <c r="H447" i="6"/>
  <c r="M447" i="6" s="1"/>
  <c r="H466" i="6"/>
  <c r="H285" i="6"/>
  <c r="H427" i="6"/>
  <c r="F41" i="26"/>
  <c r="F56" i="26"/>
  <c r="F54" i="26"/>
  <c r="F23" i="26"/>
  <c r="F17" i="26" s="1"/>
  <c r="F61" i="26"/>
  <c r="F51" i="26"/>
  <c r="F57" i="26"/>
  <c r="F62" i="26"/>
  <c r="AA39" i="6" l="1"/>
  <c r="K466" i="6"/>
  <c r="AA22" i="6"/>
  <c r="AA24" i="6"/>
  <c r="G120" i="9"/>
  <c r="K895" i="30"/>
  <c r="F48" i="26"/>
  <c r="E904" i="9"/>
  <c r="F78" i="3"/>
  <c r="AA447" i="6"/>
  <c r="S63" i="6"/>
  <c r="AA63" i="6" s="1"/>
  <c r="J414" i="6"/>
  <c r="AA414" i="6" s="1"/>
  <c r="S103" i="6"/>
  <c r="AA103" i="6" s="1"/>
  <c r="AA329" i="6"/>
  <c r="T94" i="6"/>
  <c r="AA94" i="6" s="1"/>
  <c r="S105" i="6"/>
  <c r="AA105" i="6" s="1"/>
  <c r="I346" i="6"/>
  <c r="AA346" i="6" s="1"/>
  <c r="M430" i="6"/>
  <c r="AA430" i="6" s="1"/>
  <c r="I356" i="6"/>
  <c r="AA356" i="6" s="1"/>
  <c r="AA123" i="6"/>
  <c r="AA381" i="6"/>
  <c r="S328" i="6"/>
  <c r="AA328" i="6" s="1"/>
  <c r="AA147" i="6"/>
  <c r="T81" i="6"/>
  <c r="AA81" i="6" s="1"/>
  <c r="S104" i="6"/>
  <c r="AA104" i="6" s="1"/>
  <c r="M427" i="6"/>
  <c r="AA427" i="6" s="1"/>
  <c r="K253" i="6"/>
  <c r="AA253" i="6" s="1"/>
  <c r="S107" i="6"/>
  <c r="AA107" i="6" s="1"/>
  <c r="N238" i="6"/>
  <c r="AA238" i="6" s="1"/>
  <c r="S106" i="6"/>
  <c r="AA106" i="6" s="1"/>
  <c r="S64" i="6"/>
  <c r="AA64" i="6" s="1"/>
  <c r="W204" i="6"/>
  <c r="AA204" i="6" s="1"/>
  <c r="I285" i="6"/>
  <c r="AA285" i="6" s="1"/>
  <c r="N239" i="6"/>
  <c r="AA239" i="6" s="1"/>
  <c r="S108" i="6"/>
  <c r="AA108" i="6" s="1"/>
  <c r="M454" i="6"/>
  <c r="AA454" i="6" s="1"/>
  <c r="AA148" i="6"/>
  <c r="S109" i="6"/>
  <c r="AA109" i="6" s="1"/>
  <c r="M466" i="6"/>
  <c r="AA466" i="6" s="1"/>
  <c r="AA482" i="6"/>
  <c r="I358" i="6"/>
  <c r="AA358" i="6" s="1"/>
  <c r="G17" i="26"/>
  <c r="F74" i="26"/>
  <c r="F70" i="26" s="1"/>
  <c r="E957" i="9" s="1"/>
  <c r="F53" i="26"/>
  <c r="F46" i="26"/>
  <c r="F46" i="3"/>
  <c r="G41" i="26"/>
  <c r="M458" i="6"/>
  <c r="AA458" i="6" s="1"/>
  <c r="F80" i="3" l="1"/>
  <c r="O80" i="3" s="1"/>
  <c r="G46" i="26"/>
  <c r="G64" i="26" s="1"/>
  <c r="F64" i="26"/>
  <c r="G86" i="26" l="1"/>
  <c r="G90" i="26" s="1"/>
  <c r="I90" i="26" s="1"/>
  <c r="F86" i="26"/>
  <c r="F90" i="26" s="1"/>
  <c r="H90" i="26" s="1"/>
  <c r="M637" i="9"/>
  <c r="G635" i="9"/>
  <c r="M635" i="9" s="1"/>
  <c r="M634" i="9"/>
  <c r="M633" i="9"/>
  <c r="M632" i="9"/>
  <c r="M636" i="9" l="1"/>
  <c r="N636" i="9" s="1"/>
  <c r="H636" i="9"/>
  <c r="D625" i="9"/>
  <c r="C586" i="9"/>
  <c r="C590" i="9" s="1"/>
  <c r="G636" i="9" l="1"/>
  <c r="G638" i="9" s="1"/>
  <c r="E350" i="9"/>
  <c r="J19" i="5" l="1"/>
  <c r="I72" i="14"/>
  <c r="F164" i="6" l="1"/>
  <c r="H359" i="6"/>
  <c r="AA359" i="6" s="1"/>
  <c r="H274" i="6"/>
  <c r="AA274" i="6" s="1"/>
  <c r="H259" i="6"/>
  <c r="AA259" i="6" s="1"/>
  <c r="H189" i="6"/>
  <c r="AA189" i="6" s="1"/>
  <c r="E16" i="7" l="1"/>
  <c r="E22" i="7" s="1"/>
  <c r="E24" i="7" s="1"/>
  <c r="F16" i="7"/>
  <c r="F22" i="7" s="1"/>
  <c r="I22" i="7"/>
  <c r="J16" i="7"/>
  <c r="J28" i="3"/>
  <c r="J22" i="7" l="1"/>
  <c r="D444" i="6"/>
  <c r="D445" i="6"/>
  <c r="G187" i="6"/>
  <c r="D187" i="6"/>
  <c r="G99" i="6"/>
  <c r="G25" i="6"/>
  <c r="H444" i="6" l="1"/>
  <c r="AA444" i="6" s="1"/>
  <c r="H445" i="6"/>
  <c r="M445" i="6" s="1"/>
  <c r="H187" i="6"/>
  <c r="E355" i="6" l="1"/>
  <c r="F162" i="6" s="1"/>
  <c r="AA445" i="6"/>
  <c r="C655" i="9" l="1"/>
  <c r="K636" i="9"/>
  <c r="J636" i="9"/>
  <c r="D589" i="9"/>
  <c r="D586" i="9"/>
  <c r="D590" i="9" l="1"/>
  <c r="I636" i="9"/>
  <c r="J37" i="5" l="1"/>
  <c r="J22" i="5"/>
  <c r="J24" i="5" l="1"/>
  <c r="J26" i="5" l="1"/>
  <c r="J48" i="5" l="1"/>
  <c r="J50" i="5" s="1"/>
  <c r="M50" i="5" s="1"/>
  <c r="D14" i="6"/>
  <c r="D13" i="6"/>
  <c r="D10" i="6"/>
  <c r="D963" i="9" l="1"/>
  <c r="F963" i="9" s="1"/>
  <c r="D12" i="6"/>
  <c r="D11" i="6"/>
  <c r="H355" i="6" l="1"/>
  <c r="G188" i="6"/>
  <c r="G184" i="6"/>
  <c r="G183" i="6"/>
  <c r="G182" i="6"/>
  <c r="G180" i="6"/>
  <c r="G179" i="6"/>
  <c r="G177" i="6"/>
  <c r="G176" i="6"/>
  <c r="G175" i="6"/>
  <c r="G174" i="6"/>
  <c r="G173" i="6"/>
  <c r="G172" i="6"/>
  <c r="G171" i="6"/>
  <c r="G170" i="6"/>
  <c r="G169" i="6"/>
  <c r="G168" i="6"/>
  <c r="G167" i="6"/>
  <c r="G166" i="6"/>
  <c r="G165" i="6"/>
  <c r="G164" i="6"/>
  <c r="G163" i="6"/>
  <c r="G162" i="6"/>
  <c r="G161" i="6"/>
  <c r="G159" i="6"/>
  <c r="G155" i="6"/>
  <c r="G154" i="6"/>
  <c r="G153" i="6"/>
  <c r="G152" i="6"/>
  <c r="G151" i="6"/>
  <c r="G150" i="6"/>
  <c r="G146" i="6"/>
  <c r="G145" i="6"/>
  <c r="G144" i="6"/>
  <c r="G143" i="6"/>
  <c r="G142" i="6"/>
  <c r="G141" i="6"/>
  <c r="G140" i="6"/>
  <c r="G139" i="6"/>
  <c r="G138" i="6"/>
  <c r="G137" i="6"/>
  <c r="G136" i="6"/>
  <c r="G135" i="6"/>
  <c r="G134" i="6"/>
  <c r="G133" i="6"/>
  <c r="G132" i="6"/>
  <c r="G131" i="6"/>
  <c r="G130" i="6"/>
  <c r="G129" i="6"/>
  <c r="G128" i="6"/>
  <c r="G127" i="6"/>
  <c r="G126" i="6"/>
  <c r="G125" i="6"/>
  <c r="G124" i="6"/>
  <c r="G122" i="6"/>
  <c r="G121" i="6"/>
  <c r="G120" i="6"/>
  <c r="G119" i="6"/>
  <c r="G118" i="6"/>
  <c r="G117" i="6"/>
  <c r="G116" i="6"/>
  <c r="G115" i="6"/>
  <c r="G114" i="6"/>
  <c r="G113" i="6"/>
  <c r="G112" i="6"/>
  <c r="G111" i="6"/>
  <c r="G110" i="6"/>
  <c r="G102" i="6"/>
  <c r="H102" i="6" s="1"/>
  <c r="G100" i="6"/>
  <c r="G98" i="6"/>
  <c r="G97" i="6"/>
  <c r="G96" i="6"/>
  <c r="G95" i="6"/>
  <c r="G158" i="6"/>
  <c r="G157" i="6"/>
  <c r="G156" i="6"/>
  <c r="G93" i="6"/>
  <c r="G92" i="6"/>
  <c r="G91" i="6"/>
  <c r="G90" i="6"/>
  <c r="G88" i="6"/>
  <c r="G87" i="6"/>
  <c r="G86" i="6"/>
  <c r="G85" i="6"/>
  <c r="G84" i="6"/>
  <c r="G83" i="6"/>
  <c r="G82" i="6"/>
  <c r="G80" i="6"/>
  <c r="G79" i="6"/>
  <c r="G78" i="6"/>
  <c r="G74" i="6"/>
  <c r="G73" i="6"/>
  <c r="G72" i="6"/>
  <c r="G71" i="6"/>
  <c r="G70" i="6"/>
  <c r="G69" i="6"/>
  <c r="G68" i="6"/>
  <c r="G67" i="6"/>
  <c r="G66" i="6"/>
  <c r="G65" i="6"/>
  <c r="G62" i="6"/>
  <c r="G61" i="6"/>
  <c r="G60" i="6"/>
  <c r="G59" i="6"/>
  <c r="G58" i="6"/>
  <c r="G57" i="6"/>
  <c r="H57" i="6" s="1"/>
  <c r="G56" i="6"/>
  <c r="G55" i="6"/>
  <c r="G54" i="6"/>
  <c r="G53" i="6"/>
  <c r="G52" i="6"/>
  <c r="G51" i="6"/>
  <c r="G50" i="6"/>
  <c r="G49" i="6"/>
  <c r="G48" i="6"/>
  <c r="G47" i="6"/>
  <c r="G46" i="6"/>
  <c r="G45" i="6"/>
  <c r="G44" i="6"/>
  <c r="G43" i="6"/>
  <c r="G42" i="6"/>
  <c r="G41" i="6"/>
  <c r="G40" i="6"/>
  <c r="H40" i="6" s="1"/>
  <c r="G38" i="6"/>
  <c r="G37" i="6"/>
  <c r="G36" i="6"/>
  <c r="G35" i="6"/>
  <c r="G34" i="6"/>
  <c r="G33" i="6"/>
  <c r="G32" i="6"/>
  <c r="G31" i="6"/>
  <c r="G30" i="6"/>
  <c r="G29" i="6"/>
  <c r="G28" i="6"/>
  <c r="G27" i="6"/>
  <c r="G26" i="6"/>
  <c r="G23" i="6"/>
  <c r="G21" i="6"/>
  <c r="G20" i="6"/>
  <c r="G19" i="6"/>
  <c r="G18" i="6"/>
  <c r="G17" i="6"/>
  <c r="G16" i="6"/>
  <c r="G15" i="6"/>
  <c r="G14" i="6"/>
  <c r="H14" i="6" s="1"/>
  <c r="G13" i="6"/>
  <c r="H13" i="6" s="1"/>
  <c r="G12" i="6"/>
  <c r="H12" i="6" s="1"/>
  <c r="G11" i="6"/>
  <c r="H11" i="6" s="1"/>
  <c r="G10" i="6"/>
  <c r="H10" i="6" s="1"/>
  <c r="G9" i="6"/>
  <c r="G8" i="6"/>
  <c r="G7" i="6"/>
  <c r="G6" i="6"/>
  <c r="G5" i="6"/>
  <c r="G178" i="6"/>
  <c r="H16" i="7"/>
  <c r="G16" i="7"/>
  <c r="G20" i="7" s="1"/>
  <c r="G22" i="7" l="1"/>
  <c r="G24" i="7" s="1"/>
  <c r="H20" i="7"/>
  <c r="L20" i="7" s="1"/>
  <c r="AA10" i="6"/>
  <c r="AA11" i="6"/>
  <c r="AA12" i="6"/>
  <c r="AA40" i="6"/>
  <c r="AA13" i="6"/>
  <c r="S57" i="6"/>
  <c r="AA57" i="6" s="1"/>
  <c r="AA14" i="6"/>
  <c r="M16" i="7"/>
  <c r="N16" i="7" s="1"/>
  <c r="S102" i="6"/>
  <c r="AA102" i="6" s="1"/>
  <c r="G76" i="6"/>
  <c r="G75" i="6"/>
  <c r="E272" i="6"/>
  <c r="F273" i="6" s="1"/>
  <c r="G260" i="6"/>
  <c r="H461" i="6"/>
  <c r="H428" i="6"/>
  <c r="H284" i="6"/>
  <c r="H415" i="6"/>
  <c r="G190" i="6"/>
  <c r="F765" i="9"/>
  <c r="H22" i="7" l="1"/>
  <c r="H24" i="7" s="1"/>
  <c r="G4" i="6"/>
  <c r="G488" i="6" s="1"/>
  <c r="I284" i="6"/>
  <c r="AA284" i="6" s="1"/>
  <c r="L22" i="7" l="1"/>
  <c r="G49" i="5"/>
  <c r="N22" i="7" l="1"/>
  <c r="G859" i="9"/>
  <c r="J65" i="3"/>
  <c r="D475" i="6"/>
  <c r="H475" i="6" s="1"/>
  <c r="D474" i="6"/>
  <c r="H474" i="6" s="1"/>
  <c r="D453" i="6"/>
  <c r="H453" i="6" s="1"/>
  <c r="D449" i="6"/>
  <c r="D446" i="6"/>
  <c r="D443" i="6"/>
  <c r="D442" i="6"/>
  <c r="D441" i="6"/>
  <c r="D425" i="6"/>
  <c r="H425" i="6" s="1"/>
  <c r="H398" i="6"/>
  <c r="H352" i="6"/>
  <c r="AA352" i="6" s="1"/>
  <c r="H349" i="6"/>
  <c r="AA349" i="6" s="1"/>
  <c r="H347" i="6"/>
  <c r="AA347" i="6" s="1"/>
  <c r="H344" i="6"/>
  <c r="AA344" i="6" s="1"/>
  <c r="H341" i="6"/>
  <c r="AA341" i="6" s="1"/>
  <c r="H338" i="6"/>
  <c r="AA338" i="6" s="1"/>
  <c r="H336" i="6"/>
  <c r="H335" i="6"/>
  <c r="AA335" i="6" s="1"/>
  <c r="H324" i="6"/>
  <c r="I324" i="6" s="1"/>
  <c r="H323" i="6"/>
  <c r="I323" i="6" s="1"/>
  <c r="H322" i="6"/>
  <c r="I322" i="6" s="1"/>
  <c r="H316" i="6"/>
  <c r="I316" i="6" s="1"/>
  <c r="H314" i="6"/>
  <c r="H313" i="6"/>
  <c r="H312" i="6"/>
  <c r="H311" i="6"/>
  <c r="H310" i="6"/>
  <c r="AA310" i="6" s="1"/>
  <c r="H309" i="6"/>
  <c r="AA309" i="6" s="1"/>
  <c r="H308" i="6"/>
  <c r="H307" i="6"/>
  <c r="H306" i="6"/>
  <c r="H303" i="6"/>
  <c r="H301" i="6"/>
  <c r="H299" i="6"/>
  <c r="H298" i="6"/>
  <c r="H295" i="6"/>
  <c r="H294" i="6"/>
  <c r="H293" i="6"/>
  <c r="AA293" i="6" s="1"/>
  <c r="H292" i="6"/>
  <c r="AA292" i="6" s="1"/>
  <c r="H290" i="6"/>
  <c r="H287" i="6"/>
  <c r="AA287" i="6" s="1"/>
  <c r="H283" i="6"/>
  <c r="AA283" i="6" s="1"/>
  <c r="H280" i="6"/>
  <c r="AA280" i="6" s="1"/>
  <c r="H272" i="6"/>
  <c r="AA272" i="6" s="1"/>
  <c r="H250" i="6"/>
  <c r="M250" i="6" s="1"/>
  <c r="C683" i="9"/>
  <c r="E683" i="9" s="1"/>
  <c r="D188" i="6"/>
  <c r="D186" i="6"/>
  <c r="D185" i="6"/>
  <c r="D184" i="6"/>
  <c r="D183" i="6"/>
  <c r="D182" i="6"/>
  <c r="H182" i="6" s="1"/>
  <c r="AA182" i="6" s="1"/>
  <c r="D179" i="6"/>
  <c r="H179" i="6" s="1"/>
  <c r="D178" i="6"/>
  <c r="H178" i="6" s="1"/>
  <c r="D170" i="6"/>
  <c r="H170" i="6" s="1"/>
  <c r="D159" i="6"/>
  <c r="H159" i="6" s="1"/>
  <c r="AA159" i="6" s="1"/>
  <c r="D121" i="6"/>
  <c r="H121" i="6" s="1"/>
  <c r="AA121" i="6" s="1"/>
  <c r="D119" i="6"/>
  <c r="H119" i="6" s="1"/>
  <c r="AA119" i="6" s="1"/>
  <c r="D118" i="6"/>
  <c r="H118" i="6" s="1"/>
  <c r="AA118" i="6" s="1"/>
  <c r="D115" i="6"/>
  <c r="H115" i="6" s="1"/>
  <c r="AA115" i="6" s="1"/>
  <c r="D112" i="6"/>
  <c r="H112" i="6" s="1"/>
  <c r="D111" i="6"/>
  <c r="H111" i="6" s="1"/>
  <c r="AA111" i="6" s="1"/>
  <c r="D110" i="6"/>
  <c r="H110" i="6" s="1"/>
  <c r="AA110" i="6" s="1"/>
  <c r="D99" i="6"/>
  <c r="H99" i="6" s="1"/>
  <c r="D98" i="6"/>
  <c r="D97" i="6"/>
  <c r="H97" i="6" s="1"/>
  <c r="AA97" i="6" s="1"/>
  <c r="D96" i="6"/>
  <c r="H96" i="6" s="1"/>
  <c r="AA96" i="6" s="1"/>
  <c r="D95" i="6"/>
  <c r="H95" i="6" s="1"/>
  <c r="AA95" i="6" s="1"/>
  <c r="D158" i="6"/>
  <c r="H158" i="6" s="1"/>
  <c r="D157" i="6"/>
  <c r="H157" i="6" s="1"/>
  <c r="D156" i="6"/>
  <c r="H156" i="6" s="1"/>
  <c r="D93" i="6"/>
  <c r="H93" i="6" s="1"/>
  <c r="D90" i="6"/>
  <c r="H90" i="6" s="1"/>
  <c r="D83" i="6"/>
  <c r="H83" i="6" s="1"/>
  <c r="D82" i="6"/>
  <c r="H82" i="6" s="1"/>
  <c r="D80" i="6"/>
  <c r="H80" i="6" s="1"/>
  <c r="D75" i="6"/>
  <c r="H75" i="6" s="1"/>
  <c r="D70" i="6"/>
  <c r="H70" i="6" s="1"/>
  <c r="D69" i="6"/>
  <c r="H69" i="6" s="1"/>
  <c r="AA69" i="6" s="1"/>
  <c r="D68" i="6"/>
  <c r="H68" i="6" s="1"/>
  <c r="D25" i="6"/>
  <c r="H25" i="6" s="1"/>
  <c r="D18" i="6"/>
  <c r="H18" i="6" s="1"/>
  <c r="D17" i="6"/>
  <c r="H17" i="6" s="1"/>
  <c r="D16" i="6"/>
  <c r="H16" i="6" s="1"/>
  <c r="D15" i="6"/>
  <c r="H15" i="6" s="1"/>
  <c r="D8" i="6"/>
  <c r="D7" i="6"/>
  <c r="D6" i="6"/>
  <c r="D5" i="6"/>
  <c r="AA16" i="6" l="1"/>
  <c r="AA17" i="6"/>
  <c r="AA18" i="6"/>
  <c r="AA25" i="6"/>
  <c r="AA15" i="6"/>
  <c r="H442" i="6"/>
  <c r="M442" i="6" s="1"/>
  <c r="H443" i="6"/>
  <c r="M443" i="6" s="1"/>
  <c r="H446" i="6"/>
  <c r="M446" i="6" s="1"/>
  <c r="H449" i="6"/>
  <c r="M449" i="6" s="1"/>
  <c r="H441" i="6"/>
  <c r="M441" i="6" s="1"/>
  <c r="S156" i="6"/>
  <c r="AA156" i="6" s="1"/>
  <c r="T70" i="6"/>
  <c r="U157" i="6"/>
  <c r="T75" i="6"/>
  <c r="AA75" i="6" s="1"/>
  <c r="U158" i="6"/>
  <c r="AA158" i="6" s="1"/>
  <c r="T80" i="6"/>
  <c r="AA80" i="6" s="1"/>
  <c r="T83" i="6"/>
  <c r="AA83" i="6" s="1"/>
  <c r="T90" i="6"/>
  <c r="AA90" i="6" s="1"/>
  <c r="T82" i="6"/>
  <c r="AA82" i="6" s="1"/>
  <c r="T93" i="6"/>
  <c r="AA93" i="6" s="1"/>
  <c r="S99" i="6"/>
  <c r="AA99" i="6" s="1"/>
  <c r="H188" i="6"/>
  <c r="M188" i="6" s="1"/>
  <c r="H98" i="6"/>
  <c r="H282" i="6"/>
  <c r="H296" i="6"/>
  <c r="H325" i="6"/>
  <c r="I325" i="6" s="1"/>
  <c r="H297" i="6"/>
  <c r="H326" i="6"/>
  <c r="I326" i="6" s="1"/>
  <c r="H317" i="6"/>
  <c r="I317" i="6" s="1"/>
  <c r="H318" i="6"/>
  <c r="I318" i="6" s="1"/>
  <c r="H327" i="6"/>
  <c r="I327" i="6" s="1"/>
  <c r="H252" i="6"/>
  <c r="M252" i="6" s="1"/>
  <c r="H300" i="6"/>
  <c r="H319" i="6"/>
  <c r="I319" i="6" s="1"/>
  <c r="H281" i="6"/>
  <c r="H305" i="6"/>
  <c r="H354" i="6"/>
  <c r="I354" i="6" s="1"/>
  <c r="E963" i="9"/>
  <c r="H353" i="6"/>
  <c r="I353" i="6" s="1"/>
  <c r="D463" i="6"/>
  <c r="D472" i="6"/>
  <c r="D468" i="6"/>
  <c r="D457" i="6"/>
  <c r="H457" i="6" s="1"/>
  <c r="D379" i="6"/>
  <c r="D378" i="6"/>
  <c r="D473" i="6"/>
  <c r="D132" i="6"/>
  <c r="D32" i="6"/>
  <c r="H32" i="6" s="1"/>
  <c r="H225" i="6"/>
  <c r="D365" i="6"/>
  <c r="D391" i="6"/>
  <c r="D71" i="6"/>
  <c r="D92" i="6"/>
  <c r="D28" i="6"/>
  <c r="H28" i="6" s="1"/>
  <c r="D386" i="6"/>
  <c r="D58" i="6"/>
  <c r="H58" i="6" s="1"/>
  <c r="D55" i="6"/>
  <c r="H55" i="6" s="1"/>
  <c r="D144" i="6"/>
  <c r="D37" i="6"/>
  <c r="H37" i="6" s="1"/>
  <c r="D161" i="6"/>
  <c r="H161" i="6" s="1"/>
  <c r="AA161" i="6" s="1"/>
  <c r="D385" i="6"/>
  <c r="D396" i="6"/>
  <c r="D169" i="6"/>
  <c r="H209" i="6"/>
  <c r="AA209" i="6" s="1"/>
  <c r="H269" i="6"/>
  <c r="D49" i="6"/>
  <c r="D126" i="6"/>
  <c r="D164" i="6"/>
  <c r="H164" i="6" s="1"/>
  <c r="H211" i="6"/>
  <c r="H262" i="6"/>
  <c r="AA262" i="6" s="1"/>
  <c r="D79" i="6"/>
  <c r="D128" i="6"/>
  <c r="H128" i="6" s="1"/>
  <c r="D51" i="6"/>
  <c r="D361" i="6"/>
  <c r="D43" i="6"/>
  <c r="H43" i="6" s="1"/>
  <c r="AA43" i="6" s="1"/>
  <c r="D44" i="6"/>
  <c r="D162" i="6"/>
  <c r="H162" i="6" s="1"/>
  <c r="D84" i="6"/>
  <c r="D145" i="6"/>
  <c r="D392" i="6"/>
  <c r="D362" i="6"/>
  <c r="H362" i="6" s="1"/>
  <c r="AA362" i="6" s="1"/>
  <c r="H247" i="6"/>
  <c r="D72" i="6"/>
  <c r="H72" i="6" s="1"/>
  <c r="H192" i="6"/>
  <c r="AA192" i="6" s="1"/>
  <c r="H241" i="6"/>
  <c r="M241" i="6" s="1"/>
  <c r="H271" i="6"/>
  <c r="D387" i="6"/>
  <c r="D29" i="6"/>
  <c r="H29" i="6" s="1"/>
  <c r="D56" i="6"/>
  <c r="H56" i="6" s="1"/>
  <c r="D125" i="6"/>
  <c r="H125" i="6" s="1"/>
  <c r="AA125" i="6" s="1"/>
  <c r="D135" i="6"/>
  <c r="H135" i="6" s="1"/>
  <c r="AA135" i="6" s="1"/>
  <c r="D163" i="6"/>
  <c r="H163" i="6" s="1"/>
  <c r="H210" i="6"/>
  <c r="H240" i="6"/>
  <c r="M240" i="6" s="1"/>
  <c r="H270" i="6"/>
  <c r="D367" i="6"/>
  <c r="H367" i="6" s="1"/>
  <c r="AA367" i="6" s="1"/>
  <c r="D54" i="6"/>
  <c r="D60" i="6"/>
  <c r="H60" i="6" s="1"/>
  <c r="T294" i="6"/>
  <c r="AA294" i="6" s="1"/>
  <c r="H205" i="6"/>
  <c r="T295" i="6"/>
  <c r="AA295" i="6" s="1"/>
  <c r="S312" i="6"/>
  <c r="AA312" i="6" s="1"/>
  <c r="D174" i="6"/>
  <c r="H174" i="6" s="1"/>
  <c r="AA174" i="6" s="1"/>
  <c r="D180" i="6"/>
  <c r="S68" i="6"/>
  <c r="AA68" i="6" s="1"/>
  <c r="S311" i="6"/>
  <c r="AA311" i="6" s="1"/>
  <c r="AA322" i="6"/>
  <c r="D171" i="6"/>
  <c r="H171" i="6" s="1"/>
  <c r="AA171" i="6" s="1"/>
  <c r="D177" i="6"/>
  <c r="H279" i="6"/>
  <c r="H291" i="6"/>
  <c r="AA291" i="6" s="1"/>
  <c r="T298" i="6"/>
  <c r="AA298" i="6" s="1"/>
  <c r="S313" i="6"/>
  <c r="AA313" i="6" s="1"/>
  <c r="AA323" i="6"/>
  <c r="D9" i="6"/>
  <c r="AA316" i="6"/>
  <c r="D175" i="6"/>
  <c r="H175" i="6" s="1"/>
  <c r="AA250" i="6"/>
  <c r="H235" i="6"/>
  <c r="M235" i="6" s="1"/>
  <c r="H233" i="6"/>
  <c r="M233" i="6" s="1"/>
  <c r="I290" i="6"/>
  <c r="AA290" i="6" s="1"/>
  <c r="T306" i="6"/>
  <c r="AA306" i="6" s="1"/>
  <c r="D50" i="6"/>
  <c r="T299" i="6"/>
  <c r="AA299" i="6" s="1"/>
  <c r="T307" i="6"/>
  <c r="AA307" i="6" s="1"/>
  <c r="S314" i="6"/>
  <c r="AA314" i="6" s="1"/>
  <c r="H277" i="6"/>
  <c r="AA277" i="6" s="1"/>
  <c r="H289" i="6"/>
  <c r="AA289" i="6" s="1"/>
  <c r="D134" i="6"/>
  <c r="T303" i="6"/>
  <c r="AA303" i="6" s="1"/>
  <c r="U308" i="6"/>
  <c r="AA308" i="6" s="1"/>
  <c r="AA324" i="6"/>
  <c r="T301" i="6"/>
  <c r="AA301" i="6" s="1"/>
  <c r="D142" i="6"/>
  <c r="H142" i="6" s="1"/>
  <c r="AA142" i="6" s="1"/>
  <c r="D168" i="6"/>
  <c r="H168" i="6" s="1"/>
  <c r="H288" i="6"/>
  <c r="D366" i="6"/>
  <c r="H366" i="6" s="1"/>
  <c r="AA366" i="6" s="1"/>
  <c r="D86" i="6"/>
  <c r="H86" i="6" s="1"/>
  <c r="D137" i="6"/>
  <c r="H137" i="6" s="1"/>
  <c r="D393" i="6"/>
  <c r="H393" i="6" s="1"/>
  <c r="I393" i="6" s="1"/>
  <c r="D405" i="6"/>
  <c r="D431" i="6"/>
  <c r="H431" i="6" s="1"/>
  <c r="D45" i="6"/>
  <c r="H45" i="6" s="1"/>
  <c r="D74" i="6"/>
  <c r="H74" i="6" s="1"/>
  <c r="D66" i="6"/>
  <c r="H66" i="6" s="1"/>
  <c r="D138" i="6"/>
  <c r="H138" i="6" s="1"/>
  <c r="D153" i="6"/>
  <c r="H153" i="6" s="1"/>
  <c r="AA153" i="6" s="1"/>
  <c r="H207" i="6"/>
  <c r="H251" i="6"/>
  <c r="M251" i="6" s="1"/>
  <c r="D38" i="6"/>
  <c r="H38" i="6" s="1"/>
  <c r="D46" i="6"/>
  <c r="H46" i="6" s="1"/>
  <c r="D78" i="6"/>
  <c r="H78" i="6" s="1"/>
  <c r="D87" i="6"/>
  <c r="H87" i="6" s="1"/>
  <c r="D67" i="6"/>
  <c r="H67" i="6" s="1"/>
  <c r="D154" i="6"/>
  <c r="D155" i="6"/>
  <c r="H155" i="6" s="1"/>
  <c r="AA155" i="6" s="1"/>
  <c r="H215" i="6"/>
  <c r="AA215" i="6" s="1"/>
  <c r="D388" i="6"/>
  <c r="H388" i="6" s="1"/>
  <c r="I388" i="6" s="1"/>
  <c r="D485" i="6"/>
  <c r="H485" i="6" s="1"/>
  <c r="AA485" i="6" s="1"/>
  <c r="D469" i="6"/>
  <c r="H469" i="6" s="1"/>
  <c r="AA469" i="6" s="1"/>
  <c r="D62" i="6"/>
  <c r="D166" i="6"/>
  <c r="H166" i="6" s="1"/>
  <c r="D76" i="3"/>
  <c r="D75" i="3" s="1"/>
  <c r="D48" i="6"/>
  <c r="H48" i="6" s="1"/>
  <c r="D420" i="6"/>
  <c r="H420" i="6" s="1"/>
  <c r="AA420" i="6" s="1"/>
  <c r="D450" i="6"/>
  <c r="H450" i="6" s="1"/>
  <c r="D76" i="6"/>
  <c r="H76" i="6" s="1"/>
  <c r="D100" i="6"/>
  <c r="H100" i="6" s="1"/>
  <c r="D176" i="6"/>
  <c r="D370" i="6"/>
  <c r="H370" i="6" s="1"/>
  <c r="AA370" i="6" s="1"/>
  <c r="D373" i="6"/>
  <c r="H399" i="6"/>
  <c r="D423" i="6"/>
  <c r="H423" i="6" s="1"/>
  <c r="D406" i="6"/>
  <c r="H406" i="6" s="1"/>
  <c r="D432" i="6"/>
  <c r="H432" i="6" s="1"/>
  <c r="AA432" i="6" s="1"/>
  <c r="D479" i="6"/>
  <c r="D460" i="6"/>
  <c r="H460" i="6" s="1"/>
  <c r="D88" i="6"/>
  <c r="H88" i="6" s="1"/>
  <c r="H199" i="6"/>
  <c r="AA199" i="6" s="1"/>
  <c r="D374" i="6"/>
  <c r="H374" i="6" s="1"/>
  <c r="D380" i="6"/>
  <c r="D394" i="6"/>
  <c r="H394" i="6" s="1"/>
  <c r="I394" i="6" s="1"/>
  <c r="H400" i="6"/>
  <c r="M400" i="6" s="1"/>
  <c r="D424" i="6"/>
  <c r="H424" i="6" s="1"/>
  <c r="D407" i="6"/>
  <c r="H407" i="6" s="1"/>
  <c r="AA407" i="6" s="1"/>
  <c r="D433" i="6"/>
  <c r="F433" i="6" s="1"/>
  <c r="D409" i="6"/>
  <c r="H409" i="6" s="1"/>
  <c r="D435" i="6"/>
  <c r="H435" i="6" s="1"/>
  <c r="D421" i="6"/>
  <c r="D451" i="6"/>
  <c r="D30" i="6"/>
  <c r="H30" i="6" s="1"/>
  <c r="D35" i="6"/>
  <c r="H35" i="6" s="1"/>
  <c r="D47" i="6"/>
  <c r="H47" i="6" s="1"/>
  <c r="D52" i="6"/>
  <c r="H52" i="6" s="1"/>
  <c r="S52" i="6" s="1"/>
  <c r="AA52" i="6" s="1"/>
  <c r="D91" i="6"/>
  <c r="H91" i="6" s="1"/>
  <c r="D129" i="6"/>
  <c r="H129" i="6" s="1"/>
  <c r="D151" i="6"/>
  <c r="D165" i="6"/>
  <c r="H165" i="6" s="1"/>
  <c r="AA165" i="6" s="1"/>
  <c r="D172" i="6"/>
  <c r="H268" i="6"/>
  <c r="AA268" i="6" s="1"/>
  <c r="D363" i="6"/>
  <c r="H363" i="6" s="1"/>
  <c r="AA363" i="6" s="1"/>
  <c r="D375" i="6"/>
  <c r="H375" i="6" s="1"/>
  <c r="AA375" i="6" s="1"/>
  <c r="D395" i="6"/>
  <c r="D410" i="6"/>
  <c r="H410" i="6" s="1"/>
  <c r="D436" i="6"/>
  <c r="F436" i="6" s="1"/>
  <c r="E185" i="6" s="1"/>
  <c r="H185" i="6" s="1"/>
  <c r="D477" i="6"/>
  <c r="H477" i="6" s="1"/>
  <c r="D456" i="6"/>
  <c r="D480" i="6"/>
  <c r="H480" i="6" s="1"/>
  <c r="D42" i="6"/>
  <c r="H42" i="6" s="1"/>
  <c r="D61" i="6"/>
  <c r="H61" i="6" s="1"/>
  <c r="H265" i="6"/>
  <c r="AA265" i="6" s="1"/>
  <c r="H203" i="6"/>
  <c r="D73" i="6"/>
  <c r="H73" i="6" s="1"/>
  <c r="D150" i="6"/>
  <c r="H150" i="6" s="1"/>
  <c r="AA150" i="6" s="1"/>
  <c r="H206" i="6"/>
  <c r="D369" i="6"/>
  <c r="D484" i="6"/>
  <c r="D465" i="6"/>
  <c r="D31" i="6"/>
  <c r="H31" i="6" s="1"/>
  <c r="D36" i="6"/>
  <c r="H36" i="6" s="1"/>
  <c r="D41" i="6"/>
  <c r="H41" i="6" s="1"/>
  <c r="D53" i="6"/>
  <c r="D59" i="6"/>
  <c r="H59" i="6" s="1"/>
  <c r="D65" i="6"/>
  <c r="H65" i="6" s="1"/>
  <c r="D152" i="6"/>
  <c r="H152" i="6" s="1"/>
  <c r="AA152" i="6" s="1"/>
  <c r="D173" i="6"/>
  <c r="H195" i="6"/>
  <c r="S195" i="6" s="1"/>
  <c r="H224" i="6"/>
  <c r="H254" i="6"/>
  <c r="D364" i="6"/>
  <c r="H364" i="6" s="1"/>
  <c r="AA364" i="6" s="1"/>
  <c r="D368" i="6"/>
  <c r="D371" i="6"/>
  <c r="D383" i="6"/>
  <c r="H383" i="6" s="1"/>
  <c r="D389" i="6"/>
  <c r="H389" i="6" s="1"/>
  <c r="I389" i="6" s="1"/>
  <c r="D426" i="6"/>
  <c r="H426" i="6" s="1"/>
  <c r="D408" i="6"/>
  <c r="H408" i="6" s="1"/>
  <c r="AA408" i="6" s="1"/>
  <c r="D434" i="6"/>
  <c r="F434" i="6" s="1"/>
  <c r="E173" i="6" s="1"/>
  <c r="D411" i="6"/>
  <c r="H411" i="6" s="1"/>
  <c r="D437" i="6"/>
  <c r="F437" i="6" s="1"/>
  <c r="E186" i="6" s="1"/>
  <c r="H186" i="6" s="1"/>
  <c r="D422" i="6"/>
  <c r="D452" i="6"/>
  <c r="D481" i="6"/>
  <c r="D462" i="6"/>
  <c r="H462" i="6" s="1"/>
  <c r="D377" i="6"/>
  <c r="H377" i="6" s="1"/>
  <c r="I377" i="6" s="1"/>
  <c r="D397" i="6"/>
  <c r="H401" i="6"/>
  <c r="D413" i="6"/>
  <c r="D439" i="6"/>
  <c r="F439" i="6" s="1"/>
  <c r="D418" i="6"/>
  <c r="D448" i="6"/>
  <c r="H448" i="6" s="1"/>
  <c r="AA448" i="6" s="1"/>
  <c r="D471" i="6"/>
  <c r="H471" i="6" s="1"/>
  <c r="H219" i="6"/>
  <c r="H236" i="6"/>
  <c r="D412" i="6"/>
  <c r="H412" i="6" s="1"/>
  <c r="AA412" i="6" s="1"/>
  <c r="D438" i="6"/>
  <c r="F438" i="6" s="1"/>
  <c r="H248" i="6"/>
  <c r="D85" i="6"/>
  <c r="H85" i="6" s="1"/>
  <c r="D146" i="6"/>
  <c r="H146" i="6" s="1"/>
  <c r="D167" i="6"/>
  <c r="H167" i="6" s="1"/>
  <c r="H221" i="6"/>
  <c r="H249" i="6"/>
  <c r="D372" i="6"/>
  <c r="D402" i="6"/>
  <c r="D429" i="6"/>
  <c r="H429" i="6" s="1"/>
  <c r="J415" i="6"/>
  <c r="AA415" i="6" s="1"/>
  <c r="D440" i="6"/>
  <c r="H440" i="6" s="1"/>
  <c r="D476" i="6"/>
  <c r="H476" i="6" s="1"/>
  <c r="D455" i="6"/>
  <c r="H455" i="6" s="1"/>
  <c r="D459" i="6"/>
  <c r="H459" i="6" s="1"/>
  <c r="D483" i="6"/>
  <c r="D464" i="6"/>
  <c r="H464" i="6" s="1"/>
  <c r="H202" i="6"/>
  <c r="G732" i="9"/>
  <c r="H242" i="6"/>
  <c r="AA242" i="6" s="1"/>
  <c r="H216" i="6"/>
  <c r="H217" i="6"/>
  <c r="H226" i="6"/>
  <c r="H232" i="6"/>
  <c r="H228" i="6"/>
  <c r="H229" i="6"/>
  <c r="H230" i="6"/>
  <c r="H227" i="6"/>
  <c r="H231" i="6"/>
  <c r="H223" i="6"/>
  <c r="H218" i="6"/>
  <c r="H196" i="6"/>
  <c r="S196" i="6" s="1"/>
  <c r="H197" i="6"/>
  <c r="S197" i="6" s="1"/>
  <c r="K187" i="6"/>
  <c r="AA187" i="6" s="1"/>
  <c r="D131" i="6"/>
  <c r="H131" i="6" s="1"/>
  <c r="D140" i="6"/>
  <c r="D143" i="6"/>
  <c r="H143" i="6" s="1"/>
  <c r="D141" i="6"/>
  <c r="H141" i="6" s="1"/>
  <c r="D133" i="6"/>
  <c r="D139" i="6"/>
  <c r="H139" i="6" s="1"/>
  <c r="D130" i="6"/>
  <c r="H130" i="6" s="1"/>
  <c r="AA130" i="6" s="1"/>
  <c r="D136" i="6"/>
  <c r="H136" i="6" s="1"/>
  <c r="AA136" i="6" s="1"/>
  <c r="D127" i="6"/>
  <c r="D116" i="6"/>
  <c r="D117" i="6"/>
  <c r="D124" i="6"/>
  <c r="H124" i="6" s="1"/>
  <c r="D122" i="6"/>
  <c r="D114" i="6"/>
  <c r="H114" i="6" s="1"/>
  <c r="D120" i="6"/>
  <c r="H120" i="6" s="1"/>
  <c r="D113" i="6"/>
  <c r="H113" i="6" s="1"/>
  <c r="D20" i="6"/>
  <c r="H20" i="6" s="1"/>
  <c r="D23" i="6"/>
  <c r="H23" i="6" s="1"/>
  <c r="D21" i="6"/>
  <c r="H21" i="6" s="1"/>
  <c r="D34" i="6"/>
  <c r="H34" i="6" s="1"/>
  <c r="D33" i="6"/>
  <c r="H33" i="6" s="1"/>
  <c r="D19" i="6"/>
  <c r="H19" i="6" s="1"/>
  <c r="D26" i="6"/>
  <c r="H26" i="6" s="1"/>
  <c r="D27" i="6"/>
  <c r="H27" i="6" s="1"/>
  <c r="AA27" i="6" s="1"/>
  <c r="D62" i="9"/>
  <c r="D63" i="9"/>
  <c r="H220" i="6"/>
  <c r="H222" i="6"/>
  <c r="H264" i="6"/>
  <c r="D419" i="6"/>
  <c r="D404" i="6"/>
  <c r="D376" i="6"/>
  <c r="H376" i="6" s="1"/>
  <c r="D416" i="6"/>
  <c r="D26" i="3"/>
  <c r="D24" i="3"/>
  <c r="D25" i="3"/>
  <c r="D70" i="3"/>
  <c r="D21" i="3"/>
  <c r="U488" i="6" l="1"/>
  <c r="AA441" i="6"/>
  <c r="AA442" i="6"/>
  <c r="AA35" i="6"/>
  <c r="S60" i="6"/>
  <c r="AA60" i="6" s="1"/>
  <c r="AA20" i="6"/>
  <c r="AA186" i="6"/>
  <c r="M206" i="6"/>
  <c r="AA30" i="6"/>
  <c r="AA269" i="6"/>
  <c r="AA42" i="6"/>
  <c r="AA38" i="6"/>
  <c r="AA29" i="6"/>
  <c r="AA32" i="6"/>
  <c r="AA26" i="6"/>
  <c r="AA33" i="6"/>
  <c r="AA41" i="6"/>
  <c r="AA37" i="6"/>
  <c r="AA34" i="6"/>
  <c r="AA36" i="6"/>
  <c r="M207" i="6"/>
  <c r="AA28" i="6"/>
  <c r="AA19" i="6"/>
  <c r="AA21" i="6"/>
  <c r="AA31" i="6"/>
  <c r="AA23" i="6"/>
  <c r="AA157" i="6"/>
  <c r="AA70" i="6"/>
  <c r="H483" i="6"/>
  <c r="M483" i="6" s="1"/>
  <c r="H451" i="6"/>
  <c r="M451" i="6" s="1"/>
  <c r="H463" i="6"/>
  <c r="M463" i="6" s="1"/>
  <c r="H421" i="6"/>
  <c r="M421" i="6" s="1"/>
  <c r="H405" i="6"/>
  <c r="M405" i="6" s="1"/>
  <c r="H473" i="6"/>
  <c r="M473" i="6" s="1"/>
  <c r="H373" i="6"/>
  <c r="M373" i="6" s="1"/>
  <c r="H177" i="6"/>
  <c r="M177" i="6" s="1"/>
  <c r="H133" i="6"/>
  <c r="M133" i="6" s="1"/>
  <c r="H140" i="6"/>
  <c r="M140" i="6" s="1"/>
  <c r="H481" i="6"/>
  <c r="M481" i="6" s="1"/>
  <c r="H418" i="6"/>
  <c r="M418" i="6" s="1"/>
  <c r="H452" i="6"/>
  <c r="M452" i="6" s="1"/>
  <c r="H484" i="6"/>
  <c r="M484" i="6" s="1"/>
  <c r="H176" i="6"/>
  <c r="M176" i="6" s="1"/>
  <c r="H422" i="6"/>
  <c r="M422" i="6" s="1"/>
  <c r="H371" i="6"/>
  <c r="I371" i="6" s="1"/>
  <c r="H369" i="6"/>
  <c r="I369" i="6" s="1"/>
  <c r="H479" i="6"/>
  <c r="M479" i="6" s="1"/>
  <c r="H134" i="6"/>
  <c r="M134" i="6" s="1"/>
  <c r="H468" i="6"/>
  <c r="M468" i="6" s="1"/>
  <c r="H151" i="6"/>
  <c r="M151" i="6" s="1"/>
  <c r="H416" i="6"/>
  <c r="M416" i="6" s="1"/>
  <c r="H404" i="6"/>
  <c r="M404" i="6" s="1"/>
  <c r="H402" i="6"/>
  <c r="M402" i="6" s="1"/>
  <c r="H413" i="6"/>
  <c r="M413" i="6" s="1"/>
  <c r="H472" i="6"/>
  <c r="M472" i="6" s="1"/>
  <c r="H122" i="6"/>
  <c r="I122" i="6" s="1"/>
  <c r="H127" i="6"/>
  <c r="I127" i="6" s="1"/>
  <c r="H117" i="6"/>
  <c r="I117" i="6" s="1"/>
  <c r="H116" i="6"/>
  <c r="I116" i="6" s="1"/>
  <c r="G741" i="9"/>
  <c r="D4" i="6"/>
  <c r="D360" i="6"/>
  <c r="AA400" i="6"/>
  <c r="D64" i="9"/>
  <c r="S61" i="6"/>
  <c r="AA61" i="6" s="1"/>
  <c r="T88" i="6"/>
  <c r="AA88" i="6" s="1"/>
  <c r="S67" i="6"/>
  <c r="AA67" i="6" s="1"/>
  <c r="T86" i="6"/>
  <c r="AA86" i="6" s="1"/>
  <c r="AA319" i="6"/>
  <c r="T85" i="6"/>
  <c r="AA85" i="6" s="1"/>
  <c r="AA196" i="6"/>
  <c r="T87" i="6"/>
  <c r="AA87" i="6" s="1"/>
  <c r="S66" i="6"/>
  <c r="AA66" i="6" s="1"/>
  <c r="T91" i="6"/>
  <c r="AA91" i="6" s="1"/>
  <c r="I114" i="6"/>
  <c r="AA114" i="6" s="1"/>
  <c r="S65" i="6"/>
  <c r="AA65" i="6" s="1"/>
  <c r="S100" i="6"/>
  <c r="AA100" i="6" s="1"/>
  <c r="T78" i="6"/>
  <c r="AA78" i="6" s="1"/>
  <c r="T74" i="6"/>
  <c r="AA74" i="6" s="1"/>
  <c r="T72" i="6"/>
  <c r="AA72" i="6" s="1"/>
  <c r="I282" i="6"/>
  <c r="AA282" i="6" s="1"/>
  <c r="S59" i="6"/>
  <c r="AA59" i="6" s="1"/>
  <c r="T76" i="6"/>
  <c r="AA76" i="6" s="1"/>
  <c r="AA233" i="6"/>
  <c r="S98" i="6"/>
  <c r="AA98" i="6" s="1"/>
  <c r="AA195" i="6"/>
  <c r="S56" i="6"/>
  <c r="AA56" i="6" s="1"/>
  <c r="S55" i="6"/>
  <c r="AA55" i="6" s="1"/>
  <c r="AA318" i="6"/>
  <c r="T73" i="6"/>
  <c r="AA73" i="6" s="1"/>
  <c r="R185" i="6"/>
  <c r="AA185" i="6" s="1"/>
  <c r="S58" i="6"/>
  <c r="AA58" i="6" s="1"/>
  <c r="AA317" i="6"/>
  <c r="AA188" i="6"/>
  <c r="J231" i="6"/>
  <c r="AA231" i="6" s="1"/>
  <c r="N129" i="6"/>
  <c r="H173" i="6"/>
  <c r="D68" i="3"/>
  <c r="G655" i="9" s="1"/>
  <c r="H62" i="6"/>
  <c r="H9" i="6"/>
  <c r="H396" i="6"/>
  <c r="I396" i="6" s="1"/>
  <c r="H320" i="6"/>
  <c r="I320" i="6" s="1"/>
  <c r="H343" i="6"/>
  <c r="H345" i="6"/>
  <c r="H486" i="6"/>
  <c r="M486" i="6" s="1"/>
  <c r="H465" i="6"/>
  <c r="M465" i="6" s="1"/>
  <c r="H380" i="6"/>
  <c r="I380" i="6" s="1"/>
  <c r="H54" i="6"/>
  <c r="H44" i="6"/>
  <c r="H385" i="6"/>
  <c r="I385" i="6" s="1"/>
  <c r="H92" i="6"/>
  <c r="I281" i="6"/>
  <c r="AA281" i="6" s="1"/>
  <c r="T297" i="6"/>
  <c r="AA297" i="6" s="1"/>
  <c r="H397" i="6"/>
  <c r="I397" i="6" s="1"/>
  <c r="H368" i="6"/>
  <c r="I368" i="6" s="1"/>
  <c r="H71" i="6"/>
  <c r="H132" i="6"/>
  <c r="M132" i="6" s="1"/>
  <c r="H302" i="6"/>
  <c r="H342" i="6"/>
  <c r="H337" i="6"/>
  <c r="T300" i="6"/>
  <c r="AA300" i="6" s="1"/>
  <c r="AA327" i="6"/>
  <c r="AA325" i="6"/>
  <c r="H395" i="6"/>
  <c r="I395" i="6" s="1"/>
  <c r="H208" i="6"/>
  <c r="H244" i="6"/>
  <c r="H263" i="6"/>
  <c r="H126" i="6"/>
  <c r="H391" i="6"/>
  <c r="I391" i="6" s="1"/>
  <c r="H357" i="6"/>
  <c r="H419" i="6"/>
  <c r="H456" i="6"/>
  <c r="H245" i="6"/>
  <c r="M245" i="6" s="1"/>
  <c r="H50" i="6"/>
  <c r="H387" i="6"/>
  <c r="I387" i="6" s="1"/>
  <c r="H51" i="6"/>
  <c r="H49" i="6"/>
  <c r="H144" i="6"/>
  <c r="H365" i="6"/>
  <c r="I365" i="6" s="1"/>
  <c r="H321" i="6"/>
  <c r="I321" i="6" s="1"/>
  <c r="H340" i="6"/>
  <c r="AA252" i="6"/>
  <c r="H53" i="6"/>
  <c r="H348" i="6"/>
  <c r="H214" i="6"/>
  <c r="H392" i="6"/>
  <c r="I392" i="6" s="1"/>
  <c r="H246" i="6"/>
  <c r="H200" i="6"/>
  <c r="H378" i="6"/>
  <c r="I378" i="6" s="1"/>
  <c r="H351" i="6"/>
  <c r="AA326" i="6"/>
  <c r="H372" i="6"/>
  <c r="I372" i="6" s="1"/>
  <c r="H201" i="6"/>
  <c r="H243" i="6"/>
  <c r="H180" i="6"/>
  <c r="H145" i="6"/>
  <c r="M145" i="6" s="1"/>
  <c r="H304" i="6"/>
  <c r="H315" i="6"/>
  <c r="I315" i="6" s="1"/>
  <c r="H339" i="6"/>
  <c r="T305" i="6"/>
  <c r="AA305" i="6" s="1"/>
  <c r="T296" i="6"/>
  <c r="AA296" i="6" s="1"/>
  <c r="H198" i="6"/>
  <c r="S198" i="6" s="1"/>
  <c r="H154" i="6"/>
  <c r="H212" i="6"/>
  <c r="H84" i="6"/>
  <c r="H79" i="6"/>
  <c r="H169" i="6"/>
  <c r="H386" i="6"/>
  <c r="I386" i="6" s="1"/>
  <c r="H379" i="6"/>
  <c r="I379" i="6" s="1"/>
  <c r="H350" i="6"/>
  <c r="H361" i="6"/>
  <c r="AA361" i="6" s="1"/>
  <c r="H191" i="6"/>
  <c r="H261" i="6"/>
  <c r="AA261" i="6" s="1"/>
  <c r="H276" i="6"/>
  <c r="AA276" i="6" s="1"/>
  <c r="C928" i="9"/>
  <c r="E928" i="9" s="1"/>
  <c r="D61" i="9"/>
  <c r="AA240" i="6"/>
  <c r="K480" i="6"/>
  <c r="AA480" i="6" s="1"/>
  <c r="J423" i="6"/>
  <c r="AA423" i="6" s="1"/>
  <c r="R162" i="6"/>
  <c r="S225" i="6"/>
  <c r="AA225" i="6" s="1"/>
  <c r="M457" i="6"/>
  <c r="AA457" i="6" s="1"/>
  <c r="S254" i="6"/>
  <c r="AA254" i="6" s="1"/>
  <c r="J409" i="6"/>
  <c r="AA409" i="6" s="1"/>
  <c r="S399" i="6"/>
  <c r="AA399" i="6" s="1"/>
  <c r="AA388" i="6"/>
  <c r="S46" i="6"/>
  <c r="AA46" i="6" s="1"/>
  <c r="S45" i="6"/>
  <c r="AA45" i="6" s="1"/>
  <c r="AA443" i="6"/>
  <c r="I279" i="6"/>
  <c r="AA279" i="6" s="1"/>
  <c r="K131" i="6"/>
  <c r="AA131" i="6" s="1"/>
  <c r="K224" i="6"/>
  <c r="S224" i="6"/>
  <c r="S47" i="6"/>
  <c r="AA47" i="6" s="1"/>
  <c r="I270" i="6"/>
  <c r="AA270" i="6" s="1"/>
  <c r="P211" i="6"/>
  <c r="AA211" i="6" s="1"/>
  <c r="I271" i="6"/>
  <c r="AA271" i="6" s="1"/>
  <c r="I288" i="6"/>
  <c r="AA288" i="6" s="1"/>
  <c r="K249" i="6"/>
  <c r="AA249" i="6" s="1"/>
  <c r="K203" i="6"/>
  <c r="AA203" i="6" s="1"/>
  <c r="S48" i="6"/>
  <c r="AA48" i="6" s="1"/>
  <c r="AA251" i="6"/>
  <c r="P210" i="6"/>
  <c r="AA210" i="6" s="1"/>
  <c r="K128" i="6"/>
  <c r="AA128" i="6" s="1"/>
  <c r="K453" i="6"/>
  <c r="AA453" i="6" s="1"/>
  <c r="M425" i="6"/>
  <c r="AA425" i="6" s="1"/>
  <c r="Z476" i="6"/>
  <c r="AA476" i="6" s="1"/>
  <c r="AA207" i="6"/>
  <c r="AA393" i="6"/>
  <c r="K175" i="6"/>
  <c r="AA175" i="6" s="1"/>
  <c r="AA241" i="6"/>
  <c r="I112" i="6"/>
  <c r="AA449" i="6"/>
  <c r="AA446" i="6"/>
  <c r="S226" i="6"/>
  <c r="AA226" i="6" s="1"/>
  <c r="V264" i="6"/>
  <c r="AA264" i="6" s="1"/>
  <c r="S219" i="6"/>
  <c r="AA219" i="6" s="1"/>
  <c r="K137" i="6"/>
  <c r="AA137" i="6" s="1"/>
  <c r="R163" i="6"/>
  <c r="AA163" i="6" s="1"/>
  <c r="R170" i="6"/>
  <c r="AA170" i="6" s="1"/>
  <c r="Z475" i="6"/>
  <c r="AA475" i="6" s="1"/>
  <c r="R168" i="6"/>
  <c r="AA168" i="6" s="1"/>
  <c r="S227" i="6"/>
  <c r="AA227" i="6" s="1"/>
  <c r="J411" i="6"/>
  <c r="AA411" i="6" s="1"/>
  <c r="AA394" i="6"/>
  <c r="R164" i="6"/>
  <c r="AA164" i="6" s="1"/>
  <c r="K474" i="6"/>
  <c r="AA474" i="6" s="1"/>
  <c r="AA377" i="6"/>
  <c r="W205" i="6"/>
  <c r="AA205" i="6" s="1"/>
  <c r="K247" i="6"/>
  <c r="AA247" i="6" s="1"/>
  <c r="M455" i="6"/>
  <c r="AA455" i="6" s="1"/>
  <c r="K178" i="6"/>
  <c r="AA178" i="6" s="1"/>
  <c r="AA389" i="6"/>
  <c r="M460" i="6"/>
  <c r="AA460" i="6" s="1"/>
  <c r="AA235" i="6"/>
  <c r="E237" i="6"/>
  <c r="H237" i="6" s="1"/>
  <c r="E183" i="6"/>
  <c r="H183" i="6" s="1"/>
  <c r="E184" i="6"/>
  <c r="H184" i="6" s="1"/>
  <c r="E172" i="6"/>
  <c r="H172" i="6" s="1"/>
  <c r="M461" i="6"/>
  <c r="AA461" i="6" s="1"/>
  <c r="Y471" i="6"/>
  <c r="AA471" i="6" s="1"/>
  <c r="M464" i="6"/>
  <c r="AA464" i="6" s="1"/>
  <c r="K179" i="6"/>
  <c r="AA179" i="6" s="1"/>
  <c r="K406" i="6"/>
  <c r="AA406" i="6" s="1"/>
  <c r="H278" i="6"/>
  <c r="S223" i="6"/>
  <c r="AA223" i="6" s="1"/>
  <c r="H266" i="6"/>
  <c r="H194" i="6"/>
  <c r="K248" i="6"/>
  <c r="AA248" i="6" s="1"/>
  <c r="AA197" i="6"/>
  <c r="H267" i="6"/>
  <c r="H193" i="6"/>
  <c r="R166" i="6"/>
  <c r="AA166" i="6" s="1"/>
  <c r="F487" i="6"/>
  <c r="K236" i="6"/>
  <c r="AA236" i="6" s="1"/>
  <c r="R167" i="6"/>
  <c r="AA167" i="6" s="1"/>
  <c r="K450" i="6"/>
  <c r="AA450" i="6" s="1"/>
  <c r="K230" i="6"/>
  <c r="AA230" i="6" s="1"/>
  <c r="M428" i="6"/>
  <c r="AA428" i="6" s="1"/>
  <c r="J26" i="3"/>
  <c r="C601" i="9"/>
  <c r="K477" i="6"/>
  <c r="AA477" i="6" s="1"/>
  <c r="K398" i="6"/>
  <c r="AA398" i="6" s="1"/>
  <c r="K401" i="6"/>
  <c r="AA401" i="6" s="1"/>
  <c r="K229" i="6"/>
  <c r="AA229" i="6" s="1"/>
  <c r="AA353" i="6"/>
  <c r="AA354" i="6"/>
  <c r="K374" i="6"/>
  <c r="AA374" i="6" s="1"/>
  <c r="K355" i="6"/>
  <c r="AA355" i="6" s="1"/>
  <c r="Z336" i="6"/>
  <c r="AA336" i="6" s="1"/>
  <c r="M220" i="6"/>
  <c r="AA220" i="6" s="1"/>
  <c r="E720" i="9"/>
  <c r="AA206" i="6" l="1"/>
  <c r="AA173" i="6"/>
  <c r="S51" i="6"/>
  <c r="AA51" i="6" s="1"/>
  <c r="M208" i="6"/>
  <c r="AA208" i="6" s="1"/>
  <c r="S54" i="6"/>
  <c r="AA54" i="6" s="1"/>
  <c r="AA9" i="6"/>
  <c r="AA180" i="6"/>
  <c r="AA172" i="6"/>
  <c r="AA472" i="6"/>
  <c r="AA151" i="6"/>
  <c r="AA369" i="6"/>
  <c r="AA484" i="6"/>
  <c r="AA140" i="6"/>
  <c r="AA473" i="6"/>
  <c r="AA402" i="6"/>
  <c r="AA468" i="6"/>
  <c r="AA371" i="6"/>
  <c r="AA483" i="6"/>
  <c r="AA416" i="6"/>
  <c r="AA479" i="6"/>
  <c r="AA176" i="6"/>
  <c r="AA481" i="6"/>
  <c r="AA463" i="6"/>
  <c r="AA133" i="6"/>
  <c r="AA129" i="6"/>
  <c r="AA112" i="6"/>
  <c r="AA162" i="6"/>
  <c r="AA134" i="6"/>
  <c r="AA422" i="6"/>
  <c r="AA177" i="6"/>
  <c r="AA421" i="6"/>
  <c r="AA116" i="6"/>
  <c r="AA117" i="6"/>
  <c r="D488" i="6"/>
  <c r="AA224" i="6"/>
  <c r="I340" i="6"/>
  <c r="AA340" i="6" s="1"/>
  <c r="K191" i="6"/>
  <c r="AA191" i="6" s="1"/>
  <c r="W212" i="6"/>
  <c r="AA212" i="6" s="1"/>
  <c r="AA145" i="6"/>
  <c r="I200" i="6"/>
  <c r="AA200" i="6" s="1"/>
  <c r="M456" i="6"/>
  <c r="AA456" i="6" s="1"/>
  <c r="T71" i="6"/>
  <c r="O154" i="6"/>
  <c r="O488" i="6" s="1"/>
  <c r="K246" i="6"/>
  <c r="AA246" i="6" s="1"/>
  <c r="AA368" i="6"/>
  <c r="S62" i="6"/>
  <c r="AA62" i="6" s="1"/>
  <c r="AA245" i="6"/>
  <c r="Z350" i="6"/>
  <c r="AA350" i="6" s="1"/>
  <c r="AA392" i="6"/>
  <c r="AA378" i="6"/>
  <c r="AA132" i="6"/>
  <c r="AA379" i="6"/>
  <c r="I201" i="6"/>
  <c r="AA201" i="6" s="1"/>
  <c r="W214" i="6"/>
  <c r="AA214" i="6" s="1"/>
  <c r="S49" i="6"/>
  <c r="AA391" i="6"/>
  <c r="AA486" i="6"/>
  <c r="T304" i="6"/>
  <c r="AA304" i="6" s="1"/>
  <c r="AA386" i="6"/>
  <c r="I348" i="6"/>
  <c r="AA348" i="6" s="1"/>
  <c r="K126" i="6"/>
  <c r="AA126" i="6" s="1"/>
  <c r="T84" i="6"/>
  <c r="AA84" i="6" s="1"/>
  <c r="R169" i="6"/>
  <c r="AA169" i="6" s="1"/>
  <c r="I339" i="6"/>
  <c r="AA339" i="6" s="1"/>
  <c r="S53" i="6"/>
  <c r="AA53" i="6" s="1"/>
  <c r="V263" i="6"/>
  <c r="AA263" i="6" s="1"/>
  <c r="T92" i="6"/>
  <c r="AA92" i="6" s="1"/>
  <c r="T79" i="6"/>
  <c r="AA79" i="6" s="1"/>
  <c r="S50" i="6"/>
  <c r="AA385" i="6"/>
  <c r="R183" i="6"/>
  <c r="AA183" i="6" s="1"/>
  <c r="R184" i="6"/>
  <c r="AA184" i="6" s="1"/>
  <c r="E273" i="6"/>
  <c r="H273" i="6" s="1"/>
  <c r="H260" i="6"/>
  <c r="AA260" i="6" s="1"/>
  <c r="J42" i="3"/>
  <c r="H434" i="6"/>
  <c r="H437" i="6"/>
  <c r="K144" i="6"/>
  <c r="AA144" i="6" s="1"/>
  <c r="P50" i="6"/>
  <c r="I342" i="6"/>
  <c r="AA342" i="6" s="1"/>
  <c r="I343" i="6"/>
  <c r="AA343" i="6" s="1"/>
  <c r="AA198" i="6"/>
  <c r="H439" i="6"/>
  <c r="H436" i="6"/>
  <c r="AA372" i="6"/>
  <c r="Z351" i="6"/>
  <c r="AA351" i="6" s="1"/>
  <c r="P49" i="6"/>
  <c r="P488" i="6" s="1"/>
  <c r="J419" i="6"/>
  <c r="AA419" i="6" s="1"/>
  <c r="T302" i="6"/>
  <c r="AA302" i="6" s="1"/>
  <c r="AA465" i="6"/>
  <c r="AA320" i="6"/>
  <c r="H438" i="6"/>
  <c r="H478" i="6"/>
  <c r="AA321" i="6"/>
  <c r="H433" i="6"/>
  <c r="I357" i="6"/>
  <c r="AA357" i="6" s="1"/>
  <c r="S44" i="6"/>
  <c r="AA396" i="6"/>
  <c r="AA315" i="6"/>
  <c r="K243" i="6"/>
  <c r="AA243" i="6" s="1"/>
  <c r="AA380" i="6"/>
  <c r="AA365" i="6"/>
  <c r="AA387" i="6"/>
  <c r="K244" i="6"/>
  <c r="AA244" i="6" s="1"/>
  <c r="AA395" i="6"/>
  <c r="I337" i="6"/>
  <c r="AA337" i="6" s="1"/>
  <c r="AA397" i="6"/>
  <c r="I345" i="6"/>
  <c r="AA345" i="6" s="1"/>
  <c r="D65" i="9"/>
  <c r="K143" i="6"/>
  <c r="AA143" i="6" s="1"/>
  <c r="S222" i="6"/>
  <c r="AA222" i="6" s="1"/>
  <c r="J232" i="6"/>
  <c r="AA232" i="6" s="1"/>
  <c r="M426" i="6"/>
  <c r="AA426" i="6" s="1"/>
  <c r="AA373" i="6"/>
  <c r="M459" i="6"/>
  <c r="AA459" i="6" s="1"/>
  <c r="W202" i="6"/>
  <c r="AA202" i="6" s="1"/>
  <c r="S218" i="6"/>
  <c r="AA218" i="6" s="1"/>
  <c r="I278" i="6"/>
  <c r="AA278" i="6" s="1"/>
  <c r="Y435" i="6"/>
  <c r="AA435" i="6" s="1"/>
  <c r="AA452" i="6"/>
  <c r="I194" i="6"/>
  <c r="AA194" i="6" s="1"/>
  <c r="S217" i="6"/>
  <c r="AA217" i="6" s="1"/>
  <c r="S221" i="6"/>
  <c r="AA221" i="6" s="1"/>
  <c r="J410" i="6"/>
  <c r="AA410" i="6" s="1"/>
  <c r="AA451" i="6"/>
  <c r="S383" i="6"/>
  <c r="AA383" i="6" s="1"/>
  <c r="AA413" i="6"/>
  <c r="K139" i="6"/>
  <c r="AA139" i="6" s="1"/>
  <c r="N237" i="6"/>
  <c r="N488" i="6" s="1"/>
  <c r="M462" i="6"/>
  <c r="AA462" i="6" s="1"/>
  <c r="I267" i="6"/>
  <c r="AA267" i="6" s="1"/>
  <c r="K124" i="6"/>
  <c r="AA122" i="6"/>
  <c r="AA127" i="6"/>
  <c r="Z440" i="6"/>
  <c r="AA440" i="6" s="1"/>
  <c r="AA404" i="6"/>
  <c r="K431" i="6"/>
  <c r="AA431" i="6" s="1"/>
  <c r="J216" i="6"/>
  <c r="I113" i="6"/>
  <c r="AA113" i="6" s="1"/>
  <c r="K424" i="6"/>
  <c r="AA424" i="6" s="1"/>
  <c r="AA418" i="6"/>
  <c r="K228" i="6"/>
  <c r="AA228" i="6" s="1"/>
  <c r="K138" i="6"/>
  <c r="AA138" i="6" s="1"/>
  <c r="AA405" i="6"/>
  <c r="K141" i="6"/>
  <c r="AA141" i="6" s="1"/>
  <c r="I193" i="6"/>
  <c r="AA193" i="6" s="1"/>
  <c r="I266" i="6"/>
  <c r="AA266" i="6" s="1"/>
  <c r="M429" i="6"/>
  <c r="AA429" i="6" s="1"/>
  <c r="I120" i="6"/>
  <c r="AA120" i="6" s="1"/>
  <c r="K146" i="6"/>
  <c r="AA146" i="6" s="1"/>
  <c r="H360" i="6"/>
  <c r="AA360" i="6" s="1"/>
  <c r="H275" i="6"/>
  <c r="H190" i="6"/>
  <c r="AA190" i="6" s="1"/>
  <c r="H4" i="6"/>
  <c r="F488" i="6"/>
  <c r="K376" i="6"/>
  <c r="AA376" i="6" s="1"/>
  <c r="H487" i="6"/>
  <c r="J488" i="6" l="1"/>
  <c r="T488" i="6"/>
  <c r="S488" i="6"/>
  <c r="M488" i="6"/>
  <c r="G23" i="5" s="1"/>
  <c r="G22" i="5" s="1"/>
  <c r="R488" i="6"/>
  <c r="AA434" i="6"/>
  <c r="AA273" i="6"/>
  <c r="AA438" i="6"/>
  <c r="AA216" i="6"/>
  <c r="G18" i="5"/>
  <c r="AA44" i="6"/>
  <c r="G25" i="5"/>
  <c r="AA124" i="6"/>
  <c r="AA154" i="6"/>
  <c r="AA71" i="6"/>
  <c r="E488" i="6"/>
  <c r="F489" i="6" s="1"/>
  <c r="AA49" i="6"/>
  <c r="AA50" i="6"/>
  <c r="AA237" i="6"/>
  <c r="J62" i="3"/>
  <c r="K478" i="6"/>
  <c r="AA478" i="6" s="1"/>
  <c r="Z439" i="6"/>
  <c r="AA439" i="6" s="1"/>
  <c r="K433" i="6"/>
  <c r="AA433" i="6" s="1"/>
  <c r="K436" i="6"/>
  <c r="AA436" i="6" s="1"/>
  <c r="I275" i="6"/>
  <c r="I488" i="6" s="1"/>
  <c r="K437" i="6"/>
  <c r="AA437" i="6" s="1"/>
  <c r="K488" i="6" l="1"/>
  <c r="G17" i="5"/>
  <c r="AA275" i="6"/>
  <c r="G19" i="5" l="1"/>
  <c r="G24" i="5" s="1"/>
  <c r="G26" i="5" s="1"/>
  <c r="C22" i="7"/>
  <c r="X488" i="6" l="1"/>
  <c r="G42" i="5" s="1"/>
  <c r="G36" i="5"/>
  <c r="G31" i="5"/>
  <c r="G21" i="5" l="1"/>
  <c r="N489" i="6"/>
  <c r="D22" i="7" l="1"/>
  <c r="H8" i="6" l="1"/>
  <c r="AA8" i="6" s="1"/>
  <c r="D50" i="3" l="1"/>
  <c r="D52" i="3"/>
  <c r="H7" i="6"/>
  <c r="AA7" i="6" s="1"/>
  <c r="V488" i="6" l="1"/>
  <c r="G40" i="5" s="1"/>
  <c r="W488" i="6"/>
  <c r="G41" i="5" s="1"/>
  <c r="G30" i="5"/>
  <c r="G29" i="5" l="1"/>
  <c r="Y488" i="6"/>
  <c r="G32" i="5"/>
  <c r="Y489" i="6" l="1"/>
  <c r="G43" i="5"/>
  <c r="G44" i="5" s="1"/>
  <c r="AA487" i="6"/>
  <c r="G33" i="5"/>
  <c r="G34" i="5"/>
  <c r="Z488" i="6"/>
  <c r="Z489" i="6" l="1"/>
  <c r="G46" i="5"/>
  <c r="U489" i="6"/>
  <c r="G37" i="5"/>
  <c r="AA489" i="6" l="1"/>
  <c r="G48" i="5"/>
  <c r="G50" i="5" s="1"/>
  <c r="C872" i="9" l="1"/>
  <c r="E872" i="9" s="1"/>
  <c r="D63" i="3" l="1"/>
  <c r="D62" i="3"/>
  <c r="D60" i="3"/>
  <c r="D59" i="3"/>
  <c r="D58" i="3"/>
  <c r="D57" i="3"/>
  <c r="D56" i="3"/>
  <c r="D53" i="3"/>
  <c r="D39" i="3"/>
  <c r="D38" i="3"/>
  <c r="D35" i="3"/>
  <c r="D27" i="3"/>
  <c r="D23" i="3" s="1"/>
  <c r="G569" i="9" l="1"/>
  <c r="H345" i="9"/>
  <c r="D49" i="3"/>
  <c r="H5" i="6"/>
  <c r="AA5" i="6" s="1"/>
  <c r="H6" i="6"/>
  <c r="AA6" i="6" s="1"/>
  <c r="D78" i="3" l="1"/>
  <c r="H350" i="9"/>
  <c r="AA488" i="6"/>
  <c r="AB489" i="6" s="1"/>
  <c r="H488" i="6"/>
  <c r="D36" i="3"/>
  <c r="E625" i="9" s="1"/>
  <c r="D20" i="3"/>
  <c r="D33" i="3"/>
  <c r="E613" i="9" s="1"/>
  <c r="D34" i="3"/>
  <c r="D43" i="3"/>
  <c r="D42" i="3" s="1"/>
  <c r="E673" i="9" s="1"/>
  <c r="D32" i="3"/>
  <c r="E601" i="9" l="1"/>
  <c r="D31" i="3"/>
  <c r="C333" i="8"/>
  <c r="E655" i="9" l="1"/>
  <c r="D655" i="9"/>
  <c r="F61" i="9" l="1"/>
  <c r="F65" i="9" s="1"/>
  <c r="J60" i="3" l="1"/>
  <c r="J54" i="3"/>
  <c r="J53" i="3" s="1"/>
  <c r="J58" i="3"/>
  <c r="J47" i="3"/>
  <c r="J51" i="3"/>
  <c r="J48" i="3"/>
  <c r="J46" i="3"/>
  <c r="J50" i="3"/>
  <c r="J59" i="3"/>
  <c r="J45" i="3" l="1"/>
  <c r="J57" i="3"/>
  <c r="D55" i="3" l="1"/>
  <c r="D79" i="7" l="1"/>
  <c r="D18" i="3" l="1"/>
  <c r="L50" i="5" s="1"/>
  <c r="F120" i="9" l="1"/>
  <c r="D46" i="3"/>
  <c r="D80" i="3" s="1"/>
  <c r="J80" i="3" l="1"/>
  <c r="N80" i="3" s="1"/>
</calcChain>
</file>

<file path=xl/sharedStrings.xml><?xml version="1.0" encoding="utf-8"?>
<sst xmlns="http://schemas.openxmlformats.org/spreadsheetml/2006/main" count="8013" uniqueCount="1745">
  <si>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</si>
  <si>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</si>
  <si>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</si>
  <si>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</si>
  <si>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</si>
  <si>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</si>
  <si>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</si>
  <si>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</si>
  <si>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</si>
  <si>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</si>
  <si>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</si>
  <si>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</si>
  <si>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</si>
  <si>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</si>
  <si>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</si>
  <si>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</si>
  <si>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</si>
  <si>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</si>
  <si>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</si>
  <si>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</si>
  <si>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</si>
  <si>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</si>
  <si>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</si>
  <si>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</si>
  <si>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</si>
  <si>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</si>
  <si>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</si>
  <si>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</si>
  <si>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</si>
  <si>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</si>
  <si>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</si>
  <si>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Clasificacion</t>
  </si>
  <si>
    <t>Para los EEFF</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</si>
  <si>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</si>
  <si>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</si>
  <si>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</si>
  <si>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</si>
  <si>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</si>
  <si>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</si>
  <si>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</si>
  <si>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</si>
  <si>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</si>
  <si>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</si>
  <si>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</si>
  <si>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</si>
  <si>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</si>
  <si>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</si>
  <si>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</si>
  <si>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</si>
  <si>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</si>
  <si>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</si>
  <si>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</si>
  <si>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</si>
  <si>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</si>
  <si>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</si>
  <si>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</si>
  <si>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</si>
  <si>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</si>
  <si>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</si>
  <si>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</si>
  <si>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</si>
  <si>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</si>
  <si>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</si>
  <si>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</si>
  <si>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Compra de Propiedad, planta y Equipo</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</si>
  <si>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</si>
  <si>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</si>
  <si>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</si>
  <si>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</si>
  <si>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</si>
  <si>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</si>
  <si>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</si>
  <si>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</si>
  <si>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</si>
  <si>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</si>
  <si>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Descripción</t>
  </si>
  <si>
    <t>Licencias</t>
  </si>
  <si>
    <t>Totales</t>
  </si>
  <si>
    <t>Intereses pagados</t>
  </si>
  <si>
    <t>Impuesto a la Renta</t>
  </si>
  <si>
    <t>Gastos Bancarios</t>
  </si>
  <si>
    <t>Recaudaciones a Depositar</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</si>
  <si>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</si>
  <si>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</si>
  <si>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</si>
  <si>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</si>
  <si>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</si>
  <si>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</si>
  <si>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</si>
  <si>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</si>
  <si>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</si>
  <si>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</si>
  <si>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</si>
  <si>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</si>
  <si>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</si>
  <si>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</si>
  <si>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</si>
  <si>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</si>
  <si>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</si>
  <si>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</si>
  <si>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</si>
  <si>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</si>
  <si>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</si>
  <si>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</si>
  <si>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</si>
  <si>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</si>
  <si>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</si>
  <si>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</si>
  <si>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</si>
  <si>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</si>
  <si>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</si>
  <si>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</si>
  <si>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</si>
  <si>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</si>
  <si>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</si>
  <si>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</si>
  <si>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</si>
  <si>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</si>
  <si>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</si>
  <si>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</si>
  <si>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</si>
  <si>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</si>
  <si>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</si>
  <si>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</si>
  <si>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</si>
  <si>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</si>
  <si>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</si>
  <si>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</si>
  <si>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</si>
  <si>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</si>
  <si>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</si>
  <si>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</si>
  <si>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</si>
  <si>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</si>
  <si>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</si>
  <si>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</si>
  <si>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</si>
  <si>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</si>
  <si>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</si>
  <si>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</si>
  <si>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</si>
  <si>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</si>
  <si>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</si>
  <si>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</si>
  <si>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</si>
  <si>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Adquisición de Acciones y Títulos de Deuda (Cartera Propia)</t>
  </si>
  <si>
    <t>Intereses percibidos</t>
  </si>
  <si>
    <t>Dividendos percibidos</t>
  </si>
  <si>
    <t>Efectivo neto (o usado) en actividades de inversión</t>
  </si>
  <si>
    <t>Aportes de Capital</t>
  </si>
  <si>
    <t>Dividendos Pagados</t>
  </si>
  <si>
    <t>Bancos Moneda Local</t>
  </si>
  <si>
    <t>Bancos Moneda Extranjera</t>
  </si>
  <si>
    <t>INVERSIONES TEMPORALES</t>
  </si>
  <si>
    <t>Instrumentos Financieros Representativos</t>
  </si>
  <si>
    <t>Acciones de Empresas</t>
  </si>
  <si>
    <t>CRÉDITOS</t>
  </si>
  <si>
    <t>OTROS CRÉDITOS</t>
  </si>
  <si>
    <t>Operaciones de Reporto</t>
  </si>
  <si>
    <t>Multas y Sanciones</t>
  </si>
  <si>
    <t>Anticipos al Personal</t>
  </si>
  <si>
    <t>Retencion IVA</t>
  </si>
  <si>
    <t>INVERSIONES PERMANENTES</t>
  </si>
  <si>
    <t>Acciones Represent.de Capital Social</t>
  </si>
  <si>
    <t>Instalaciones</t>
  </si>
  <si>
    <t>Muebles y Enseres</t>
  </si>
  <si>
    <t>Equipo de Cómputo</t>
  </si>
  <si>
    <t>Deprec. Acum. Equipos de Computo</t>
  </si>
  <si>
    <t>Licencias y Franquicias</t>
  </si>
  <si>
    <t>CARGOS DIFERIDOS</t>
  </si>
  <si>
    <t>Gastos de Constitución</t>
  </si>
  <si>
    <t>Amortiz. Acum. Gastos de Constitución</t>
  </si>
  <si>
    <t>Deudas por Intermediación Financiera</t>
  </si>
  <si>
    <t>Proveedores Moneda Local</t>
  </si>
  <si>
    <t>Proveedores Moneda Extranjera</t>
  </si>
  <si>
    <t>OBLIGACIONES FINANCIERAS</t>
  </si>
  <si>
    <t>Aportes y Retenciones a Pagar</t>
  </si>
  <si>
    <t>Gastos de Infraestructura a Pagar</t>
  </si>
  <si>
    <t>Gastos de Telefonía a Pagar</t>
  </si>
  <si>
    <t>Gastos de Marketing a Pagar</t>
  </si>
  <si>
    <t>Auditoria Externa a Pagar</t>
  </si>
  <si>
    <t>Otros Ingresos</t>
  </si>
  <si>
    <t>Otras cuentas por cobrar</t>
  </si>
  <si>
    <t>CAPITAL SOCIAL</t>
  </si>
  <si>
    <t>Capital Integrado</t>
  </si>
  <si>
    <t>Reserva Legal</t>
  </si>
  <si>
    <t>Reserva de Revaluación</t>
  </si>
  <si>
    <t>Otras Reservas</t>
  </si>
  <si>
    <t>Resultados Acumulados</t>
  </si>
  <si>
    <t>Resultado del Ejercicio</t>
  </si>
  <si>
    <t>INGRESOS</t>
  </si>
  <si>
    <t>Ingresos por Intereses de Cartera Propia</t>
  </si>
  <si>
    <t>Ingreso por Custodia de Valores</t>
  </si>
  <si>
    <t>Aranceles BVPASA</t>
  </si>
  <si>
    <t>Otros Servicios</t>
  </si>
  <si>
    <t>Ganancia por Diferencial cambiario</t>
  </si>
  <si>
    <t>Ingresos Extraordinarios</t>
  </si>
  <si>
    <t>EGRESOS Y GASTOS</t>
  </si>
  <si>
    <t>GASTOS  OPERATIVOS</t>
  </si>
  <si>
    <t>Sueldos y Jornales</t>
  </si>
  <si>
    <t>Otras Remuneraciones</t>
  </si>
  <si>
    <t>Aguinaldos</t>
  </si>
  <si>
    <t>Vacaciones</t>
  </si>
  <si>
    <t>Aporte Patronal IPS</t>
  </si>
  <si>
    <t>IVA Gasto</t>
  </si>
  <si>
    <t>Gastos de Teléfono - Linea Movil</t>
  </si>
  <si>
    <t>Marketing</t>
  </si>
  <si>
    <t>Impresos y Formularios</t>
  </si>
  <si>
    <t>Capacitación y Entrenamiento</t>
  </si>
  <si>
    <t>Gastos de Representación</t>
  </si>
  <si>
    <t>Seguros Pagados</t>
  </si>
  <si>
    <t>Gastos de Escribanía</t>
  </si>
  <si>
    <t>Impuestos, Tasas y Patentes</t>
  </si>
  <si>
    <t>Auditoria Externa</t>
  </si>
  <si>
    <t>Mantenimiento y Reparaciones</t>
  </si>
  <si>
    <t>Cuotas y Suscripciones</t>
  </si>
  <si>
    <t>Papelería y Útiles de Oficina</t>
  </si>
  <si>
    <t>Servicio de Asesoría</t>
  </si>
  <si>
    <t>Depreciación de Propiedades y Equipo</t>
  </si>
  <si>
    <t>Gastos Bursátiles SEN</t>
  </si>
  <si>
    <t>Perdida por Venta de Inversiones</t>
  </si>
  <si>
    <t>Intereses y Gastos de Sobregiros</t>
  </si>
  <si>
    <t>Pérdida por Diferencial Cambiario</t>
  </si>
  <si>
    <t>GASTOS FINANCIEROS</t>
  </si>
  <si>
    <t>Gastos No Deducibles</t>
  </si>
  <si>
    <t>Registro de Administración de Cartera</t>
  </si>
  <si>
    <t>Registro de Operaciones de Reporto de Te</t>
  </si>
  <si>
    <t>Responsabilidad por Administración de Ca</t>
  </si>
  <si>
    <t>Control de Operaciones de Reporto de Ter</t>
  </si>
  <si>
    <t>US</t>
  </si>
  <si>
    <t>Regional Casa de Bolsa S.A.</t>
  </si>
  <si>
    <t>Código Cuenta</t>
  </si>
  <si>
    <t>EGRESOS</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</si>
  <si>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</si>
  <si>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</si>
  <si>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</si>
  <si>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</si>
  <si>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</si>
  <si>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</si>
  <si>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</si>
  <si>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</si>
  <si>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</si>
  <si>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</si>
  <si>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</si>
  <si>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</si>
  <si>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</si>
  <si>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</si>
  <si>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</si>
  <si>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</si>
  <si>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</si>
  <si>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</si>
  <si>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</si>
  <si>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</si>
  <si>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</si>
  <si>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</si>
  <si>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</si>
  <si>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</si>
  <si>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</si>
  <si>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</si>
  <si>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</si>
  <si>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</si>
  <si>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Amortización Gastos de Constitución</t>
  </si>
  <si>
    <t xml:space="preserve">a) Comprar y vender valores por cuenta de terceros y por cuenta con recursos propios, en la bolsa o fuera de ella. </t>
  </si>
  <si>
    <t>e) Actuar como representante de los obligacionistas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</si>
  <si>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</si>
  <si>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</si>
  <si>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</si>
  <si>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</si>
  <si>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</si>
  <si>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</si>
  <si>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</si>
  <si>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Balance General - Moneda Local</t>
  </si>
  <si>
    <t>Titulos de Renta Fija - Cuenta Propia</t>
  </si>
  <si>
    <t>Valores y Titulos emitidos por el Sist F</t>
  </si>
  <si>
    <t>Bonos Financieros Gs</t>
  </si>
  <si>
    <t>Valores y Titulos emitidos por Empresas</t>
  </si>
  <si>
    <t>Bonos Corporativos Gs</t>
  </si>
  <si>
    <t>ACTIVOS INTANGIBLES</t>
  </si>
  <si>
    <t>Software</t>
  </si>
  <si>
    <t>Hardware</t>
  </si>
  <si>
    <t>DOCUMENTOS Y CUENTAS POR PAGAR</t>
  </si>
  <si>
    <t>OTRAS CUENTAS POR PAGAR</t>
  </si>
  <si>
    <t>OTRAS PROVISIONES</t>
  </si>
  <si>
    <t>Ingresos por Asesoria Financiera</t>
  </si>
  <si>
    <t>Fondo de Garantía</t>
  </si>
  <si>
    <t>Utilidad en Compra Inversiones Cta Propi</t>
  </si>
  <si>
    <t>INGRESOS FINANCIEROS</t>
  </si>
  <si>
    <t>Intereses Cobrados</t>
  </si>
  <si>
    <t>INGRESOS NO OPERACIONALES</t>
  </si>
  <si>
    <t>GASTOS DE GESTIÓN</t>
  </si>
  <si>
    <t>Gastos por Comisiones y Servicios</t>
  </si>
  <si>
    <t>Fondo de Garantía BVPASA</t>
  </si>
  <si>
    <t>Perdida por Compra de Inversiones</t>
  </si>
  <si>
    <t>Arancel CNV</t>
  </si>
  <si>
    <t>GASTOS DE COMERCIALIZACION</t>
  </si>
  <si>
    <t>Gastos de Movilidad</t>
  </si>
  <si>
    <t>Publicidad y Relaciones Públicas</t>
  </si>
  <si>
    <t>Comisiones Pagadas</t>
  </si>
  <si>
    <t>Remuneraciones</t>
  </si>
  <si>
    <t>Honorarios Contable,Fiscal y Laboral</t>
  </si>
  <si>
    <t>Courier y Encomiendas</t>
  </si>
  <si>
    <t>Gastos de Infraestr.y Manten.</t>
  </si>
  <si>
    <t>Gastos de Asamblea</t>
  </si>
  <si>
    <t>EGRESOS NO OPERATIVOS</t>
  </si>
  <si>
    <t>EGRESOS FISCALES</t>
  </si>
  <si>
    <t>Retencion Renta</t>
  </si>
  <si>
    <t>Valores y Titulos emitidos por el Estado</t>
  </si>
  <si>
    <t>Bonos Subordinados USD</t>
  </si>
  <si>
    <t>Titulos de Renta Variable</t>
  </si>
  <si>
    <t>Acciones Representativas de Capital Soci</t>
  </si>
  <si>
    <t>PROPIEDADES Y EQUIPO</t>
  </si>
  <si>
    <t>CAPITAL ADICIONAL</t>
  </si>
  <si>
    <t>CUENTAS DE ORDEN EN EL ACTIVO</t>
  </si>
  <si>
    <t>CUENTAS DE ORDEN EN EL PASIVO</t>
  </si>
  <si>
    <t>OK</t>
  </si>
  <si>
    <t>Gastos Generales</t>
  </si>
  <si>
    <t xml:space="preserve">Por intermediación de renta fija en rueda  </t>
  </si>
  <si>
    <t>Control</t>
  </si>
  <si>
    <t>CUENTAS</t>
  </si>
  <si>
    <t>BALANCE Y RESULTADOS</t>
  </si>
  <si>
    <t>ELIMINACIONES</t>
  </si>
  <si>
    <t>VARIACIÓN</t>
  </si>
  <si>
    <t>ACTIVIDADES DE OPERACIONES</t>
  </si>
  <si>
    <t>ACTIVIDADES DE INVERSIÓN</t>
  </si>
  <si>
    <t>ACTIVIDADES DE FINANCIAMIENTO</t>
  </si>
  <si>
    <t>DEBITOS</t>
  </si>
  <si>
    <t>DEBITOS (CRÉDITOS)</t>
  </si>
  <si>
    <t>Disponibilidades</t>
  </si>
  <si>
    <t>ESTADO DE FLUJO DE EFECTIVO</t>
  </si>
  <si>
    <t>Pagos No Aplicados IVA</t>
  </si>
  <si>
    <t>Aranceles Pagados por Adelantado</t>
  </si>
  <si>
    <t>Gastos de Desarrollo</t>
  </si>
  <si>
    <t>Spread</t>
  </si>
  <si>
    <t>Capacitación al Personal</t>
  </si>
  <si>
    <t>Gastos de Informatica</t>
  </si>
  <si>
    <t>Contadora</t>
  </si>
  <si>
    <t>Vicepresidente</t>
  </si>
  <si>
    <t>Marcelo Prono</t>
  </si>
  <si>
    <t>Anticipos a Proveedores GS</t>
  </si>
  <si>
    <t>Valores Recibidos en Custodia USD</t>
  </si>
  <si>
    <t>Resp. por Custodia de Valores Gs.</t>
  </si>
  <si>
    <t>Comisiones por Intermediación Bursátil</t>
  </si>
  <si>
    <t>Dieta a Directores</t>
  </si>
  <si>
    <t>NI</t>
  </si>
  <si>
    <t>I</t>
  </si>
  <si>
    <t>***</t>
  </si>
  <si>
    <t>***  I  : Cuenta Imputable</t>
  </si>
  <si>
    <t>***  NI : Cuenta No Imputable</t>
  </si>
  <si>
    <t>Anticipos de Imp. a la Renta</t>
  </si>
  <si>
    <t>Acreedores varios</t>
  </si>
  <si>
    <t>Intereses a Devengar</t>
  </si>
  <si>
    <t>Créditos</t>
  </si>
  <si>
    <t xml:space="preserve">Cuentas por cobrar a Personas y Empresas relacionadas </t>
  </si>
  <si>
    <t xml:space="preserve"> </t>
  </si>
  <si>
    <t>2.1  Naturaleza jurídica de las actividades de la sociedad</t>
  </si>
  <si>
    <t>N/A</t>
  </si>
  <si>
    <t xml:space="preserve">Efecto de las variaciones en tipo de cambio </t>
  </si>
  <si>
    <t>Valores al inicio del ejercicio</t>
  </si>
  <si>
    <t>Altas</t>
  </si>
  <si>
    <t>Bajas</t>
  </si>
  <si>
    <t>Acumuladas al inicio del ejercicio</t>
  </si>
  <si>
    <t>VALORES DE ORIGEN</t>
  </si>
  <si>
    <t>DEPRECIACIONES</t>
  </si>
  <si>
    <t>Accionista</t>
  </si>
  <si>
    <t>Totales:</t>
  </si>
  <si>
    <t>Banco Regional S.A.E.C.A.</t>
  </si>
  <si>
    <t>Inversiones propias sujetas a Reporto Gs</t>
  </si>
  <si>
    <t>Inversiones propias sujetas a Reporto U$</t>
  </si>
  <si>
    <t>Deudas a Terceros por Reporto Gs</t>
  </si>
  <si>
    <t>Deudas a Terceros por Reporto U$S</t>
  </si>
  <si>
    <t>Intereses de Titulos/Valores a Cobrar Gs</t>
  </si>
  <si>
    <t>Intereses de Titulos/Valores a Cobrar U$</t>
  </si>
  <si>
    <t>Deudores por Intermediación Gs</t>
  </si>
  <si>
    <t>Deudores por Intermediacion U$S</t>
  </si>
  <si>
    <t>GASTOS PAGADOS POR ANTICIPADO</t>
  </si>
  <si>
    <t>Gastos a Recuperar</t>
  </si>
  <si>
    <t>Accion de la Bolsa de Valores</t>
  </si>
  <si>
    <t>Amort.Acum. Activos Intagibles</t>
  </si>
  <si>
    <t>Anticipos de Clientes Gs</t>
  </si>
  <si>
    <t>Intereses Titulos/Valores a Devengar Gs</t>
  </si>
  <si>
    <t>Intereses Titulos/Valores a Devengar U$S</t>
  </si>
  <si>
    <t>Primas a Pagar por Reporto Gs.</t>
  </si>
  <si>
    <t>Servicio de Asesoría a Pagar</t>
  </si>
  <si>
    <t>Capacitacion del Personal a Pagar</t>
  </si>
  <si>
    <t>Comisiones Comerciales a Pagar</t>
  </si>
  <si>
    <t>Fondo Proyectos de Innovación a Pagar</t>
  </si>
  <si>
    <t>Alquileres a Pagar</t>
  </si>
  <si>
    <t>Ingreso por Colocacion de Acciones</t>
  </si>
  <si>
    <t>Comisiones por Intermediacion Extrabursa</t>
  </si>
  <si>
    <t>Utilidad por Negociacion Cartera Propia</t>
  </si>
  <si>
    <t>Ingreso por Intereses Op Extrabursatiles</t>
  </si>
  <si>
    <t>Ingreso por Colocación Emisiones Primari</t>
  </si>
  <si>
    <t>Intereses y Rendim. a favor por Reporto</t>
  </si>
  <si>
    <t>Primas Devengados por Reporto</t>
  </si>
  <si>
    <t>Seguro Médico</t>
  </si>
  <si>
    <t>Amortización Activos Intangibles</t>
  </si>
  <si>
    <t>Gastos de Cafetería</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</si>
  <si>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</si>
  <si>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</si>
  <si>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</si>
  <si>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</si>
  <si>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</si>
  <si>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</si>
  <si>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</si>
  <si>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</si>
  <si>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</si>
  <si>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</si>
  <si>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</si>
  <si>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</si>
  <si>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</si>
  <si>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</si>
  <si>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</si>
  <si>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</si>
  <si>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</si>
  <si>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</si>
  <si>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</si>
  <si>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</si>
  <si>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</si>
  <si>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</si>
  <si>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</si>
  <si>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</si>
  <si>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</si>
  <si>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</si>
  <si>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</si>
  <si>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</si>
  <si>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</si>
  <si>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</si>
  <si>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Gastos de constitución</t>
  </si>
  <si>
    <t>5.a) Valuación en moneda extranjera</t>
  </si>
  <si>
    <t>5.b) Posición en moneda extranjera</t>
  </si>
  <si>
    <t>Detalle</t>
  </si>
  <si>
    <t>Clase</t>
  </si>
  <si>
    <t>Monto</t>
  </si>
  <si>
    <t>Certificados de Depósito de Ahorro</t>
  </si>
  <si>
    <t>Deudores por intermediación</t>
  </si>
  <si>
    <t>Préstamos financieros</t>
  </si>
  <si>
    <t>Sobregiros en cuenta corriente</t>
  </si>
  <si>
    <t>Otros pasivos</t>
  </si>
  <si>
    <t>Otros pasivos corrientes</t>
  </si>
  <si>
    <t>5.c) Diferencia de cambio en moneda extranjera</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</si>
  <si>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</si>
  <si>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</si>
  <si>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</si>
  <si>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</si>
  <si>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</si>
  <si>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</si>
  <si>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</si>
  <si>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</si>
  <si>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Continental S.A.E.C.A.</t>
  </si>
  <si>
    <t>Banco GNB Paraguay S.A.</t>
  </si>
  <si>
    <t>5.e.1 - Inversiones temporarias y permanentes</t>
  </si>
  <si>
    <t>Banco Regional S.A.E.C.A</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</si>
  <si>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</si>
  <si>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</si>
  <si>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</si>
  <si>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</si>
  <si>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</si>
  <si>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</si>
  <si>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</si>
  <si>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</si>
  <si>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</si>
  <si>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</si>
  <si>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</si>
  <si>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</si>
  <si>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</si>
  <si>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</si>
  <si>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</si>
  <si>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</si>
  <si>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</si>
  <si>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</si>
  <si>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</si>
  <si>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</si>
  <si>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</si>
  <si>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</si>
  <si>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</si>
  <si>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5.m) Provisiones</t>
  </si>
  <si>
    <t>5.o) Cuentas por pagar a personas y empresas relacionadas</t>
  </si>
  <si>
    <t>Sobregiro en cuenta Corriente</t>
  </si>
  <si>
    <t>1 día</t>
  </si>
  <si>
    <t xml:space="preserve">5.p) Obligaciones por contrato de underwriting </t>
  </si>
  <si>
    <t>5.q) Otros pasivos corrientes y no corrientes</t>
  </si>
  <si>
    <t>Regional AFPISA</t>
  </si>
  <si>
    <t>Capital integrado</t>
  </si>
  <si>
    <t>No aplicable. Los presentes estados financieros no incluyen previsiones.</t>
  </si>
  <si>
    <t>Otros gastos de administración</t>
  </si>
  <si>
    <t>Otros ingresos</t>
  </si>
  <si>
    <t>Otros egresos</t>
  </si>
  <si>
    <t>Intereses pagados por sobregiros</t>
  </si>
  <si>
    <t>Resultados financieros netos</t>
  </si>
  <si>
    <t>Ingresos varios</t>
  </si>
  <si>
    <t>6.a) Compromisos directos</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</si>
  <si>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</si>
  <si>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</si>
  <si>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</si>
  <si>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</si>
  <si>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</si>
  <si>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</si>
  <si>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Pagina Web</t>
  </si>
  <si>
    <t>Depósito de Clientes p/Negociaciones Gs</t>
  </si>
  <si>
    <t>Utilidad en Compraventa de Acciones</t>
  </si>
  <si>
    <t>Gastos de Salubridad - COVID 19</t>
  </si>
  <si>
    <t xml:space="preserve">Banco Atlas S.A. </t>
  </si>
  <si>
    <t>Bonos Bursátiles Corto Plazo Gs.</t>
  </si>
  <si>
    <t>Acciones Regional AFPISA</t>
  </si>
  <si>
    <t>Operaciones a Liquidar Gs</t>
  </si>
  <si>
    <t>Anticipo de Clientes U$S</t>
  </si>
  <si>
    <t>Sobregiros Bancarios U$S</t>
  </si>
  <si>
    <t>Aportes para Futuras Capitalizaciones</t>
  </si>
  <si>
    <t>Reservas Especiales</t>
  </si>
  <si>
    <t>Otros Gastos de Personal</t>
  </si>
  <si>
    <t>Tarjetas de Gourmet - Empleados</t>
  </si>
  <si>
    <t>INFORMACIÓN GENERAL DE LA ENTIDAD</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</si>
  <si>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</si>
  <si>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</si>
  <si>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</si>
  <si>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</si>
  <si>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</si>
  <si>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</si>
  <si>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</si>
  <si>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</si>
  <si>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</si>
  <si>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</si>
  <si>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</si>
  <si>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</si>
  <si>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</si>
  <si>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</si>
  <si>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</si>
  <si>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</si>
  <si>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</si>
  <si>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</si>
  <si>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</si>
  <si>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</si>
  <si>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</si>
  <si>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</si>
  <si>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</si>
  <si>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</si>
  <si>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</si>
  <si>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</si>
  <si>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</si>
  <si>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</si>
  <si>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</si>
  <si>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</si>
  <si>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</si>
  <si>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</si>
  <si>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</si>
  <si>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</si>
  <si>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</si>
  <si>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</si>
  <si>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</si>
  <si>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</si>
  <si>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</si>
  <si>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</si>
  <si>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</si>
  <si>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</si>
  <si>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</si>
  <si>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</si>
  <si>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</si>
  <si>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</si>
  <si>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</si>
  <si>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</si>
  <si>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</si>
  <si>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</si>
  <si>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</si>
  <si>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</si>
  <si>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</si>
  <si>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</si>
  <si>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</si>
  <si>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t>6. PERSONAS VINCULADAS</t>
  </si>
  <si>
    <t>PERSONAS VINCULADAS</t>
  </si>
  <si>
    <t>Tipo de vínculo</t>
  </si>
  <si>
    <t>Director</t>
  </si>
  <si>
    <t>Sociedad controlante (*)</t>
  </si>
  <si>
    <t>Clara Francisca Peroni Peña</t>
  </si>
  <si>
    <t>Aumento de Capital</t>
  </si>
  <si>
    <t>Bonos Financieros</t>
  </si>
  <si>
    <t xml:space="preserve">Banco Nacional de Fomento </t>
  </si>
  <si>
    <t>BANCO REGIONAL S.A.E.C.A</t>
  </si>
  <si>
    <t>Valores Recibidos en Custodia Gs.</t>
  </si>
  <si>
    <t>Resp. por Custodia de Valores USD</t>
  </si>
  <si>
    <t>Fondo de Garantía a Pagar Gs</t>
  </si>
  <si>
    <t>Capital Suscripto</t>
  </si>
  <si>
    <t>www.regionalcasadebolsa.com.py</t>
  </si>
  <si>
    <t>Revaluación de Acciones</t>
  </si>
  <si>
    <t>(-) Capital a Integrar / Accionistas</t>
  </si>
  <si>
    <t>Revaluacion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</si>
  <si>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</si>
  <si>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</si>
  <si>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</si>
  <si>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</si>
  <si>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</si>
  <si>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</si>
  <si>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</si>
  <si>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</si>
  <si>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Shirley Vichini</t>
  </si>
  <si>
    <t>ESTADO DE VARIACIÓN DEL PATRIMONIO NETO</t>
  </si>
  <si>
    <t>Nombre</t>
  </si>
  <si>
    <t>Monto de Participación</t>
  </si>
  <si>
    <t>% Participación en Capital de la Otra Empresa</t>
  </si>
  <si>
    <t>% Participación en el Capital Propio</t>
  </si>
  <si>
    <t>Factor de Vinculación</t>
  </si>
  <si>
    <t>Controlante</t>
  </si>
  <si>
    <t>Regional Administradora de Fondos Patrimoniales de Inversión S.A.</t>
  </si>
  <si>
    <t>Además, cuenta con participación en la siguiente entidad:</t>
  </si>
  <si>
    <t>Las mejoras o adiciones son capitalizadas, mientras que los gastos de mantenimiento y/o reparaciones que no aumentan el valor de los bienes ni su vida útil, son imputados como gastos en el período en que se originan.</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</si>
  <si>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</si>
  <si>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</si>
  <si>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</si>
  <si>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</si>
  <si>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</si>
  <si>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</si>
  <si>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Participación en Resultados</t>
  </si>
  <si>
    <t>Participación en Resultados Otras Empres</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</si>
  <si>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</si>
  <si>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</si>
  <si>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</si>
  <si>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</si>
  <si>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</si>
  <si>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</si>
  <si>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t>Del   01/01/2020   al   31/12/2020</t>
  </si>
  <si>
    <t>Bonos del Tesoro Gs</t>
  </si>
  <si>
    <t>Dividendos a Cobrar</t>
  </si>
  <si>
    <t>Dividendos a Devengar</t>
  </si>
  <si>
    <t>Valores Recibidos por Reporto Gs</t>
  </si>
  <si>
    <t>Operaciones a Liquidar</t>
  </si>
  <si>
    <t>Cauciones</t>
  </si>
  <si>
    <t>Intereses a Transferir Comitentes Gs</t>
  </si>
  <si>
    <t>Seguro Medico a Pagar</t>
  </si>
  <si>
    <t>Retribuciones Especiales a Pagar</t>
  </si>
  <si>
    <t>Fondo de Garantia a Pagar U$S</t>
  </si>
  <si>
    <t>Ingreso por Dividendos Cartera Propia</t>
  </si>
  <si>
    <t>Perdida por Compraventa de Acciones</t>
  </si>
  <si>
    <t>Retribuciones Especiales</t>
  </si>
  <si>
    <t>Servicios Prestados</t>
  </si>
  <si>
    <t>Obsequios y Agasajos</t>
  </si>
  <si>
    <t>Mantenimiento de Software</t>
  </si>
  <si>
    <t>Intereses a cobrar por inversiones temporarias</t>
  </si>
  <si>
    <t>Deudas con terceros por operaciones de reporto</t>
  </si>
  <si>
    <t>BANCO ITAÚ PARAGUAY S.A.</t>
  </si>
  <si>
    <t>Títulos de Renta Variable ANC</t>
  </si>
  <si>
    <t xml:space="preserve">Inversiones </t>
  </si>
  <si>
    <t xml:space="preserve">Acciones </t>
  </si>
  <si>
    <t>Participacion en Resultados</t>
  </si>
  <si>
    <t xml:space="preserve">Osmar Manuel Caceres Cantero </t>
  </si>
  <si>
    <t>Auditor Interno</t>
  </si>
  <si>
    <t xml:space="preserve">Presidente </t>
  </si>
  <si>
    <t>Gratificación Ley 285/93 a Pagar</t>
  </si>
  <si>
    <t>Asignación del resultado acumulado</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</si>
  <si>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</si>
  <si>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5.j) Préstamos financieros</t>
  </si>
  <si>
    <t>Porción circulante de préstamos a largo plazo</t>
  </si>
  <si>
    <t>5.k) Acreedores por intermediación</t>
  </si>
  <si>
    <t>5.l ) Acreedores varios</t>
  </si>
  <si>
    <t>Disponibles</t>
  </si>
  <si>
    <t>Sobregiros bancarios</t>
  </si>
  <si>
    <t>NOTA 7. LIMITACIÓN A LA LIBRE DISPONIBILIDAD DE LOS ACTIVOS O DEL PATRIMONIO Y CUALQUIER RESTRICCIÓN AL DERECHO DE PROPIEDAD</t>
  </si>
  <si>
    <t>NOTA 8. CAMBIO CONTABLES</t>
  </si>
  <si>
    <t>NOTA 9. RESTRICCIONES PARA DISTRIBUCIÓN DE UTILIDADES</t>
  </si>
  <si>
    <t>NOTA 10. SANCIONES</t>
  </si>
  <si>
    <t>NOTA 11: OTROS ASUNTOS RELEVANTES</t>
  </si>
  <si>
    <t>NOTA 12. HECHOS POSTERIORES AL CIERRE DEL EJERCICIO</t>
  </si>
  <si>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</si>
  <si>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</si>
  <si>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</si>
  <si>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</si>
  <si>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</si>
  <si>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</si>
  <si>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Las 12 notas que se acompañan forman parte integrante de los Estados Contables</t>
  </si>
  <si>
    <t>Muebles</t>
  </si>
  <si>
    <t>Equipos</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</si>
  <si>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</si>
  <si>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</si>
  <si>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</si>
  <si>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</si>
  <si>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</si>
  <si>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</si>
  <si>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</si>
  <si>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t>La posición de activos y pasivos en moneda extranjera al cierre del periodo es la siguiente:</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</si>
  <si>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</si>
  <si>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</si>
  <si>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</si>
  <si>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</si>
  <si>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</si>
  <si>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</si>
  <si>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</si>
  <si>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</si>
  <si>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</si>
  <si>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</si>
  <si>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</si>
  <si>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</si>
  <si>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</si>
  <si>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</si>
  <si>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</si>
  <si>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5.f.2</t>
  </si>
  <si>
    <t>Nota 5.f.4</t>
  </si>
  <si>
    <t>Derechos sobre títulos por contratos de underwriting</t>
  </si>
  <si>
    <t>Nota 5.f.5</t>
  </si>
  <si>
    <t>Equipos de informática</t>
  </si>
  <si>
    <t>Saldo inicial</t>
  </si>
  <si>
    <t>Aumentos</t>
  </si>
  <si>
    <t>Amortizaciones</t>
  </si>
  <si>
    <t>Saldo neto final</t>
  </si>
  <si>
    <t xml:space="preserve">Activo Intagibles y Cargos Diferidos </t>
  </si>
  <si>
    <t>Nota 5.h</t>
  </si>
  <si>
    <t>Los otros activos corrientes se componen como sigue:</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</si>
  <si>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</si>
  <si>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</si>
  <si>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</si>
  <si>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</si>
  <si>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</si>
  <si>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</si>
  <si>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</si>
  <si>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</si>
  <si>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</si>
  <si>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</si>
  <si>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</si>
  <si>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</si>
  <si>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5.q</t>
  </si>
  <si>
    <t>Los saldos con empresas y personas relacionadas se componen como sigue:</t>
  </si>
  <si>
    <t>Saldos</t>
  </si>
  <si>
    <t>Nota 5.w</t>
  </si>
  <si>
    <t>Nota 5.x</t>
  </si>
  <si>
    <t>Nota 5.y</t>
  </si>
  <si>
    <t>Efectivo y su equivalente al cierre del ejercicio</t>
  </si>
  <si>
    <t>Otros Activos Corrientes</t>
  </si>
  <si>
    <t>Inversiones Permanentes</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</si>
  <si>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</si>
  <si>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</si>
  <si>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</si>
  <si>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</si>
  <si>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</si>
  <si>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</si>
  <si>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</si>
  <si>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</si>
  <si>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</si>
  <si>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</si>
  <si>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</si>
  <si>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Nota 5.s</t>
  </si>
  <si>
    <t>Comisiones Pagadas Comerciales</t>
  </si>
  <si>
    <t>Balance General - Bimonetario</t>
  </si>
  <si>
    <t>Guaranies</t>
  </si>
  <si>
    <t>Dolares</t>
  </si>
  <si>
    <t>Bancos - Moneda Local</t>
  </si>
  <si>
    <t>Banco Regional C. A. N° 8070726</t>
  </si>
  <si>
    <t>Banco ITAU Cta Cte N°40000054/1</t>
  </si>
  <si>
    <t>Banco ITAU Cta Cte N°40000054/3</t>
  </si>
  <si>
    <t>Banco Atlas Cta Cte N°1150897</t>
  </si>
  <si>
    <t>Banco Atlas Caja de Ahorro N°1150895</t>
  </si>
  <si>
    <t>Banco Río Caja de Ahorro N°01-00391570-0</t>
  </si>
  <si>
    <t>BANCOP Ahorro a la Vista N°0310068606</t>
  </si>
  <si>
    <t>Banco GNB Caja de Ahorro N°12798011</t>
  </si>
  <si>
    <t>Banco Continental Caja de Ahorro N°01-00</t>
  </si>
  <si>
    <t>Banco Nacional de Fomento N°821857/4</t>
  </si>
  <si>
    <t>Bancos - Moneda Extranjera</t>
  </si>
  <si>
    <t>Banco Regional C. A. N° 8070727</t>
  </si>
  <si>
    <t>Banco ITAU Cta.Cte. N° 400000060</t>
  </si>
  <si>
    <t>Banco ITAU Cta.Cte. N° 400000061</t>
  </si>
  <si>
    <t>Bancop Ahorro a la Vista U$S N° 03100686</t>
  </si>
  <si>
    <t>Finexpar Caja de Ahorro U$S N° 101550026</t>
  </si>
  <si>
    <t>Banco GNB Caja de Ahorro U$S N° 12798011</t>
  </si>
  <si>
    <t>Banco Río Caja de Ahorro Nro. 8270013240</t>
  </si>
  <si>
    <t>Banco Atlas Cta Cte N° 1150898</t>
  </si>
  <si>
    <t>Financiera El Comercio Caja de Ahorro N°</t>
  </si>
  <si>
    <t>Solar C.A. N° 0187071</t>
  </si>
  <si>
    <t>Banco GNB CC Usd N° 2101050099</t>
  </si>
  <si>
    <t>Banco Nacional de Fomento CC USD</t>
  </si>
  <si>
    <t>Titulos de Renta Fija</t>
  </si>
  <si>
    <t>Titulos de Renta Fija - Local</t>
  </si>
  <si>
    <t>Emitidos por el Estado y Entidades Públi</t>
  </si>
  <si>
    <t>Bonos Públicos</t>
  </si>
  <si>
    <t>Bonos Públicos GS</t>
  </si>
  <si>
    <t>Emitidos por el Sector Financiero</t>
  </si>
  <si>
    <t>Bonos Financieros - GS</t>
  </si>
  <si>
    <t>CDA - GS</t>
  </si>
  <si>
    <t>CDA - U$S</t>
  </si>
  <si>
    <t>Emitidos por Entidades del Sector Privad</t>
  </si>
  <si>
    <t>Bonos Corporativos</t>
  </si>
  <si>
    <t>Bonos Corporativos - GS</t>
  </si>
  <si>
    <t>BBCP</t>
  </si>
  <si>
    <t>BBCP - GS</t>
  </si>
  <si>
    <t>Emitidos por Empresas Vinculadas</t>
  </si>
  <si>
    <t>CDA - GS VINCULADAS</t>
  </si>
  <si>
    <t>Intereses Devengados s/ Renta Fija</t>
  </si>
  <si>
    <t>Intereses a Cobrar s/ Renta Fija</t>
  </si>
  <si>
    <t>Int. a Cobrar - Bonos Financieros - Gs</t>
  </si>
  <si>
    <t>Int. a Cobrar - CDA - Gs</t>
  </si>
  <si>
    <t>Int. a Cobrar - CDA - U$S</t>
  </si>
  <si>
    <t>Int. a Cobrar - Bonos Corporativos - Gs</t>
  </si>
  <si>
    <t>Int. a Cobrar - BBCP - Gs</t>
  </si>
  <si>
    <t>Int. a Cobrar - CDA - Gs VINCULADAS</t>
  </si>
  <si>
    <t>Int. a Cobrar - CDA - U$S VINCULADAS</t>
  </si>
  <si>
    <t>Int. a Cobrar - Bonos Públicos Gs</t>
  </si>
  <si>
    <t>(Intereses a Devengar)</t>
  </si>
  <si>
    <t>Int. a Deveng. Bonos Fin. - Gs</t>
  </si>
  <si>
    <t>Int. a Deveng. CDA - Gs</t>
  </si>
  <si>
    <t>Int. a Deveng. CDA - U$S</t>
  </si>
  <si>
    <t>Int. a Deveng. Bonos Corp. - Gs</t>
  </si>
  <si>
    <t>Int. a Deveng. BBCP - Gs</t>
  </si>
  <si>
    <t>Int. a Deveng. CDA - Gs VINC.</t>
  </si>
  <si>
    <t>Int. a Deveng. CDA - U$S VINC.</t>
  </si>
  <si>
    <t>Int. a Deveng. Bonos Públicos Gs</t>
  </si>
  <si>
    <t>Valores entregados por Reporto</t>
  </si>
  <si>
    <t>Deudores por títulos Renta Fija en Repor</t>
  </si>
  <si>
    <t>Deudores Títulos Renta Fija en Repo Gs</t>
  </si>
  <si>
    <t>Deudores Titulos Renta Fija en Repo U$S</t>
  </si>
  <si>
    <t>CREDITOS VIGENTES</t>
  </si>
  <si>
    <t>Comisiones por cobrar por intermediación</t>
  </si>
  <si>
    <t>Comisiones por cobrar Gs</t>
  </si>
  <si>
    <t>Comisiones por cobrar U$S</t>
  </si>
  <si>
    <t>Documentos y cuentas por cobrar</t>
  </si>
  <si>
    <t>Cuentas por Cobrar</t>
  </si>
  <si>
    <t>Servicios Prestados por cobrar - U$S</t>
  </si>
  <si>
    <t>Otras cuentas por cobrar - Gs</t>
  </si>
  <si>
    <t>Otras cuentas por cobrar - U$S</t>
  </si>
  <si>
    <t>Deudores varios Vigentes</t>
  </si>
  <si>
    <t>Cuentas a cobrar personas y empresas rel</t>
  </si>
  <si>
    <t>Gtos a recuperar personas y empresas rel</t>
  </si>
  <si>
    <t>Impuestos Nacionales</t>
  </si>
  <si>
    <t>Anticipo Impuesto a la Renta</t>
  </si>
  <si>
    <t>Retención RENTA</t>
  </si>
  <si>
    <t>Otras cuentas operativas por cobrar</t>
  </si>
  <si>
    <t>Anticipos a Rendir</t>
  </si>
  <si>
    <t>Anticipos a rendir - Varios Gs.</t>
  </si>
  <si>
    <t>Aranceles CNV</t>
  </si>
  <si>
    <t>Gastos de Mantenimiento Anual Surecomp</t>
  </si>
  <si>
    <t>Seguros Pagados por Adelantado</t>
  </si>
  <si>
    <t>Títulos de Renta Variable</t>
  </si>
  <si>
    <t>Títulos Valores de Renta Variable - Loca</t>
  </si>
  <si>
    <t>ACCION DE LA BOLSA DE VALORES</t>
  </si>
  <si>
    <t>Acción - REGIONAL Casa de Bolsa</t>
  </si>
  <si>
    <t>BIENES DE USO</t>
  </si>
  <si>
    <t>Bienes de Uso Propios</t>
  </si>
  <si>
    <t>Equipos de Oficina</t>
  </si>
  <si>
    <t>Equipos de Computación</t>
  </si>
  <si>
    <t>(-) Depreciación acumulada</t>
  </si>
  <si>
    <t>Deprec. Acumulada Equipos de Oficina</t>
  </si>
  <si>
    <t>Deprec. Acumulada Equipos de Computación</t>
  </si>
  <si>
    <t>ACTIVOS INTANGIBLES Y CARGOS DIFERIDOS</t>
  </si>
  <si>
    <t>Liciencia - U$S</t>
  </si>
  <si>
    <t>Prográmas Informáticos</t>
  </si>
  <si>
    <t>Gastos de Constitución - AFPISA</t>
  </si>
  <si>
    <t>(-) Amortización acumulada</t>
  </si>
  <si>
    <t>Programas Informáticos</t>
  </si>
  <si>
    <t>DEUDAS VIGENTES</t>
  </si>
  <si>
    <t>Acreedores por intermediación</t>
  </si>
  <si>
    <t>Operaciones a Liquidar - U$S</t>
  </si>
  <si>
    <t>Anticipo de Clientes</t>
  </si>
  <si>
    <t>Anticipo de Clientes Gs</t>
  </si>
  <si>
    <t>Proveedores de Bienes y/o Servicios</t>
  </si>
  <si>
    <t>Proveedores de Bienes y/o Servicios Gs.</t>
  </si>
  <si>
    <t>Proveedores de Bienes y/o Servicios U$S</t>
  </si>
  <si>
    <t>OBLIGACIONES FINANCIERAS A CORTO PLAZO</t>
  </si>
  <si>
    <t>Bancos M/L</t>
  </si>
  <si>
    <t>Banco Regional Cta Cte GS</t>
  </si>
  <si>
    <t>Bancos M/E</t>
  </si>
  <si>
    <t>Banco Regional Cta Cte N° 8070731</t>
  </si>
  <si>
    <t>Operaciones de Reverse Reporto</t>
  </si>
  <si>
    <t>Prima a Pagar - REPO</t>
  </si>
  <si>
    <t>Prima a pagar - REPO Gs</t>
  </si>
  <si>
    <t>Acreedores por títulos de renta fija en</t>
  </si>
  <si>
    <t>Acreedores Titulos Renta Fija en Repo Gs</t>
  </si>
  <si>
    <t>Acreedores Titulos Renta Fija en Repo U$</t>
  </si>
  <si>
    <t>Sueldos y Cargas Sociales</t>
  </si>
  <si>
    <t>Aguinaldos por Pagar</t>
  </si>
  <si>
    <t>Obligaciones Fiscales</t>
  </si>
  <si>
    <t>Impuesto al Valor Agregado</t>
  </si>
  <si>
    <t>IVA Debito Fiscal a Pagar</t>
  </si>
  <si>
    <t>Retención IVA a Pagar</t>
  </si>
  <si>
    <t>Retención RENTA a Pagar</t>
  </si>
  <si>
    <t>Otras Provisiones</t>
  </si>
  <si>
    <t>Gastos de Viajes a Pagar</t>
  </si>
  <si>
    <t>Comisiones Cobradas</t>
  </si>
  <si>
    <t>Por intermediación de acciones</t>
  </si>
  <si>
    <t>Por intermediación de acciones Gs</t>
  </si>
  <si>
    <t>Por intermediación de renta fija</t>
  </si>
  <si>
    <t>Por intermediación de renta fija Gs</t>
  </si>
  <si>
    <t>Por intermediación de renta fija U$S</t>
  </si>
  <si>
    <t>Comisiones por operaciones fuera de rued</t>
  </si>
  <si>
    <t>Comisiones por contratos de colocación p</t>
  </si>
  <si>
    <t>Por contratos de de colocación primaria</t>
  </si>
  <si>
    <t>Ingresos por servicios prestados</t>
  </si>
  <si>
    <t>Asesoría Financiera</t>
  </si>
  <si>
    <t>Asesoría Financiera - U$S</t>
  </si>
  <si>
    <t>Ingresos y rentas de cartera propia</t>
  </si>
  <si>
    <t>Intereses y dividendos de cartera propia</t>
  </si>
  <si>
    <t>Bonos Financieros - Gs</t>
  </si>
  <si>
    <t>Bonos Subordinados - Gs</t>
  </si>
  <si>
    <t>Bonos Subordinados - U$S</t>
  </si>
  <si>
    <t>CDA - Gs</t>
  </si>
  <si>
    <t>Bonos Corporativos - Gs</t>
  </si>
  <si>
    <t>Bonos Corporativos - U$S</t>
  </si>
  <si>
    <t>BBCP - Gs</t>
  </si>
  <si>
    <t>Bonos Financieros - U$S VINCULADAS</t>
  </si>
  <si>
    <t>Bonos Subordinados - U$S VINCULADAS</t>
  </si>
  <si>
    <t>CDA - Gs VINCULADAS</t>
  </si>
  <si>
    <t>CDA - U$S VINCULADAS</t>
  </si>
  <si>
    <t>Bonos Públicos Gs</t>
  </si>
  <si>
    <t>Dividendos por participaciones accionari</t>
  </si>
  <si>
    <t>Por diferencia de valor de títulos valor</t>
  </si>
  <si>
    <t>Utilidad en compraventa de titulos valor</t>
  </si>
  <si>
    <t>Bonos Financieros - U$S</t>
  </si>
  <si>
    <t>Resultado Bonos Sub. - U$S</t>
  </si>
  <si>
    <t>Bonos Financieros - Gs VINCULADAS</t>
  </si>
  <si>
    <t>BBCP - Gs VINCULADAS</t>
  </si>
  <si>
    <t>Acciones - Gs.</t>
  </si>
  <si>
    <t>Bonos Publicos - Gs Vinculadas</t>
  </si>
  <si>
    <t>OTROS INGRESOS OPERATIVOS</t>
  </si>
  <si>
    <t>Aranceles - BVPASA</t>
  </si>
  <si>
    <t>Aranceles - BVPASA Gs</t>
  </si>
  <si>
    <t>Aranceles - BVPASA U$S</t>
  </si>
  <si>
    <t>Fondo de Garantía - Gs</t>
  </si>
  <si>
    <t>Fondo de Garantía - U$S</t>
  </si>
  <si>
    <t>Otros Ingresos Operativos - GS</t>
  </si>
  <si>
    <t>Ganancia por Diferencia de Cambio</t>
  </si>
  <si>
    <t>Diferencia de cambio cuentas activas</t>
  </si>
  <si>
    <t>Diferencia de cambio cuentas pasivas</t>
  </si>
  <si>
    <t>OTROS INGRESOS NO OPERATIVOS</t>
  </si>
  <si>
    <t>Ingresos por ajustes y redondeos</t>
  </si>
  <si>
    <t>EGRESOS OPERATIVOS</t>
  </si>
  <si>
    <t>GASTOS DE OPERACIÓN</t>
  </si>
  <si>
    <t>Comisiones por colocaciones bursátiles</t>
  </si>
  <si>
    <t>Comisiones por colocaciones bursátiles -</t>
  </si>
  <si>
    <t>Aranceles por negociación Bolsa de Valor</t>
  </si>
  <si>
    <t>Aranceles pagados - BVPASA</t>
  </si>
  <si>
    <t>Aranceles pagados - BVPASA U$S</t>
  </si>
  <si>
    <t>Perdida por compraventa de titulos valor</t>
  </si>
  <si>
    <t>Canon Anual - Seprelad</t>
  </si>
  <si>
    <t>Gastos de pubicidad y marketing</t>
  </si>
  <si>
    <t>Gastos de Viaje</t>
  </si>
  <si>
    <t>Cargas Sociales</t>
  </si>
  <si>
    <t>Aporte Patronal IPS 16,5%</t>
  </si>
  <si>
    <t>Gratificaciones por desempeño</t>
  </si>
  <si>
    <t>Seguros Privados al Personal</t>
  </si>
  <si>
    <t>Sindicos</t>
  </si>
  <si>
    <t>Honorarios de Escribanía</t>
  </si>
  <si>
    <t>Otros Honorarios Profesionales</t>
  </si>
  <si>
    <t>Alquiler de Bienes Inmuebles</t>
  </si>
  <si>
    <t>Previsiones, Depreciaciones y Amortizaci</t>
  </si>
  <si>
    <t>Depreciación de Propiedades y Equipos</t>
  </si>
  <si>
    <t>Depreciacion Equipos de Oficina</t>
  </si>
  <si>
    <t>Depreciacion Equipos de Computación</t>
  </si>
  <si>
    <t>Amortización Activos Intangibles y Cargo</t>
  </si>
  <si>
    <t>Amortización de Gastos de Constitucion</t>
  </si>
  <si>
    <t>Amortización de Programas Informáticos</t>
  </si>
  <si>
    <t>Amortización Licencias</t>
  </si>
  <si>
    <t>Amortización Marcas</t>
  </si>
  <si>
    <t>Equipos de Computación y Sistemas</t>
  </si>
  <si>
    <t>Seguros pagados</t>
  </si>
  <si>
    <t>Patentes y Tasas Municipales</t>
  </si>
  <si>
    <t>Tasas y Contribuciones</t>
  </si>
  <si>
    <t>Comunicaciones</t>
  </si>
  <si>
    <t>Papelería,Útiles e Impresos</t>
  </si>
  <si>
    <t>Demostraciones y Agasajos</t>
  </si>
  <si>
    <t>Gastos de refrigerios</t>
  </si>
  <si>
    <t>Fondo Proyectos de Innovacion</t>
  </si>
  <si>
    <t>EGRESOS FINANCIEROS</t>
  </si>
  <si>
    <t>Intereses y Gastos de sobregiros - Perso</t>
  </si>
  <si>
    <t>Gastos Bancarios - Personas y Empresas R</t>
  </si>
  <si>
    <t>Pérdida por Diferencia de Cambio</t>
  </si>
  <si>
    <t>Retención Renta</t>
  </si>
  <si>
    <t>Gastos no Deducibles</t>
  </si>
  <si>
    <t>Gastos no Deducibles - Gs</t>
  </si>
  <si>
    <t>IVA Costo</t>
  </si>
  <si>
    <t>Egresos por ajustes y redondeos</t>
  </si>
  <si>
    <t>Fondo Fijo</t>
  </si>
  <si>
    <t>Guaraníes</t>
  </si>
  <si>
    <t>Dólares</t>
  </si>
  <si>
    <t>Código nuevo</t>
  </si>
  <si>
    <t>Plan de Cuentas</t>
  </si>
  <si>
    <t>BG AL 31/12/2020</t>
  </si>
  <si>
    <t>Banco Regional Cta Cte N°8070729</t>
  </si>
  <si>
    <t>Finexpar Caja de Ahorro N°155007484</t>
  </si>
  <si>
    <t>Int. a Cobrar - Bonos Subord. - U$S</t>
  </si>
  <si>
    <t>Int. a Deveng. Bonos Sub - U$S</t>
  </si>
  <si>
    <t>Creditos</t>
  </si>
  <si>
    <t xml:space="preserve">Por intermediación de acciones en rueda </t>
  </si>
  <si>
    <t>Estado de Resultados</t>
  </si>
  <si>
    <t>Inversiones en Reporto</t>
  </si>
  <si>
    <t>Compra de propiedad, planta y equipo</t>
  </si>
  <si>
    <t>Código</t>
  </si>
  <si>
    <t>Aranceles pagados - BVPASA Gs</t>
  </si>
  <si>
    <t>Caja</t>
  </si>
  <si>
    <t>Recaudaciones a Depositar GS</t>
  </si>
  <si>
    <t>Recaudaciones a Depositar U$S</t>
  </si>
  <si>
    <t>Visión Banco Caja de Ahorro N°13352758</t>
  </si>
  <si>
    <t>Citibank Ahorro a la Vista N°5198764002</t>
  </si>
  <si>
    <t>Banco Familiar Caja de Ahorro N°00-0231</t>
  </si>
  <si>
    <t>Banco Interfisa C.A. N°1027186</t>
  </si>
  <si>
    <t>FIC de Finanzas Caja de Ahorro N°0131001</t>
  </si>
  <si>
    <t>Financiera Solar Cta Cte N°185554</t>
  </si>
  <si>
    <t>Banco Regional Cta. Cte. N° 8070731</t>
  </si>
  <si>
    <t>Visión Banco Caja de Ahorro N° 13352739</t>
  </si>
  <si>
    <t>Citibank Ahorro a la Vista U$S N° 519876</t>
  </si>
  <si>
    <t>Banco Continental Caja de Ahorro U$S N°</t>
  </si>
  <si>
    <t>Banco BBVA Cta Cte N° 2101050099</t>
  </si>
  <si>
    <t>FIC S.A. de Finanzas C.C. 0131001281</t>
  </si>
  <si>
    <t>Banco Interfisa C.A. N° 10271866</t>
  </si>
  <si>
    <t>Certificados Bancarios y Otros Similares</t>
  </si>
  <si>
    <t>Depósitos en Instituciones Financieras</t>
  </si>
  <si>
    <t>Fondos para Propósitos Especiales</t>
  </si>
  <si>
    <t>Disponible Sujeto a Restricción</t>
  </si>
  <si>
    <t>Bonos Públicos U$S</t>
  </si>
  <si>
    <t>Bonos Subordinados</t>
  </si>
  <si>
    <t>Bonos Subordinados - GS</t>
  </si>
  <si>
    <t>BBCP - U$S</t>
  </si>
  <si>
    <t>Títulos de Crédito</t>
  </si>
  <si>
    <t>Títulos de Crédito - GS</t>
  </si>
  <si>
    <t>Títulos de Crédito - U$S</t>
  </si>
  <si>
    <t>Bonos Financieros - GS VINCULADAS</t>
  </si>
  <si>
    <t>Bonos Subordinados - GS VINCULADAS</t>
  </si>
  <si>
    <t>Otras Inversiones</t>
  </si>
  <si>
    <t>Depósitos Restringidos</t>
  </si>
  <si>
    <t>Depósitos Restringidos - GS</t>
  </si>
  <si>
    <t>Depósitos Restringidos - U$S</t>
  </si>
  <si>
    <t>Inversiones Especiales</t>
  </si>
  <si>
    <t>Inversiones Especiales - GS</t>
  </si>
  <si>
    <t>Inversiones Especiales - U$S</t>
  </si>
  <si>
    <t>Int. a Cobrar - Bonos Financieros - U$S</t>
  </si>
  <si>
    <t>Int. a Cobrar - Bonos Subord. - Gs</t>
  </si>
  <si>
    <t>Int. a Cobrar - Bonos Corporativos - U$S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</si>
  <si>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</si>
  <si>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</si>
  <si>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</si>
  <si>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</si>
  <si>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</si>
  <si>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</si>
  <si>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BBCP - Gs VINCULADAS</t>
  </si>
  <si>
    <t>Int. a Cobrar - BBCP U$S VINCULADAS</t>
  </si>
  <si>
    <t>Int. a Cobrar - Depósitos Restringidos -</t>
  </si>
  <si>
    <t>Int. a Cobrar - Inversiones Especiales -</t>
  </si>
  <si>
    <t>Int. a Cobrar - Bonos Públicos U$S</t>
  </si>
  <si>
    <t>Int. a Cobrar - Bonos Sub Gs Vinculadas</t>
  </si>
  <si>
    <t>Int a Cobrar - Bonos Sub USD Vinculadas</t>
  </si>
  <si>
    <t>Int. a Deveng. Bonos Fin. - U$S</t>
  </si>
  <si>
    <t>Int. a Deveng. Bonos Sub. - Gs</t>
  </si>
  <si>
    <t>Int. a Deveng. Bonos Corp. - U$S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</si>
  <si>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</si>
  <si>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</si>
  <si>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</si>
  <si>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</si>
  <si>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</si>
  <si>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</si>
  <si>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</si>
  <si>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</si>
  <si>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</si>
  <si>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</si>
  <si>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</si>
  <si>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</si>
  <si>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</si>
  <si>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</si>
  <si>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</si>
  <si>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</si>
  <si>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</si>
  <si>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U$S</t>
  </si>
  <si>
    <t>Int. a Deveng. Bonos Sub. Gs Vinculadas</t>
  </si>
  <si>
    <t>Int. a Deveng. Bonos Sub USD Vinculadas</t>
  </si>
  <si>
    <t>Títulos Valores de Renta Fija - Exterior</t>
  </si>
  <si>
    <t>Emitidos por el Estado y Entidades del E</t>
  </si>
  <si>
    <t>Títulos Valores de Renta Variable</t>
  </si>
  <si>
    <t>Acciones</t>
  </si>
  <si>
    <t>Acciones - Gs</t>
  </si>
  <si>
    <t>Dividendos y Participaciones - Renta Var</t>
  </si>
  <si>
    <t>Dividendos y Participaciones a Cobrar</t>
  </si>
  <si>
    <t>Dividendos y Participaciones a Devengar</t>
  </si>
  <si>
    <t>(-) Previsiones s/Títulos Valores de Ren</t>
  </si>
  <si>
    <t>Valores recibidos por Reporto</t>
  </si>
  <si>
    <t>Títulos de Crédito - Gs</t>
  </si>
  <si>
    <t>Bonos Financieros - Gs V</t>
  </si>
  <si>
    <t>BBCP - U$S VINCULADAS</t>
  </si>
  <si>
    <t>Prima por Diferencia de Precio a Cobrar</t>
  </si>
  <si>
    <t>Prima por Diferencia de Precio a Devenga</t>
  </si>
  <si>
    <t>Créditos otorgados</t>
  </si>
  <si>
    <t>Préstamos a Directores y Personal Superi</t>
  </si>
  <si>
    <t>Préstamos a Personas y Empresas Vinculad</t>
  </si>
  <si>
    <t>Préstamos al Personal</t>
  </si>
  <si>
    <t>Préstamos a Terceros</t>
  </si>
  <si>
    <t>Servicios Prestados por cobrar - Gs</t>
  </si>
  <si>
    <t>Intereses Devengados</t>
  </si>
  <si>
    <t>Intereses Documentados</t>
  </si>
  <si>
    <t>Otras cuentas por cobrar a personas y em</t>
  </si>
  <si>
    <t>Capital Suscripto a Pagar</t>
  </si>
  <si>
    <t>Anticipo de Sueldos y Jornales al Person</t>
  </si>
  <si>
    <t>Anticipo de Aguinaldo al Personal</t>
  </si>
  <si>
    <t>Derechos sobre títulos por Contratos Und</t>
  </si>
  <si>
    <t>IVA Crédito Fiscal 10%</t>
  </si>
  <si>
    <t>IVA Crédito Fiscal 5%</t>
  </si>
  <si>
    <t>Retención IVA</t>
  </si>
  <si>
    <t>Retención IDU</t>
  </si>
  <si>
    <t>Anticipos a Proveedores</t>
  </si>
  <si>
    <t>Anticipos a Proveedores U$S</t>
  </si>
  <si>
    <t>Anticipos a rendir - Varios U$S</t>
  </si>
  <si>
    <t>Previsión para incobrables</t>
  </si>
  <si>
    <t>Previsión para incobrables terceros</t>
  </si>
  <si>
    <t>Previsión para incobrables personas y em</t>
  </si>
  <si>
    <t>CREDITOS VENCIDOS</t>
  </si>
  <si>
    <t>Insumos de Computación</t>
  </si>
  <si>
    <t>Incendio</t>
  </si>
  <si>
    <t>Robo</t>
  </si>
  <si>
    <t>Accidentes Personales</t>
  </si>
  <si>
    <t>Automóviles</t>
  </si>
  <si>
    <t>Otras secciones varias</t>
  </si>
  <si>
    <t>Dividendos y Participaciones - Acciones</t>
  </si>
  <si>
    <t>Dividendos a Devengar - Acciones</t>
  </si>
  <si>
    <t>Diferencia de Precios Diferido - Accione</t>
  </si>
  <si>
    <t>Previsiones s/Títulos Valores de Renta V</t>
  </si>
  <si>
    <t>Títulos Valores de Renta Variable - Exte</t>
  </si>
  <si>
    <t>Previsiones s/Títulos Valores de Renta</t>
  </si>
  <si>
    <t>Títulos Renta Fija</t>
  </si>
  <si>
    <t>Títulos Valores de Renta Fija - Local</t>
  </si>
  <si>
    <t>Colocación de Valores en el Mercado Secu</t>
  </si>
  <si>
    <t>Inmuebles</t>
  </si>
  <si>
    <t>Rodados</t>
  </si>
  <si>
    <t>Construcciones en Curso</t>
  </si>
  <si>
    <t>Deprec. Acumulada Inmuebles</t>
  </si>
  <si>
    <t>Deprec. Acumulada Instalaciones</t>
  </si>
  <si>
    <t>Deprec. Acumulada Rodados</t>
  </si>
  <si>
    <t>Bienes de Uso Tomados en Arrendamiento F</t>
  </si>
  <si>
    <t>Maquinarias y Equipos de Oficina en Leas</t>
  </si>
  <si>
    <t>Equipos de Computación en Leasing</t>
  </si>
  <si>
    <t>Rodados en Leasing</t>
  </si>
  <si>
    <t>Licencia - Gs.</t>
  </si>
  <si>
    <t>Mejoras en Propiedad de Terceros</t>
  </si>
  <si>
    <t>Resultado por Cambio de Sistema Contable</t>
  </si>
  <si>
    <t>Operaciones a Liquidar - Terceros</t>
  </si>
  <si>
    <t>Operaciones a Liquidar Terceros - Gs</t>
  </si>
  <si>
    <t>Operaciones a Liquidar Terceros - U$S</t>
  </si>
  <si>
    <t>Comisiones a Pagar a Administradora</t>
  </si>
  <si>
    <t>Cuentas a pagar a personas y empresas re</t>
  </si>
  <si>
    <t>Obligaciones por contratos de underwriti</t>
  </si>
  <si>
    <t>Obligaciones por administración de carte</t>
  </si>
  <si>
    <t>Acreedores varios GS</t>
  </si>
  <si>
    <t>Proveedores del Exterior USD</t>
  </si>
  <si>
    <t>DEUDAS VENCIDAS</t>
  </si>
  <si>
    <t>Otras Cuentas por Pagar</t>
  </si>
  <si>
    <t>Otras Cuentas por Pagar Gs.</t>
  </si>
  <si>
    <t>Otras Cuentas por Pagar U$S</t>
  </si>
  <si>
    <t>Banco Regional Cta Cte USD</t>
  </si>
  <si>
    <t>Préstamos en bancos y otras entidades fi</t>
  </si>
  <si>
    <t>Intereses devengados por pagar s/ obliga</t>
  </si>
  <si>
    <t>Intereses documentados s/obligaciones fi</t>
  </si>
  <si>
    <t>Intereses documentados a devengar s/ obl</t>
  </si>
  <si>
    <t>Prima a pagar - REPO ME</t>
  </si>
  <si>
    <t>Prima a devengar - REPO</t>
  </si>
  <si>
    <t>Prima a devengar - REPO Gs</t>
  </si>
  <si>
    <t>Prima a devengar - REPO M</t>
  </si>
  <si>
    <t>Intereses a Pagar</t>
  </si>
  <si>
    <t>Honorarios Directores</t>
  </si>
  <si>
    <t>Honorarios Síndicos</t>
  </si>
  <si>
    <t>Multas e Intereses por Pagar</t>
  </si>
  <si>
    <t>Seguro Médico a Pagar</t>
  </si>
  <si>
    <t>Sueldos y Jornales a Pagar</t>
  </si>
  <si>
    <t>IVA Débito Fiscal 10%</t>
  </si>
  <si>
    <t>IVA Débito Fiscal 5%</t>
  </si>
  <si>
    <t>Impuestos y Tasas Municipales</t>
  </si>
  <si>
    <t>Multas y Recargos por Pagar</t>
  </si>
  <si>
    <t>Honorarios a Profesionales Externos</t>
  </si>
  <si>
    <t>Auditoría Externa</t>
  </si>
  <si>
    <t>Asesoría Legal</t>
  </si>
  <si>
    <t>Asesoría Informática</t>
  </si>
  <si>
    <t>Honorarios de Escribanía por Pagar</t>
  </si>
  <si>
    <t>Otros honorarios profesionales</t>
  </si>
  <si>
    <t>Gastos de Constitución a Pagar</t>
  </si>
  <si>
    <t>CUENTAS DIFERIDAS</t>
  </si>
  <si>
    <t>Moneda Nacional</t>
  </si>
  <si>
    <t>Ingresos Diferidos</t>
  </si>
  <si>
    <t>Intereses Recibidos por Anticipado</t>
  </si>
  <si>
    <t>Comisiones Recibidas por Anticipado</t>
  </si>
  <si>
    <t>Por intermediación de acciones U$S</t>
  </si>
  <si>
    <t>Por Operaciones Bursatiles</t>
  </si>
  <si>
    <t>Comisiones de Reporto Bursatil - GS</t>
  </si>
  <si>
    <t>Comisiones de Reporto Bursatil - U$S</t>
  </si>
  <si>
    <t>Administración de cartera</t>
  </si>
  <si>
    <t>Custodia de Valores</t>
  </si>
  <si>
    <t>Asesoría Financiera - Gs</t>
  </si>
  <si>
    <t>Bonos Subordinados - Gs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</si>
  <si>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</si>
  <si>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</si>
  <si>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</si>
  <si>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</si>
  <si>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</si>
  <si>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</si>
  <si>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</si>
  <si>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</si>
  <si>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</si>
  <si>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Resultado B.Sub. - U$S VINC</t>
  </si>
  <si>
    <t>Acciones - U$S</t>
  </si>
  <si>
    <t>Bonos Publicos - USD Vinculadas</t>
  </si>
  <si>
    <t>Primas por valor de compra futura (repo)</t>
  </si>
  <si>
    <t>Ingresos personas relacionadas</t>
  </si>
  <si>
    <t>Operaciones y servicios a personas relac</t>
  </si>
  <si>
    <t>Representante de Obligacionistas</t>
  </si>
  <si>
    <t>Representante de Obligacionistas - GS</t>
  </si>
  <si>
    <t>Representante de Obligacionistas - U$S</t>
  </si>
  <si>
    <t>Servicios por transferencia de Cartera</t>
  </si>
  <si>
    <t>Servicios por transferencia de Cartera -</t>
  </si>
  <si>
    <t>Recupero de Gastos</t>
  </si>
  <si>
    <t>Recupero de Gastos - Gs</t>
  </si>
  <si>
    <t>Recupero de Gastos - U$S</t>
  </si>
  <si>
    <t>Otros Ingresos Operativos - U$S</t>
  </si>
  <si>
    <t>Descuentos Obtenidos</t>
  </si>
  <si>
    <t>Ajustes de resultados anteriores</t>
  </si>
  <si>
    <t>Recuperación de Castigos de Cuentas Inco</t>
  </si>
  <si>
    <t>Utilidad en Venta de Propiedades y Equip</t>
  </si>
  <si>
    <t>Utilidad en Venta de Activos Intangibles</t>
  </si>
  <si>
    <t>Comisiones Pagadas Personas y Empresas r</t>
  </si>
  <si>
    <t>Folletos e Impresiones</t>
  </si>
  <si>
    <t>Actualizacion Pagina Web</t>
  </si>
  <si>
    <t>Otros Gastos de Comercialización</t>
  </si>
  <si>
    <t>Horas Extras</t>
  </si>
  <si>
    <t>Comisiones</t>
  </si>
  <si>
    <t>Bonificación Familiar</t>
  </si>
  <si>
    <t>Indemnización y Preaviso</t>
  </si>
  <si>
    <t>Uniformes</t>
  </si>
  <si>
    <t>Sueldos Gerentes</t>
  </si>
  <si>
    <t>Asesoría en Computación</t>
  </si>
  <si>
    <t>Alquiler de Bienes Muebles</t>
  </si>
  <si>
    <t>Depreciacion Maquinarias y Equipos</t>
  </si>
  <si>
    <t>Depreciacion Rodados</t>
  </si>
  <si>
    <t>Maquinarias en Leasing</t>
  </si>
  <si>
    <t>Equipos de Oficina en Leasing</t>
  </si>
  <si>
    <t>Muebles e Instalaciones</t>
  </si>
  <si>
    <t>Maquinarias y Equipos</t>
  </si>
  <si>
    <t>Alquileres Pagados</t>
  </si>
  <si>
    <t>Impuesto Inmobiliario</t>
  </si>
  <si>
    <t>Otros Impuestos Nacionales</t>
  </si>
  <si>
    <t>Energía Eléctrica</t>
  </si>
  <si>
    <t>Agua</t>
  </si>
  <si>
    <t>Correo y Franqueo</t>
  </si>
  <si>
    <t>Movildad y Transporte</t>
  </si>
  <si>
    <t>Gastos de limpieza y afines</t>
  </si>
  <si>
    <t>Custodia y Vigilancia</t>
  </si>
  <si>
    <t>Donaciones y Contribuciones</t>
  </si>
  <si>
    <t>Gastos de Informes</t>
  </si>
  <si>
    <t>Otros Gastos Administrativos</t>
  </si>
  <si>
    <t>Intereses y Gastos de Préstamos</t>
  </si>
  <si>
    <t>Intereses y Gastos de Préstamos - Person</t>
  </si>
  <si>
    <t>Gastos no Deducibles - U$S</t>
  </si>
  <si>
    <t>Recargos y Multas</t>
  </si>
  <si>
    <t>Pérdida por Venta de Bienes de Uso</t>
  </si>
  <si>
    <t>Pérdida por Venta de Activos Intangibles</t>
  </si>
  <si>
    <t>Gastos de Ejercicios Anteriores</t>
  </si>
  <si>
    <t>Gastos Extraordinarios</t>
  </si>
  <si>
    <t>Cuentas de Dudoso Recaudo</t>
  </si>
  <si>
    <t>Registro de Garantías Otorgadas</t>
  </si>
  <si>
    <t>Valores Recibidos en Custodia U$S</t>
  </si>
  <si>
    <t>Valores Recibidos para Colocación Primar</t>
  </si>
  <si>
    <t>Registro de Garantías Recibidas</t>
  </si>
  <si>
    <t>Control de Garantías Otorgadas</t>
  </si>
  <si>
    <t>Resp. por Custodia de Valores U$S</t>
  </si>
  <si>
    <t>Responsabilidad por Colocación Primaria</t>
  </si>
  <si>
    <t>Responsabilidad por Garantías Recibidas</t>
  </si>
  <si>
    <t>REF.</t>
  </si>
  <si>
    <t>Información General de la Entidad</t>
  </si>
  <si>
    <t xml:space="preserve">Balance General </t>
  </si>
  <si>
    <t>Estado de Flujo de Efectivo</t>
  </si>
  <si>
    <t>Estado de Variación del Patrimonio Neto</t>
  </si>
  <si>
    <t>Notas a los Estados Financieros (Nota 1 a Nota 4)</t>
  </si>
  <si>
    <t>Notas a los Estados Financieros (Nota 6 a Nota 12)</t>
  </si>
  <si>
    <t>REGIONAL CASA DE BOLSA SOCIEDAD ANÓNIMA</t>
  </si>
  <si>
    <t>No se han registrado cambios en las políticas y procedimientos contables durante el ejercicio informado.</t>
  </si>
  <si>
    <t>Los estados contables (Balance General, Estado de Resultados, Estado de Flujo de Efectivo y Estado de Variación del Patrimonio Neto) correspondientes al 31 de diciembre de 2020 fueron considerados y aprobados por la Asamblea General de Accionistas mediante Acta N° 5 de fecha 26 de abril de 2021.</t>
  </si>
  <si>
    <t>b. Inversiones</t>
  </si>
  <si>
    <t>Intereses a Cobrar</t>
  </si>
  <si>
    <t>Saldo al 31/12/2020</t>
  </si>
  <si>
    <t>Financiera El Comercio S.A.E.C.A.</t>
  </si>
  <si>
    <t>Emisor</t>
  </si>
  <si>
    <t>Serie/ ISIN</t>
  </si>
  <si>
    <t>Fecha Vencimiento</t>
  </si>
  <si>
    <t>Tasa (%)</t>
  </si>
  <si>
    <t>Valor Nominal</t>
  </si>
  <si>
    <t>PYNUC04F1340</t>
  </si>
  <si>
    <t>PYNUC05F1356</t>
  </si>
  <si>
    <t>PYTNA01F8731</t>
  </si>
  <si>
    <t>MINISTERIO DE HACIENDA</t>
  </si>
  <si>
    <t>% Cotización</t>
  </si>
  <si>
    <t>Títulos de renta fija en Reporto</t>
  </si>
  <si>
    <t>Bolsa de Valores &amp; Productos de Asunción - BVPASA</t>
  </si>
  <si>
    <t>Cuentas</t>
  </si>
  <si>
    <t>Comisiones por cobrar - U$S</t>
  </si>
  <si>
    <t>Comisiones por cobrar - Gs</t>
  </si>
  <si>
    <t>Muebles y Equipos de Oficina</t>
  </si>
  <si>
    <t>Corto plazo Gs.</t>
  </si>
  <si>
    <t>Institución</t>
  </si>
  <si>
    <t>Total al 31/12/2020</t>
  </si>
  <si>
    <t>Proveedores de Bienes y/o Servicios - Gs</t>
  </si>
  <si>
    <t>Directora</t>
  </si>
  <si>
    <t>Persona o Empresa Vinculada</t>
  </si>
  <si>
    <t>Total Ingresos</t>
  </si>
  <si>
    <t>Total Egresos</t>
  </si>
  <si>
    <t>Comisión por Intermediación Renta Fija</t>
  </si>
  <si>
    <t>Fondo de Garantía - BVPASA</t>
  </si>
  <si>
    <t xml:space="preserve">Participación en Resultados </t>
  </si>
  <si>
    <t>5.s) Resultado con personas o empresas vinculadas</t>
  </si>
  <si>
    <t xml:space="preserve">Honorarios Dieta / Presidente </t>
  </si>
  <si>
    <t>Honorarios Dieta / Directora</t>
  </si>
  <si>
    <t>Remuneracion Gerente General / Dieta Vicepresidente</t>
  </si>
  <si>
    <t>Guillermo Alexis Cespedes Mazur</t>
  </si>
  <si>
    <t>Honorarios Sindico</t>
  </si>
  <si>
    <t>Generado por Activos</t>
  </si>
  <si>
    <t>Generado por Pasivos</t>
  </si>
  <si>
    <t>IG!A1</t>
  </si>
  <si>
    <t>Índice</t>
  </si>
  <si>
    <t>BG!A1</t>
  </si>
  <si>
    <t>EERR!A1</t>
  </si>
  <si>
    <t>EFE!A1</t>
  </si>
  <si>
    <t>VPN!A1</t>
  </si>
  <si>
    <t>Notas a los Estados Financieros (Nota 5)</t>
  </si>
  <si>
    <t>Nota 1 a Nota 4'!A1</t>
  </si>
  <si>
    <t>Nota 5'!A1</t>
  </si>
  <si>
    <t>Nota 6 a Nota 12'!A1</t>
  </si>
  <si>
    <t>Intereses generados por Bonos emitidos por el Banco Regional</t>
  </si>
  <si>
    <t>Intereses generados por CDA emitidos por el Banco Regional</t>
  </si>
  <si>
    <t>Banco Familiar  Caja de Ahorro N°00-0231</t>
  </si>
  <si>
    <t>Banco GNB Cta Cte N°2101050080</t>
  </si>
  <si>
    <t>Financiera Paraguayo Japonesa Cta Gs</t>
  </si>
  <si>
    <t>Deudores Títulos R.Fija en Repo Gs VIN</t>
  </si>
  <si>
    <t>Cupones Pendientes de Reembolso GS</t>
  </si>
  <si>
    <t>Cupones Pendientes de Reembolso USD</t>
  </si>
  <si>
    <t>OTROS ACTIVOS NO CORRIENTES</t>
  </si>
  <si>
    <t>Garantia de Alquiler</t>
  </si>
  <si>
    <t>Cupones Cobrados de Clientes - GS</t>
  </si>
  <si>
    <t>Cupones Cobrados de Clientes - U$S</t>
  </si>
  <si>
    <t>Prima a pagar - REPO Gs VINC</t>
  </si>
  <si>
    <t>Prima a devengar - REPO ME</t>
  </si>
  <si>
    <t>Prima a devengar - REPO Gs VINC</t>
  </si>
  <si>
    <t>Acreedores Titulos R.Fija en Repo Gs VIN</t>
  </si>
  <si>
    <t>Comisiones Comerciales a Pagar -  Banco</t>
  </si>
  <si>
    <t>Prov. Operaciones Trading Book - VINCUL</t>
  </si>
  <si>
    <t>Reintegro de Gastos Gravados GS</t>
  </si>
  <si>
    <t>Otras Provisiones Operativas</t>
  </si>
  <si>
    <t>Operaciones Trading Book - VINCULADAS</t>
  </si>
  <si>
    <t>Comisiones Pagadas - Larrain Vial</t>
  </si>
  <si>
    <t>Financiera Pyo Japonesa</t>
  </si>
  <si>
    <t>Otros Activos No Corrientes</t>
  </si>
  <si>
    <t>Garantía de Alquiler</t>
  </si>
  <si>
    <t>Anticipo de Clientes USD</t>
  </si>
  <si>
    <t>Banco Regional C. A. N° 8070729</t>
  </si>
  <si>
    <t>1 al 9.999</t>
  </si>
  <si>
    <t>Leticia Carolina Duarte Helman</t>
  </si>
  <si>
    <t>Gerente de Administración y Operaciones</t>
  </si>
  <si>
    <t>Yan Elmar González Acosta</t>
  </si>
  <si>
    <t>Gerente de Mesa de Dinero</t>
  </si>
  <si>
    <t>PYTAU01F1133</t>
  </si>
  <si>
    <t>Prima a pagar por operaciones de reporto</t>
  </si>
  <si>
    <t>Diferencias de cambio netas - Pérdida</t>
  </si>
  <si>
    <t>Banco Familiar S.A.</t>
  </si>
  <si>
    <t>Citibank S.A.</t>
  </si>
  <si>
    <t>Seguros - Cauciones</t>
  </si>
  <si>
    <t>Cupones Cobrados de Clientes</t>
  </si>
  <si>
    <t>Reporto CDA</t>
  </si>
  <si>
    <t>Diferencia de Precios - Operaciones Bonos</t>
  </si>
  <si>
    <t>Diferencia de Precios - Operaciones CDA</t>
  </si>
  <si>
    <t>Reintegro de Gastos Exentos</t>
  </si>
  <si>
    <t>Honorarios Profesiones - Gerente Comercial</t>
  </si>
  <si>
    <t xml:space="preserve">Diferencia de Precio (+) - Operaciones CDA </t>
  </si>
  <si>
    <t>Reintegro de Gastos Gravados</t>
  </si>
  <si>
    <t>Banco Interfisa C.A. N° 10290848</t>
  </si>
  <si>
    <t>Int a Cobrar  - Bonos Sub USD Vinculadas</t>
  </si>
  <si>
    <t>Prima a Cobrar - REPO</t>
  </si>
  <si>
    <t>Prima a Cobrar - REPO U$S</t>
  </si>
  <si>
    <t>Prima a Devengar - REPO</t>
  </si>
  <si>
    <t>Prima a Devengar - REPO U$S</t>
  </si>
  <si>
    <t>Créditos Fiscales</t>
  </si>
  <si>
    <t>Gastos Pagados por Adelantado</t>
  </si>
  <si>
    <t>Suscripciones Pagadas por Adelantado</t>
  </si>
  <si>
    <t>Gastos de Marketing a Devengar</t>
  </si>
  <si>
    <t>Acciones en Otras Empresas</t>
  </si>
  <si>
    <t>Tarjeta de Crédito a Pagar - VINCULADAS</t>
  </si>
  <si>
    <t>Prov. por Contingencias Operativas</t>
  </si>
  <si>
    <t>Reintegro de Gastos Exentos GS</t>
  </si>
  <si>
    <t>Reintegro de Gastos Gravados USD</t>
  </si>
  <si>
    <t>Bonos Corporativos Gs.</t>
  </si>
  <si>
    <t>Asesoría Informatica</t>
  </si>
  <si>
    <t>Servicios Tercerizados</t>
  </si>
  <si>
    <t>Expensas</t>
  </si>
  <si>
    <t>Contingencias Operativas</t>
  </si>
  <si>
    <t>Banco Interfisa S.A.E.C.A.</t>
  </si>
  <si>
    <t>PYCEC01F1940</t>
  </si>
  <si>
    <t>FIC S.A DE FINANZAS</t>
  </si>
  <si>
    <t>AY 1729</t>
  </si>
  <si>
    <t>BB 4664</t>
  </si>
  <si>
    <t>BB 4637</t>
  </si>
  <si>
    <t>BB 4553</t>
  </si>
  <si>
    <t>BB 4636</t>
  </si>
  <si>
    <t>BB 4675</t>
  </si>
  <si>
    <t>BB 4676</t>
  </si>
  <si>
    <t>BB 4677</t>
  </si>
  <si>
    <t>BB 4678</t>
  </si>
  <si>
    <t>BB 4680</t>
  </si>
  <si>
    <t>BB 4681</t>
  </si>
  <si>
    <t>AA 7961</t>
  </si>
  <si>
    <t>AA 7962</t>
  </si>
  <si>
    <t>AA 7963</t>
  </si>
  <si>
    <t>AA 7974</t>
  </si>
  <si>
    <t>BB 4530</t>
  </si>
  <si>
    <t>BB 4613</t>
  </si>
  <si>
    <t>BB 4580</t>
  </si>
  <si>
    <t>BB 4558</t>
  </si>
  <si>
    <t>BB 4452</t>
  </si>
  <si>
    <t>AA 7965</t>
  </si>
  <si>
    <t>BB 4638</t>
  </si>
  <si>
    <t>BB 4581</t>
  </si>
  <si>
    <t>BB 4578</t>
  </si>
  <si>
    <t>BB 4713</t>
  </si>
  <si>
    <t>BB 4586</t>
  </si>
  <si>
    <t>BB 4587</t>
  </si>
  <si>
    <t>AA 7834</t>
  </si>
  <si>
    <t>BB 4646</t>
  </si>
  <si>
    <t>BB 4608</t>
  </si>
  <si>
    <t>BB 4609</t>
  </si>
  <si>
    <t>BB 4579</t>
  </si>
  <si>
    <t>BB 4614</t>
  </si>
  <si>
    <t>AA 7960</t>
  </si>
  <si>
    <t>BB 4667</t>
  </si>
  <si>
    <t>Estados Financieros correspondientes al período finalizado el 31 de Diciembre de 2021</t>
  </si>
  <si>
    <t>Deudores Titulos R.Fija en Repo U$S VIN</t>
  </si>
  <si>
    <t>Alquileres Pagados por adelantado</t>
  </si>
  <si>
    <t>Programas informaticos en desarrollo</t>
  </si>
  <si>
    <t>Vacaciones a Pagar</t>
  </si>
  <si>
    <t>Serv. de Limpieza a Pagar</t>
  </si>
  <si>
    <t>Gastos de Cafeteria a Pagar</t>
  </si>
  <si>
    <t>Diágnostico/Plan Táctico Integral a Pag.</t>
  </si>
  <si>
    <t>Gastos de Publicidad a Pagar</t>
  </si>
  <si>
    <t>Por Contratos de Coloc. Prim. R. Fija Gs</t>
  </si>
  <si>
    <t>Por Contratos de Coloc.Prim. R. Fija U$S</t>
  </si>
  <si>
    <t>Por Contratos de Coloc. Prim.  Acciones</t>
  </si>
  <si>
    <t>Servicios de Cumplimiento Normativo</t>
  </si>
  <si>
    <t>Serv. de Deposito y Custodio de Valores</t>
  </si>
  <si>
    <t>Servicios Administrativos</t>
  </si>
  <si>
    <t>Intereses bancarios cobrados</t>
  </si>
  <si>
    <t>Ingresos Varios</t>
  </si>
  <si>
    <t>Bonos Subordinados U$S</t>
  </si>
  <si>
    <t>Gastos de publicidad y marketing</t>
  </si>
  <si>
    <t>Diágnostico y Plan Táctico Integral</t>
  </si>
  <si>
    <t>Del   01/01/2021   al   31/12/2021</t>
  </si>
  <si>
    <t>BALANCE AL 31/12/2021</t>
  </si>
  <si>
    <t>Deudores Títulos R.Fija en Repo USD VIN</t>
  </si>
  <si>
    <t>Bienes de Uso</t>
  </si>
  <si>
    <t>(-) Depreciación Acumulada</t>
  </si>
  <si>
    <t>(-) Amortización Acumulada</t>
  </si>
  <si>
    <t>Cuentas a pagar a personas y empresas relacionadas</t>
  </si>
  <si>
    <t>POR EL PERIODO DEL 01 DE ENERO DE 2021 AL 31 DE DICIEMBRE DE 2021 PRESENTADO EN FORMA COMPARATIVA CON EL EJERCICIO ANTERIOR FINALIZADO EL 31 DE DICIEMBRE DE 2020</t>
  </si>
  <si>
    <t>Total al 31/12/2021</t>
  </si>
  <si>
    <t>Int. a Deveng. - Bonos Financieros - U$S</t>
  </si>
  <si>
    <t>Por contratos de de colocación primaria Acciones</t>
  </si>
  <si>
    <t>ok</t>
  </si>
  <si>
    <t>Información al 31 de diciembre de 2021</t>
  </si>
  <si>
    <r>
      <t xml:space="preserve">Regional Casa de Bolsa S.A. posee una acción de la Bolsa de Valores y Productos de Asunción S.A. (BVPASA), que corresponde a un requisito para operar como casa de bolsa en el mercado paraguayo, de acuerdo con lo establecido en la Ley 5810/17 de Mercado de Valores. </t>
    </r>
    <r>
      <rPr>
        <i/>
        <sz val="13"/>
        <color theme="1"/>
        <rFont val="Arial Narrow"/>
        <family val="2"/>
      </rPr>
      <t>Ver Nota 3.2.b.</t>
    </r>
  </si>
  <si>
    <r>
      <t xml:space="preserve">c. </t>
    </r>
    <r>
      <rPr>
        <b/>
        <u/>
        <sz val="13"/>
        <color theme="1"/>
        <rFont val="Arial Narrow"/>
        <family val="2"/>
      </rPr>
      <t>Bienes de uso:</t>
    </r>
  </si>
  <si>
    <r>
      <t xml:space="preserve">d. </t>
    </r>
    <r>
      <rPr>
        <b/>
        <u/>
        <sz val="13"/>
        <color theme="1"/>
        <rFont val="Arial Narrow"/>
        <family val="2"/>
      </rPr>
      <t>Activos intangibles:</t>
    </r>
  </si>
  <si>
    <t>Según el índice de precios al consumidor (IPC) publicado por el Banco Central del Paraguay, la inflación al 31 de diciembre de 2021 y 31 de diciembre de 2020 fueron de 6,8%  y  2,2%  respectivamente.</t>
  </si>
  <si>
    <t>Los estados financieros al 31 de diciembre de 2021 y la información complementaria relacionadas con ellos, se presentan en forma comparativa con los respectivos estados e información complementaria correspondiente al ejercicio económico finalizado al 31 de diciembre de 2020.</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</si>
  <si>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diciembre de 2021.</t>
  </si>
  <si>
    <t>NOTAS A LOS ESTADOS FINANCIEROS AL 31 DE DICIEMBRE DE 2021</t>
  </si>
  <si>
    <t>a. Intereses sobre títulos y otros valores: Los ingresos generados durante el ejercicio son registrados conforme se devengan.</t>
  </si>
  <si>
    <t>INFORMACIÓN SOBRE EL EMISOR AL 31/12/2021</t>
  </si>
  <si>
    <t>Saldo al 31/12/2021</t>
  </si>
  <si>
    <t>Las partidas de activos y pasivos en moneda extranjera al 31 de diciembre de 2021 y 31 de diciembre de 2020 fueron valuadas al tipo de cambio de cierre proporcionado el Banco Central del Paraguay (BCP), el cual no difiere significativamente respecto del vigente en el mercado libre de cambios:</t>
  </si>
  <si>
    <t>Moneda
Extranjera
Clase</t>
  </si>
  <si>
    <t>Moneda
Extranjera
Monto</t>
  </si>
  <si>
    <t>TIPO DE CAMBIO COMPRADOR</t>
  </si>
  <si>
    <t>TIPO DE CAMBIO VENDEDOR</t>
  </si>
  <si>
    <t>Cambio
Cierre
31/12/2021</t>
  </si>
  <si>
    <t>Saldo
31/12/2021
(GS)</t>
  </si>
  <si>
    <t>Cambio
Cierre
31/12/2020</t>
  </si>
  <si>
    <t>Saldo
31/12/2020
(GS)</t>
  </si>
  <si>
    <t>MONEDA</t>
  </si>
  <si>
    <t>Valores Recibidos en Reporto</t>
  </si>
  <si>
    <t>Valores entregados en Reporto</t>
  </si>
  <si>
    <t>Cupones Pendientes de Reembolso</t>
  </si>
  <si>
    <t>Deudas Vigentes</t>
  </si>
  <si>
    <t>Uso o Destino</t>
  </si>
  <si>
    <t>Acreedores Varios</t>
  </si>
  <si>
    <t>Tipo de Cambio
31/12/2021</t>
  </si>
  <si>
    <t>Tipo de Cambio
31/12/2020</t>
  </si>
  <si>
    <t>Monto Ajustado
31/12/2021
(GS)</t>
  </si>
  <si>
    <t>Monto Ajustado
31/12/2020
(GS)</t>
  </si>
  <si>
    <t>Cuenta Corriente Guaraníes No. 8070729</t>
  </si>
  <si>
    <t>Caja de Ahorro Guaraníes No. 8070726</t>
  </si>
  <si>
    <t>Cuenta Corriente Dólares No. 8070731</t>
  </si>
  <si>
    <t>Caja de Ahorro Dólares No. 8070727</t>
  </si>
  <si>
    <t>Cuenta Terceros</t>
  </si>
  <si>
    <t>Cuenta Propia</t>
  </si>
  <si>
    <t>Cuenta Corriente Guaraníes No. 40000054/1</t>
  </si>
  <si>
    <t>Cuenta Corriente Guaraníes No. 40000054/3</t>
  </si>
  <si>
    <t>Cuenta Corriente Dólares No. 400000060</t>
  </si>
  <si>
    <t>Cuenta Corriente Dólares No. 400000061</t>
  </si>
  <si>
    <t>Cuenta Corriente Guaraníes No. 1150897</t>
  </si>
  <si>
    <t>Caja de Ahorro Guaraníes No. 1150895</t>
  </si>
  <si>
    <t>Cuenta Corriente Dólares No. 1150898</t>
  </si>
  <si>
    <t>Banco Río S.A.E.C.A.</t>
  </si>
  <si>
    <t>Caja de Ahorro Guaraníes No. 01-00391570-03</t>
  </si>
  <si>
    <t>Caja de Ahorro Dólares No. 8270013240008</t>
  </si>
  <si>
    <t>Financiera Finexpar S.A.E.C.A.</t>
  </si>
  <si>
    <t>Caja de Ahorro Guaraníes No. 155007484</t>
  </si>
  <si>
    <t>Caja de Ahorro Dólares No. 10155002657</t>
  </si>
  <si>
    <t>Caja de Ahorro Guaraníes No. 583739</t>
  </si>
  <si>
    <t>Caja de Ahorro Dólares No. 583739</t>
  </si>
  <si>
    <t>Caja de Ahorro Guaraníes N° 01-00758710-04</t>
  </si>
  <si>
    <t xml:space="preserve">Cuenta Corriente Guaraníes No. 2101050080 </t>
  </si>
  <si>
    <t>Caja de Ahorro Guaraníes No. 12798011</t>
  </si>
  <si>
    <t>Cuenta Corriente Dólares No. 2101050099</t>
  </si>
  <si>
    <t>Caja de Ahorro Dólares No. 12798011</t>
  </si>
  <si>
    <t>Cuenta Administrativa</t>
  </si>
  <si>
    <t>Ahorro a la Vista Guaraníes No. 0310068606</t>
  </si>
  <si>
    <t>Ahorro a la Vista Dólares No. 0310068614</t>
  </si>
  <si>
    <t>Cuenta Corriente Guaraníes No. 821857/4</t>
  </si>
  <si>
    <t>Cuenta Corriente Dólares No. 821857/4</t>
  </si>
  <si>
    <t>Solar Ahorros y Finanzas S.A.</t>
  </si>
  <si>
    <t>Cuenta Guaraníes No. 185554</t>
  </si>
  <si>
    <t>Cuenta Dólares No. 187071</t>
  </si>
  <si>
    <t>Cuenta Corriente Guaraníes No. 02317942</t>
  </si>
  <si>
    <t>Cuenta Guaraníes No. 1027186</t>
  </si>
  <si>
    <t>Cuenta Guaraníes No. 10290848</t>
  </si>
  <si>
    <t>Ahorro a la Vista Dólares No. 5198764029</t>
  </si>
  <si>
    <t>Financiera Paraguayo Japonesa</t>
  </si>
  <si>
    <t>Cuenta Guaraníes No. 203308</t>
  </si>
  <si>
    <t>Valor
contable</t>
  </si>
  <si>
    <t>Patrimonio
Neto</t>
  </si>
  <si>
    <t>TU FINANCIERA S.A.E.C.A</t>
  </si>
  <si>
    <t>(GS)</t>
  </si>
  <si>
    <t>(USD)</t>
  </si>
  <si>
    <t>INTERFISA BANCO S.A.E.C.A.</t>
  </si>
  <si>
    <t>NUCLEO S.A.</t>
  </si>
  <si>
    <t>IMPERIAL COMPAÑÍA DISTRIBUIDORA DE PETRÓLEO Y DERIVADOS S.A.E.</t>
  </si>
  <si>
    <t>TELEFONICA CELULAR DEL PARAGUAY S.A.E.</t>
  </si>
  <si>
    <t>CEMENTOS CONCEPCIÓN S.A.E</t>
  </si>
  <si>
    <t>INSTITUTO DE CAPACITACION Y DESARROLLO EMPRESARIAL S.A.</t>
  </si>
  <si>
    <t>BANCO RIO S.A.E.C.A</t>
  </si>
  <si>
    <t>BANCO BASA S.A.</t>
  </si>
  <si>
    <t>FINANCIERA FINEXPAR S.A.E.C.A.</t>
  </si>
  <si>
    <t xml:space="preserve">FINANCIERA FINEXPAR S.A.E.C.A.  </t>
  </si>
  <si>
    <t xml:space="preserve">BANCO REGIONAL S.A.E.C.A.  </t>
  </si>
  <si>
    <t xml:space="preserve">SOLAR AHORROS Y FINANZAS S.A.E.C.A.   </t>
  </si>
  <si>
    <t xml:space="preserve">BANCO NACIONAL DE FOMENTO  </t>
  </si>
  <si>
    <t>CEMENTOS CONCEPCIÓN S.A.E.</t>
  </si>
  <si>
    <t xml:space="preserve">BANCO ITAÚ PARAGUAY S.A. </t>
  </si>
  <si>
    <t>ACCIONES</t>
  </si>
  <si>
    <t>La composición de la cartera de Inversiones temporarias y permanentes al 31 de diciembre de 2021 con valor de cotización fue la siguiente:</t>
  </si>
  <si>
    <t>FINANCIERA UENO S.A.E.C.A.</t>
  </si>
  <si>
    <r>
      <rPr>
        <b/>
        <u/>
        <sz val="11"/>
        <rFont val="Arial Narrow"/>
        <family val="2"/>
      </rPr>
      <t>RUBRO:</t>
    </r>
    <r>
      <rPr>
        <b/>
        <sz val="11"/>
        <rFont val="Arial Narrow"/>
        <family val="2"/>
      </rPr>
      <t xml:space="preserve">      112 - INVERSIONES TEMPORARIAS</t>
    </r>
  </si>
  <si>
    <t>CUENTA:        11201 - TÍTULOS DE RENTA FIJA EN CARTERA PROPIA</t>
  </si>
  <si>
    <t>Fecha
Emisión</t>
  </si>
  <si>
    <t>(+) Intereses a Cobrar</t>
  </si>
  <si>
    <t>(-) Intereses a Devengar</t>
  </si>
  <si>
    <t>Valor
Contable
(GS)</t>
  </si>
  <si>
    <t>Fecha Última Cotización</t>
  </si>
  <si>
    <t>Valor de Mercado</t>
  </si>
  <si>
    <t>BONOS CORPORATIVOS - GS</t>
  </si>
  <si>
    <t>PYNUC01F9189</t>
  </si>
  <si>
    <t>PYIPD01F1403</t>
  </si>
  <si>
    <t>PYTEL02F9363</t>
  </si>
  <si>
    <t>PYICA04F2745</t>
  </si>
  <si>
    <t>PYIPD02F2756</t>
  </si>
  <si>
    <t>BONOS FINANCIEROS - GS</t>
  </si>
  <si>
    <t>BONOS FINANCIEROS - USD</t>
  </si>
  <si>
    <t>BONOS PÚBLICOS - GS</t>
  </si>
  <si>
    <t>BONOS SUBORDINADOS - USD</t>
  </si>
  <si>
    <t>PYBRO01F1371</t>
  </si>
  <si>
    <t xml:space="preserve">CDA - GS </t>
  </si>
  <si>
    <t>AA 6555</t>
  </si>
  <si>
    <t>AA 6556</t>
  </si>
  <si>
    <t>AA 6593</t>
  </si>
  <si>
    <t>AA 6594</t>
  </si>
  <si>
    <t>AA 6597</t>
  </si>
  <si>
    <t>AA 6598</t>
  </si>
  <si>
    <t>AA 6599</t>
  </si>
  <si>
    <t>AA 6600</t>
  </si>
  <si>
    <t>AA 6601</t>
  </si>
  <si>
    <t>AA 6602</t>
  </si>
  <si>
    <t>AA 6603</t>
  </si>
  <si>
    <t>AA 6604</t>
  </si>
  <si>
    <t>AA 6605</t>
  </si>
  <si>
    <t>AA 6606</t>
  </si>
  <si>
    <t>AA 6607</t>
  </si>
  <si>
    <t>AA 6608</t>
  </si>
  <si>
    <t>AA 6609</t>
  </si>
  <si>
    <t>AA 6629</t>
  </si>
  <si>
    <t>AA 0662</t>
  </si>
  <si>
    <t>AA 0663</t>
  </si>
  <si>
    <t>AA 0664</t>
  </si>
  <si>
    <t>CDA GS - VINCULADAS</t>
  </si>
  <si>
    <t>BB 4524</t>
  </si>
  <si>
    <t>BB 4525</t>
  </si>
  <si>
    <t>BB 4526</t>
  </si>
  <si>
    <t>BB 4527</t>
  </si>
  <si>
    <t>AM 2533</t>
  </si>
  <si>
    <t xml:space="preserve">BB 4911 </t>
  </si>
  <si>
    <t>AM 2485</t>
  </si>
  <si>
    <t>AD 4423</t>
  </si>
  <si>
    <t>BB 3803</t>
  </si>
  <si>
    <t>CDA - USD</t>
  </si>
  <si>
    <t>AA 1964</t>
  </si>
  <si>
    <t>INVERSIONES NO CORRIENTES</t>
  </si>
  <si>
    <t>INVERSIONES CORRIENTES</t>
  </si>
  <si>
    <t>Al 31 de diciembre de 2021, la composición de cartera de títulos en reporto con pacto de re-compra, fue la siguiente:</t>
  </si>
  <si>
    <t>Operaciones de reporto - Neto</t>
  </si>
  <si>
    <t>Al 31 de diciembre de 2021 y 31 de diciembre de 2020, la Sociedad no cuenta con Saldos con Deudores Varios.</t>
  </si>
  <si>
    <t>Al 31 de diciembre  de 2021 y 31 de diciembre de 2020, la Sociedad no cuenta con derechos sobre títulos por contratos de underwriting.</t>
  </si>
  <si>
    <t>5.i) Otros activos corrientes y no corrientes</t>
  </si>
  <si>
    <t>Acumuladas al Cierre</t>
  </si>
  <si>
    <t>Neto Resultante</t>
  </si>
  <si>
    <t>Saldo Neto Final</t>
  </si>
  <si>
    <t>Alquileres Pagados por Adelantado</t>
  </si>
  <si>
    <t>Insumos de Computacion</t>
  </si>
  <si>
    <t>Anticipo de Clientes - GS</t>
  </si>
  <si>
    <t>Operaciones a Liquidar - GS</t>
  </si>
  <si>
    <t>Proveedores del Exterior - USD</t>
  </si>
  <si>
    <t>Proveedores de Bienes y/o Servicios - USD</t>
  </si>
  <si>
    <t>Cupones Cobrados de Clientes - USD</t>
  </si>
  <si>
    <t>Bancop Ahorro a la Vista USD N° 03100686</t>
  </si>
  <si>
    <t>Citibank Ahorro a la Vista USD N° 519876</t>
  </si>
  <si>
    <t>Finexpar Caja de Ahorro USD N° 101550026</t>
  </si>
  <si>
    <t>Banco GNB Caja de Ahorro USD N° 12798011</t>
  </si>
  <si>
    <t>Bonos Subordinados - USD</t>
  </si>
  <si>
    <t>Int. a Cobrar - Bonos Subord. - USD</t>
  </si>
  <si>
    <t>Int. a Cobrar - CDA - USD</t>
  </si>
  <si>
    <t>Int. a Cobrar - Bonos Financieros - USD</t>
  </si>
  <si>
    <t>Int. a Cobrar - CDA - USD VINCULADAS</t>
  </si>
  <si>
    <t>Int. a Deveng. Bonos Sub - USD</t>
  </si>
  <si>
    <t>Int. a Deveng. CDA - USD</t>
  </si>
  <si>
    <t>Int. a Deveng. Bonos Corp. - USD</t>
  </si>
  <si>
    <t>Int. a Deveng. CDA - USD VINC.</t>
  </si>
  <si>
    <t>Deudores Titulos Renta Fija en Repo USD</t>
  </si>
  <si>
    <t>Bonos Financieros - USD</t>
  </si>
  <si>
    <t>Comisiones por cobrar USD</t>
  </si>
  <si>
    <t>Otras cuentas por cobrar - USD</t>
  </si>
  <si>
    <t>Liciencia - USD</t>
  </si>
  <si>
    <t>Operaciones a Liquidar - USD</t>
  </si>
  <si>
    <t>Por intermediación de renta fija USD</t>
  </si>
  <si>
    <t>Asesoría Financiera - USD</t>
  </si>
  <si>
    <t>Bonos Corporativos - USD</t>
  </si>
  <si>
    <t>Bonos Financieros - USD VINCULADAS</t>
  </si>
  <si>
    <t>Bonos Subordinados - USD VINCULADAS</t>
  </si>
  <si>
    <t>CDA - USD VINCULADAS</t>
  </si>
  <si>
    <t>Resultado Bonos Sub. - USD</t>
  </si>
  <si>
    <t>Aranceles - BVPASA USD</t>
  </si>
  <si>
    <t>Fondo de Garantía - USD</t>
  </si>
  <si>
    <t>Otros Ingresos Operativos - USD</t>
  </si>
  <si>
    <t>Aranceles pagados - BVPASA USD</t>
  </si>
  <si>
    <t>Gastos no Deducibles - USD</t>
  </si>
  <si>
    <t>Acreedores Titulos Renta Fija en Repo USD</t>
  </si>
  <si>
    <t>No aplicable. Al 31 de diciembre de 2021 y 31 de diciembre de 2020, la Sociedad no cuenta con saldos en cartera.</t>
  </si>
  <si>
    <t>Tipo de
Operación</t>
  </si>
  <si>
    <t>Deuda Tarjeta de Crédito</t>
  </si>
  <si>
    <t>Alquiler Anual s/ Contrato</t>
  </si>
  <si>
    <t>Pago de Cupones Cobrados BNF</t>
  </si>
  <si>
    <t>No Aplicable. Al 31 de diciembre de 2021 y 31  de diciembre de 2020, la Sociedad no cuenta con obligaciones por contrato de underwriting</t>
  </si>
  <si>
    <t>Corriente Gs.</t>
  </si>
  <si>
    <t>No Corriente Gs.</t>
  </si>
  <si>
    <t>Fondo de Garantía a Pagar - Gs</t>
  </si>
  <si>
    <t>Fondo de Garantia a Pagar - USD</t>
  </si>
  <si>
    <t>Servicio de Limpieza a Pagar</t>
  </si>
  <si>
    <t>Diágnostico/Plan Táctico Integral a Pagar</t>
  </si>
  <si>
    <t>5.r) Saldos y transacciones con personas y empresas relacionadas</t>
  </si>
  <si>
    <t>El resultado por operaciones con empresas y personas vinculadas al 31 de diciembre de 2021 es el siguiente:</t>
  </si>
  <si>
    <t>Servicios de Deposito y Custodio de Valores</t>
  </si>
  <si>
    <t>Capitalización de Intereses - Cuentas Bancarias</t>
  </si>
  <si>
    <t>Adquisición de Activo Fijo (Mamparas Divisorias)</t>
  </si>
  <si>
    <t>Reembolso Comisiones Comerciales</t>
  </si>
  <si>
    <t>Reembolso de Gastos Gravados</t>
  </si>
  <si>
    <t>Reembolso de Gastos Exentos</t>
  </si>
  <si>
    <t>Remuneración Auditor Interno</t>
  </si>
  <si>
    <t>Remuneración Gerente de Adm. Y Operaciones</t>
  </si>
  <si>
    <t>Remuneración Oficial de Cumplimiento</t>
  </si>
  <si>
    <t>Remuneración Gerente de Mesa de Dinero</t>
  </si>
  <si>
    <t>Remuneración Gerente de Finanzas Corporativas</t>
  </si>
  <si>
    <t xml:space="preserve">Fondo de Garantía - Gs </t>
  </si>
  <si>
    <t xml:space="preserve">Fondo de Garantía - USD </t>
  </si>
  <si>
    <t>5.t) Patrimonio</t>
  </si>
  <si>
    <t>La composición del Patrimonio es el siguiente:</t>
  </si>
  <si>
    <t>5.u) Previsiones</t>
  </si>
  <si>
    <t>5.v) Ingresos Operativos</t>
  </si>
  <si>
    <t>5.v.1 - Ingresos por operaciones y servicios extrabursátiles</t>
  </si>
  <si>
    <t>5.v.2 - Otros ingresos operativos</t>
  </si>
  <si>
    <t>5.w) Otros gastos operativos, de comercialización y de administración</t>
  </si>
  <si>
    <t>5.x) Otros ingresos y egresos</t>
  </si>
  <si>
    <t>5.y) Resultados financieros</t>
  </si>
  <si>
    <t>5.z) Resultados extraordinarios</t>
  </si>
  <si>
    <t>Aportes no capitalizados</t>
  </si>
  <si>
    <t>Reservas</t>
  </si>
  <si>
    <t>Saldo al Inicio del Ejercicio G.</t>
  </si>
  <si>
    <t>Disminución</t>
  </si>
  <si>
    <t>Saldo al Cierre del Ejercicio G.</t>
  </si>
  <si>
    <t>Nota 5.v.1</t>
  </si>
  <si>
    <t>Nota 5.v.2</t>
  </si>
  <si>
    <t>Diferencia de Precio (-) Operaciones Bonos</t>
  </si>
  <si>
    <t>Diferencia de Precio (-) Operaciones CDA</t>
  </si>
  <si>
    <t>A la fecha de la emisión de los presentes estados financieros, no existen otros asuntos relevantes que mencionar.</t>
  </si>
  <si>
    <t>Mirtha Trociuk</t>
  </si>
  <si>
    <t>Guillermo Céspedes</t>
  </si>
  <si>
    <r>
      <t>5. AUDITOR EXTERNO INDEPENDIENTE</t>
    </r>
    <r>
      <rPr>
        <sz val="10"/>
        <color rgb="FF000000"/>
        <rFont val="Arial Narrow"/>
        <family val="2"/>
      </rPr>
      <t xml:space="preserve"> </t>
    </r>
  </si>
  <si>
    <r>
      <t>5.2) Número de Inscripción en el Registro de la CNV:</t>
    </r>
    <r>
      <rPr>
        <sz val="10"/>
        <color rgb="FF000000"/>
        <rFont val="Arial Narrow"/>
        <family val="2"/>
      </rPr>
      <t xml:space="preserve"> AE 021</t>
    </r>
  </si>
  <si>
    <r>
      <t>(*) Sociedad controlante:</t>
    </r>
    <r>
      <rPr>
        <sz val="10"/>
        <color theme="1"/>
        <rFont val="Arial Narrow"/>
        <family val="2"/>
      </rPr>
      <t xml:space="preserve"> Banco Regional S.A.E.C.A. </t>
    </r>
  </si>
  <si>
    <r>
      <t>Domicilio legal:</t>
    </r>
    <r>
      <rPr>
        <sz val="10"/>
        <color theme="1"/>
        <rFont val="Arial Narrow"/>
        <family val="2"/>
      </rPr>
      <t xml:space="preserve"> Carlos Antonio López N° 1348 entre Arq. Tomás Romero Pereira y 14 de mayo.</t>
    </r>
  </si>
  <si>
    <r>
      <t>Actividad principal:</t>
    </r>
    <r>
      <rPr>
        <sz val="10"/>
        <color theme="1"/>
        <rFont val="Arial Narrow"/>
        <family val="2"/>
      </rPr>
      <t xml:space="preserve"> Institución financiera.</t>
    </r>
  </si>
  <si>
    <r>
      <t>(**) Sociedad Controlada :</t>
    </r>
    <r>
      <rPr>
        <sz val="10"/>
        <color theme="1"/>
        <rFont val="Arial Narrow"/>
        <family val="2"/>
      </rPr>
      <t xml:space="preserve"> Regional Administradora de Fondos Patrimoniales de Inversión S.A. </t>
    </r>
  </si>
  <si>
    <r>
      <t>Domicilio legal:</t>
    </r>
    <r>
      <rPr>
        <sz val="10"/>
        <color theme="1"/>
        <rFont val="Arial Narrow"/>
        <family val="2"/>
      </rPr>
      <t xml:space="preserve"> Calle Papa Juan XXIII esq. Cecilio Da Silva número N° 1533</t>
    </r>
  </si>
  <si>
    <r>
      <t>Actividad principal:</t>
    </r>
    <r>
      <rPr>
        <sz val="10"/>
        <color theme="1"/>
        <rFont val="Arial Narrow"/>
        <family val="2"/>
      </rPr>
      <t xml:space="preserve"> Administradora de Fondos</t>
    </r>
  </si>
  <si>
    <t>Nota 5.o</t>
  </si>
  <si>
    <t>Nota 5.t</t>
  </si>
  <si>
    <t>Nota 5.i</t>
  </si>
  <si>
    <t>Nota 5.g</t>
  </si>
  <si>
    <t xml:space="preserve">Al 31 de diciembre de 2021, el capital social asciende a Gs. 30.000.000.000, representado por 30.000 acciones de clase Nominativa Ordinaria de Gs. 1.000.000 cada una. En asamblea extraordinaria de fecha 26 de abril de 2021, en el segundo orden del día resuelve: </t>
  </si>
  <si>
    <t>10.001 al 25.000</t>
  </si>
  <si>
    <t>Gerente de Adm. y Operaciones</t>
  </si>
  <si>
    <t>ACCIONISTA</t>
  </si>
  <si>
    <t>Adquisición Activo Fijo</t>
  </si>
  <si>
    <t>Alquiler Anual Inmueble</t>
  </si>
  <si>
    <t>Reembolso Cupones Cobrados BNF</t>
  </si>
  <si>
    <t>Al 31 de diciembre de 2021 y 31 de Diciembre de 2020, contamos con una poliza de caución renovada en fecha 11/11/2021, con vigencia desde el 15/11/2021 al 14/11/2022, por un monto de Gs.572.331.000 (guaraníes quinientos setenta y dos millones trescientos treinta y un mil), según póliza N° 1514000999. De acuerdo con lo previsto en la Resolución CNV CG N° 30/2021.</t>
  </si>
  <si>
    <t>Los saldos al 31 de diciembre de 2020 que se exponen en forma comparativa, incluyen ciertas reclasificaciones de exposición a los efectos de su presentación comparativa uniforme con los del presente ejercicio.</t>
  </si>
  <si>
    <t>Los estados contables (Balance General, Estado de Resultados, Estado de Flujo de Efectivo y Estado de Variación del Patrimonio Neto) correspondientes al 31 de diciembre de 2021 serán considerados y aprobados por el Directorio de la Sociedad en Asamblea.</t>
  </si>
  <si>
    <t>RESULTADO DEL EJERCICIO (+) Utilidad (-) Pérdida</t>
  </si>
  <si>
    <t>Intereses en cartera - Títulos de renta fija en Reporto</t>
  </si>
  <si>
    <t>Intereses en cartera -Títulos de renta fija en Reporto</t>
  </si>
  <si>
    <t>Revaluación de Acciones - BVPASA</t>
  </si>
  <si>
    <t xml:space="preserve">el "Aumento del Capital Social y la modificación del Art. 5 de los Estatutos Sociales". </t>
  </si>
  <si>
    <t>IDENTIFICACIÓN DE LOS ACCIONISTAS - BANCO REGIONAL S.A.E.C.A.</t>
  </si>
  <si>
    <t>% PARTICIPACIÓN</t>
  </si>
  <si>
    <t>OBSERVACIÓN</t>
  </si>
  <si>
    <t>Accionistas Locales</t>
  </si>
  <si>
    <t>Individualmente, no llegan al 10% de participación.</t>
  </si>
  <si>
    <t>Rabo Partnerships</t>
  </si>
  <si>
    <t>Constituido por Sociedades Cooperativas, que a su vez la componen personas físicas quienes individualmente representan un voto en cada asamblea. (El detalle de cada socio no se encuentra disponible)</t>
  </si>
  <si>
    <t>Hugo Alberto Valinoti López</t>
  </si>
  <si>
    <t>María Teresa González Fretes</t>
  </si>
  <si>
    <t>Las depreciaciones son computadas a partir del año siguiente de incorporación al patrimonio de la Sociedad, mediante cargos a resultados sobre la base del sistema lineal, en los años estimados de vida útil, tal como se menciona en la Nota 3.4.</t>
  </si>
  <si>
    <t>Los activos y pasivos en moneda extranjera se valúan a los tipos de cambio vigentes a la fecha de cierre del periodo. Ver Nota 5.a.</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</si>
  <si>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</si>
  <si>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La composición de la cartera de Inversiones temporarias al 31 de diciembre de 2021, las cuales se hallan valuadas conforme al criterio expuesto en la Nota 3.2 b. fueron las siguientes:</t>
  </si>
  <si>
    <t>La Sociedad no cuenta con garantías otorgadas que impliquen activos comprometidos a la fecha de cierre de los estados financieros a excepción de lo mencionado en la Nota 8.</t>
  </si>
  <si>
    <t>La Entidad no cuenta con ninguna limitación a libre disposición de los activos o de patrimonio y cualquier restricción al derecho de la propiedad a excepción de los títulos de deuda que conforman la cartera de operaciones en reporto (Ver Nota 5.e.1).</t>
  </si>
  <si>
    <t>Entre la fecha de cierre de los presentes estados financieros, no han ocurrido otros hechos significativos de carácter financiero o de otra índole que afecten la situación patrimonial o financiera o los resultados de la Sociedad al 31 de diciembre de 2021.</t>
  </si>
  <si>
    <r>
      <t>Participación</t>
    </r>
    <r>
      <rPr>
        <sz val="10"/>
        <color theme="1"/>
        <rFont val="Arial Narrow"/>
        <family val="2"/>
      </rPr>
      <t>: 99,996% de participación en el capital y en votos.</t>
    </r>
  </si>
  <si>
    <t>Capitalización de Utilidades 2019 / 2020</t>
  </si>
  <si>
    <t xml:space="preserve">En Asamblea Ordinaria de fecha Nº 3 de fecha 29 de junio de 2020, la asamblea resuelve en el segundo punto del día " Capitalizar el importe de Gs. 615.000.000 (Guaraníes seiscientos quince mil millones) correspondiente a las utilidades del ejercicio 2019" previa deducción de las reservas legal y especiales. </t>
  </si>
  <si>
    <t>En Asamblea Ordinaria de fecha Nº 5 de fecha 26 de abril de 2021, la asamblea resuelve en el cuarto punto del día "Capitalizar el importe de Gs. 1.945.000.000 (Guaraníes Un mil millones novecientos cincuenta mil millones) correspondiente  a las utilidades del ejercicio 2020" previa deducción de las reservas legal y especiales. .</t>
  </si>
  <si>
    <r>
      <t xml:space="preserve">5.1) Auditor Externo Independiente designado:  </t>
    </r>
    <r>
      <rPr>
        <sz val="10"/>
        <color rgb="FF000000"/>
        <rFont val="Arial Narrow"/>
        <family val="2"/>
      </rPr>
      <t>Deloitte Paraguay S.R.L.</t>
    </r>
  </si>
  <si>
    <t>Diferencias de cambio - neto</t>
  </si>
  <si>
    <t>Rubro</t>
  </si>
  <si>
    <t>3.8) Cuentas de orden</t>
  </si>
  <si>
    <t>Se registran las cuentas que controlan las operaciones relacionadas con los negocios de administración y manejo de recursos de terceros que por su naturaleza no constituyen derechos u obligaciones ciertas a la fecha de presentación de los Estados Financieros.</t>
  </si>
  <si>
    <t>Edgar Martinez</t>
  </si>
  <si>
    <t>Deloitte Paraguay SRL</t>
  </si>
  <si>
    <t>Registro CNV N°  AE 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</si>
</sst>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_(* #,##0_);_(* \(#,##0\);_(* \-??_);_(@_)"/>
    <numFmt numFmtId="179" formatCode="dd/mm/yyyy;@"/>
    <numFmt numFmtId="180" formatCode="_-* #,##0_-;\-* #,##0_-;_-* &quot;-&quot;??_-;_-@_-"/>
    <numFmt numFmtId="181" formatCode="_-* #,##0\ _€_-;\-* #,##0\ _€_-;_-* &quot;-&quot;\ _€_-;_-@_-"/>
    <numFmt numFmtId="182" formatCode="_-* #,##0.00\ _p_t_a_-;\-* #,##0.00\ _p_t_a_-;_-* &quot;-&quot;??\ _p_t_a_-;_-@_-"/>
    <numFmt numFmtId="183" formatCode="_-* #,##0.0000\ _€_-;\-* #,##0.0000\ _€_-;_-* &quot;-&quot;??\ _€_-;_-@_-"/>
    <numFmt numFmtId="184" formatCode="0_ ;\-0\ "/>
    <numFmt numFmtId="185" formatCode="0.0000%"/>
    <numFmt numFmtId="186" formatCode="#,##0.00_ ;\-#,##0.00\ "/>
    <numFmt numFmtId="187" formatCode="0.000%"/>
  </numFmts>
  <fonts count="140">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b/>
      <sz val="12"/>
      <name val="Times New Roman"/>
      <family val="1"/>
    </font>
    <font>
      <sz val="10"/>
      <name val="Arial"/>
      <family val="2"/>
    </font>
    <font>
      <sz val="10"/>
      <name val="Nimbus Sans L"/>
    </font>
    <font>
      <sz val="11"/>
      <name val="Times New Roman"/>
      <family val="1"/>
    </font>
    <font>
      <b/>
      <sz val="10"/>
      <color indexed="8"/>
      <name val="Arial"/>
      <family val="2"/>
    </font>
    <font>
      <b/>
      <sz val="10"/>
      <name val="Arial"/>
      <family val="2"/>
    </font>
    <font>
      <sz val="8"/>
      <name val="Arial"/>
      <family val="2"/>
    </font>
    <font>
      <b/>
      <sz val="8"/>
      <name val="Arial"/>
      <family val="2"/>
    </font>
    <font>
      <sz val="9"/>
      <name val="Arial"/>
      <family val="2"/>
    </font>
    <font>
      <sz val="12"/>
      <name val="Times New Roman"/>
      <family val="1"/>
    </font>
    <font>
      <sz val="10"/>
      <color theme="1"/>
      <name val="Arial"/>
      <family val="2"/>
    </font>
    <font>
      <b/>
      <sz val="10"/>
      <color theme="1"/>
      <name val="Arial"/>
      <family val="2"/>
    </font>
    <font>
      <sz val="9"/>
      <color theme="1"/>
      <name val="Arial"/>
      <family val="2"/>
    </font>
    <font>
      <b/>
      <sz val="9"/>
      <color theme="1"/>
      <name val="Arial"/>
      <family val="2"/>
    </font>
    <font>
      <i/>
      <sz val="8"/>
      <color theme="1"/>
      <name val="Arial"/>
      <family val="2"/>
    </font>
    <font>
      <sz val="10"/>
      <name val="Arial"/>
      <family val="2"/>
    </font>
    <font>
      <b/>
      <sz val="8"/>
      <color rgb="FFFF0000"/>
      <name val="Arial"/>
      <family val="2"/>
    </font>
    <font>
      <b/>
      <sz val="8"/>
      <color theme="0"/>
      <name val="Arial"/>
      <family val="2"/>
    </font>
    <font>
      <sz val="10"/>
      <color indexed="8"/>
      <name val="Arial"/>
      <family val="2"/>
    </font>
    <font>
      <b/>
      <u/>
      <sz val="10"/>
      <color indexed="8"/>
      <name val="Arial"/>
      <family val="2"/>
    </font>
    <font>
      <sz val="18"/>
      <color theme="3"/>
      <name val="Calibri Light"/>
      <family val="2"/>
      <scheme val="major"/>
    </font>
    <font>
      <u/>
      <sz val="11"/>
      <color theme="10"/>
      <name val="Calibri"/>
      <family val="2"/>
      <scheme val="minor"/>
    </font>
    <font>
      <u/>
      <sz val="10"/>
      <name val="Arial"/>
      <family val="2"/>
    </font>
    <font>
      <sz val="11"/>
      <color indexed="8"/>
      <name val="Calibri"/>
      <family val="2"/>
    </font>
    <font>
      <sz val="10"/>
      <name val="Times New Roman"/>
      <family val="1"/>
    </font>
    <font>
      <sz val="11"/>
      <color rgb="FF000000"/>
      <name val="Calibri"/>
      <family val="2"/>
    </font>
    <font>
      <sz val="8"/>
      <color indexed="8"/>
      <name val="Arial"/>
      <family val="2"/>
    </font>
    <font>
      <b/>
      <u/>
      <sz val="12"/>
      <name val="Times New Roman"/>
      <family val="1"/>
    </font>
    <font>
      <sz val="10"/>
      <name val="Arial"/>
      <family val="2"/>
    </font>
    <font>
      <b/>
      <i/>
      <sz val="10"/>
      <color indexed="8"/>
      <name val="Arial"/>
      <family val="2"/>
    </font>
    <font>
      <b/>
      <sz val="12"/>
      <color indexed="8"/>
      <name val="Arial"/>
      <family val="2"/>
    </font>
    <font>
      <b/>
      <u/>
      <sz val="12"/>
      <color indexed="8"/>
      <name val="Arial"/>
      <family val="2"/>
    </font>
    <font>
      <b/>
      <sz val="9"/>
      <color theme="0"/>
      <name val="Arial"/>
      <family val="2"/>
    </font>
    <font>
      <sz val="11"/>
      <color theme="1"/>
      <name val="Arial"/>
      <family val="2"/>
    </font>
    <font>
      <b/>
      <sz val="11"/>
      <color theme="1"/>
      <name val="Arial"/>
      <family val="2"/>
    </font>
    <font>
      <sz val="11"/>
      <name val="Arial"/>
      <family val="2"/>
    </font>
    <font>
      <b/>
      <sz val="11"/>
      <name val="Arial"/>
      <family val="2"/>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Arial Narrow"/>
      <family val="2"/>
    </font>
    <font>
      <sz val="10"/>
      <name val="Arial Narrow"/>
      <family val="2"/>
    </font>
    <font>
      <sz val="10"/>
      <color theme="1"/>
      <name val="Arial Narrow"/>
      <family val="2"/>
    </font>
    <font>
      <b/>
      <sz val="10"/>
      <color theme="1"/>
      <name val="Arial Narrow"/>
      <family val="2"/>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11"/>
      <color theme="1"/>
      <name val="Arial Narrow"/>
      <family val="2"/>
    </font>
    <font>
      <b/>
      <sz val="14"/>
      <color theme="0"/>
      <name val="Arial Narrow"/>
      <family val="2"/>
    </font>
    <font>
      <b/>
      <sz val="14"/>
      <name val="Arial Narrow"/>
      <family val="2"/>
    </font>
    <font>
      <b/>
      <sz val="15"/>
      <name val="Arial Narrow"/>
      <family val="2"/>
    </font>
    <font>
      <b/>
      <sz val="12"/>
      <color theme="1"/>
      <name val="Arial Narrow"/>
      <family val="2"/>
    </font>
    <font>
      <sz val="12"/>
      <color theme="1"/>
      <name val="Arial Narrow"/>
      <family val="2"/>
    </font>
    <font>
      <b/>
      <sz val="12"/>
      <name val="Arial Narrow"/>
      <family val="2"/>
    </font>
    <font>
      <b/>
      <sz val="11"/>
      <name val="Arial Narrow"/>
      <family val="2"/>
    </font>
    <font>
      <i/>
      <sz val="12"/>
      <name val="Arial Narrow"/>
      <family val="2"/>
    </font>
    <font>
      <sz val="12"/>
      <name val="Arial Narrow"/>
      <family val="2"/>
    </font>
    <font>
      <sz val="11"/>
      <name val="Arial Narrow"/>
      <family val="2"/>
    </font>
    <font>
      <sz val="8"/>
      <name val="Arial Narrow"/>
      <family val="2"/>
    </font>
    <font>
      <sz val="15"/>
      <name val="Arial Narrow"/>
      <family val="2"/>
    </font>
    <font>
      <u/>
      <sz val="10"/>
      <color theme="10"/>
      <name val="Arial Narrow"/>
      <family val="2"/>
    </font>
    <font>
      <sz val="14"/>
      <color theme="0"/>
      <name val="Arial Narrow"/>
      <family val="2"/>
    </font>
    <font>
      <sz val="14"/>
      <color rgb="FFFF0000"/>
      <name val="Arial Narrow"/>
      <family val="2"/>
    </font>
    <font>
      <sz val="14"/>
      <name val="Arial Narrow"/>
      <family val="2"/>
    </font>
    <font>
      <b/>
      <sz val="14"/>
      <color rgb="FFFF0000"/>
      <name val="Arial Narrow"/>
      <family val="2"/>
    </font>
    <font>
      <b/>
      <sz val="13"/>
      <name val="Arial Narrow"/>
      <family val="2"/>
    </font>
    <font>
      <b/>
      <sz val="11"/>
      <color theme="1"/>
      <name val="Arial Narrow"/>
      <family val="2"/>
    </font>
    <font>
      <sz val="14"/>
      <color theme="1"/>
      <name val="Arial Narrow"/>
      <family val="2"/>
    </font>
    <font>
      <u/>
      <sz val="14"/>
      <color theme="10"/>
      <name val="Arial Narrow"/>
      <family val="2"/>
    </font>
    <font>
      <sz val="13"/>
      <color theme="1"/>
      <name val="Arial Narrow"/>
      <family val="2"/>
    </font>
    <font>
      <b/>
      <sz val="13"/>
      <color theme="1"/>
      <name val="Arial Narrow"/>
      <family val="2"/>
    </font>
    <font>
      <i/>
      <sz val="14"/>
      <name val="Arial Narrow"/>
      <family val="2"/>
    </font>
    <font>
      <u/>
      <sz val="14"/>
      <name val="Arial Narrow"/>
      <family val="2"/>
    </font>
    <font>
      <b/>
      <u/>
      <sz val="14"/>
      <color rgb="FFFF0000"/>
      <name val="Arial Narrow"/>
      <family val="2"/>
    </font>
    <font>
      <b/>
      <u/>
      <sz val="14"/>
      <name val="Arial Narrow"/>
      <family val="2"/>
    </font>
    <font>
      <sz val="13"/>
      <color rgb="FFFF0000"/>
      <name val="Arial Narrow"/>
      <family val="2"/>
    </font>
    <font>
      <u/>
      <sz val="13"/>
      <color theme="10"/>
      <name val="Arial Narrow"/>
      <family val="2"/>
    </font>
    <font>
      <sz val="13"/>
      <name val="Arial Narrow"/>
      <family val="2"/>
    </font>
    <font>
      <b/>
      <sz val="13"/>
      <color rgb="FFFF0000"/>
      <name val="Arial Narrow"/>
      <family val="2"/>
    </font>
    <font>
      <b/>
      <sz val="13"/>
      <color theme="0"/>
      <name val="Arial Narrow"/>
      <family val="2"/>
    </font>
    <font>
      <b/>
      <sz val="14"/>
      <color theme="1"/>
      <name val="Arial Narrow"/>
      <family val="2"/>
    </font>
    <font>
      <i/>
      <sz val="14"/>
      <color theme="1"/>
      <name val="Arial Narrow"/>
      <family val="2"/>
    </font>
    <font>
      <b/>
      <sz val="9"/>
      <color theme="0"/>
      <name val="Arial Narrow"/>
      <family val="2"/>
    </font>
    <font>
      <i/>
      <sz val="13"/>
      <color theme="1"/>
      <name val="Arial Narrow"/>
      <family val="2"/>
    </font>
    <font>
      <b/>
      <sz val="13"/>
      <color rgb="FF000000"/>
      <name val="Arial Narrow"/>
      <family val="2"/>
    </font>
    <font>
      <u/>
      <sz val="13"/>
      <color theme="1"/>
      <name val="Arial Narrow"/>
      <family val="2"/>
    </font>
    <font>
      <b/>
      <u/>
      <sz val="13"/>
      <color theme="1"/>
      <name val="Arial Narrow"/>
      <family val="2"/>
    </font>
    <font>
      <b/>
      <i/>
      <sz val="13"/>
      <color theme="4" tint="-0.499984740745262"/>
      <name val="Arial Narrow"/>
      <family val="2"/>
    </font>
    <font>
      <i/>
      <sz val="13"/>
      <color theme="4" tint="-0.249977111117893"/>
      <name val="Arial Narrow"/>
      <family val="2"/>
    </font>
    <font>
      <sz val="13"/>
      <color theme="0"/>
      <name val="Arial Narrow"/>
      <family val="2"/>
    </font>
    <font>
      <sz val="13"/>
      <color rgb="FF0000FF"/>
      <name val="Arial Narrow"/>
      <family val="2"/>
    </font>
    <font>
      <b/>
      <u/>
      <sz val="13"/>
      <name val="Arial Narrow"/>
      <family val="2"/>
    </font>
    <font>
      <sz val="13"/>
      <color rgb="FF00B050"/>
      <name val="Arial Narrow"/>
      <family val="2"/>
    </font>
    <font>
      <sz val="13"/>
      <color rgb="FF000000"/>
      <name val="Arial Narrow"/>
      <family val="2"/>
    </font>
    <font>
      <i/>
      <sz val="13"/>
      <color rgb="FF000000"/>
      <name val="Arial Narrow"/>
      <family val="2"/>
    </font>
    <font>
      <i/>
      <sz val="13"/>
      <name val="Arial Narrow"/>
      <family val="2"/>
    </font>
    <font>
      <b/>
      <sz val="13"/>
      <color rgb="FF0000FF"/>
      <name val="Arial Narrow"/>
      <family val="2"/>
    </font>
    <font>
      <b/>
      <u/>
      <sz val="11"/>
      <name val="Arial Narrow"/>
      <family val="2"/>
    </font>
    <font>
      <b/>
      <sz val="11"/>
      <color theme="0"/>
      <name val="Arial Narrow"/>
      <family val="2"/>
    </font>
    <font>
      <sz val="11"/>
      <color rgb="FF000000"/>
      <name val="Arial Narrow"/>
      <family val="2"/>
    </font>
    <font>
      <b/>
      <u/>
      <sz val="10"/>
      <color theme="1"/>
      <name val="Arial Narrow"/>
      <family val="2"/>
    </font>
    <font>
      <b/>
      <sz val="4"/>
      <color theme="1"/>
      <name val="Arial Narrow"/>
      <family val="2"/>
    </font>
    <font>
      <b/>
      <sz val="10"/>
      <color rgb="FF000000"/>
      <name val="Arial Narrow"/>
      <family val="2"/>
    </font>
    <font>
      <b/>
      <sz val="9"/>
      <color rgb="FF000000"/>
      <name val="Arial Narrow"/>
      <family val="2"/>
    </font>
    <font>
      <sz val="9"/>
      <color rgb="FF000000"/>
      <name val="Arial Narrow"/>
      <family val="2"/>
    </font>
    <font>
      <b/>
      <sz val="9"/>
      <color rgb="FFFFFFFF"/>
      <name val="Arial Narrow"/>
      <family val="2"/>
    </font>
    <font>
      <sz val="10"/>
      <color rgb="FF000000"/>
      <name val="Arial Narrow"/>
      <family val="2"/>
    </font>
    <font>
      <b/>
      <sz val="10"/>
      <color theme="0"/>
      <name val="Arial Narrow"/>
      <family val="2"/>
    </font>
    <font>
      <sz val="9"/>
      <name val="Arial Narrow"/>
      <family val="2"/>
    </font>
    <font>
      <sz val="11"/>
      <color rgb="FF00B050"/>
      <name val="Arial Narrow"/>
      <family val="2"/>
    </font>
    <font>
      <sz val="10"/>
      <color rgb="FF00B050"/>
      <name val="Arial Narrow"/>
      <family val="2"/>
    </font>
    <font>
      <b/>
      <sz val="11"/>
      <name val="Times New Roman"/>
      <family val="1"/>
    </font>
    <font>
      <sz val="12"/>
      <color theme="1"/>
      <name val="Times New Roman"/>
      <family val="1"/>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2060"/>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79998168889431442"/>
        <bgColor indexed="64"/>
      </patternFill>
    </fill>
    <fill>
      <patternFill patternType="solid">
        <fgColor rgb="FF000066"/>
        <bgColor indexed="64"/>
      </patternFill>
    </fill>
    <fill>
      <patternFill patternType="solid">
        <fgColor rgb="FFFFFF00"/>
        <bgColor indexed="64"/>
      </patternFill>
    </fill>
    <fill>
      <patternFill patternType="solid">
        <fgColor theme="4" tint="0.79998168889431442"/>
        <bgColor indexed="64"/>
      </patternFill>
    </fill>
    <fill>
      <gradientFill degree="90">
        <stop position="0">
          <color theme="0"/>
        </stop>
        <stop position="1">
          <color theme="4" tint="0.80001220740379042"/>
        </stop>
      </gradientFill>
    </fill>
    <fill>
      <patternFill patternType="solid">
        <fgColor rgb="FF66FFCC"/>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auto="1"/>
        <bgColor indexed="64"/>
      </patternFill>
    </fill>
    <fill>
      <gradientFill degree="270">
        <stop position="0">
          <color theme="0"/>
        </stop>
        <stop position="1">
          <color theme="4" tint="0.80001220740379042"/>
        </stop>
      </gradient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22">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19" fillId="0" borderId="0"/>
    <xf numFmtId="167" fontId="1" fillId="0" borderId="0" applyFont="0" applyFill="0" applyBorder="0" applyAlignment="0" applyProtection="0"/>
    <xf numFmtId="0" fontId="21" fillId="0" borderId="0"/>
    <xf numFmtId="0" fontId="21" fillId="0" borderId="0"/>
    <xf numFmtId="0" fontId="22" fillId="0" borderId="0"/>
    <xf numFmtId="0" fontId="21" fillId="0" borderId="0"/>
    <xf numFmtId="168"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35"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0" fontId="43"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169" fontId="1" fillId="0" borderId="0" applyFont="0" applyFill="0" applyBorder="0" applyAlignment="0" applyProtection="0"/>
    <xf numFmtId="9" fontId="21" fillId="0" borderId="0" applyFont="0" applyFill="0" applyBorder="0" applyAlignment="0" applyProtection="0"/>
    <xf numFmtId="0" fontId="1" fillId="0" borderId="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0" fontId="21" fillId="0" borderId="0"/>
    <xf numFmtId="0" fontId="1" fillId="0" borderId="0"/>
    <xf numFmtId="169" fontId="1" fillId="0" borderId="0" applyFont="0" applyFill="0" applyBorder="0" applyAlignment="0" applyProtection="0"/>
    <xf numFmtId="182" fontId="21" fillId="0" borderId="0" applyFont="0" applyFill="0" applyBorder="0" applyAlignment="0" applyProtection="0"/>
    <xf numFmtId="166" fontId="1" fillId="0" borderId="0" applyFont="0" applyFill="0" applyBorder="0" applyAlignment="0" applyProtection="0"/>
    <xf numFmtId="0" fontId="45" fillId="0" borderId="0"/>
    <xf numFmtId="0" fontId="21"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48"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4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21" fillId="0" borderId="0"/>
    <xf numFmtId="166" fontId="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cellStyleXfs>
  <cellXfs count="1022">
    <xf numFmtId="0" fontId="0" fillId="0" borderId="0" xfId="0"/>
    <xf numFmtId="0" fontId="26" fillId="0" borderId="0" xfId="0" applyFont="1" applyBorder="1"/>
    <xf numFmtId="0" fontId="26" fillId="0" borderId="0" xfId="0" applyFont="1"/>
    <xf numFmtId="0" fontId="27" fillId="34" borderId="22" xfId="0" applyFont="1" applyFill="1" applyBorder="1"/>
    <xf numFmtId="0" fontId="26" fillId="0" borderId="0" xfId="0" applyFont="1" applyAlignment="1">
      <alignment horizontal="right"/>
    </xf>
    <xf numFmtId="178" fontId="28" fillId="0" borderId="0" xfId="1" applyNumberFormat="1" applyFont="1"/>
    <xf numFmtId="178" fontId="28" fillId="0" borderId="0" xfId="0" applyNumberFormat="1" applyFont="1"/>
    <xf numFmtId="3" fontId="26" fillId="0" borderId="21" xfId="0" applyNumberFormat="1" applyFont="1" applyFill="1" applyBorder="1"/>
    <xf numFmtId="0" fontId="26" fillId="0" borderId="10" xfId="0" applyFont="1" applyFill="1" applyBorder="1" applyAlignment="1">
      <alignment horizontal="left" vertical="center"/>
    </xf>
    <xf numFmtId="0" fontId="27" fillId="0" borderId="10" xfId="0" applyFont="1" applyFill="1" applyBorder="1" applyAlignment="1">
      <alignment horizontal="left" vertical="center"/>
    </xf>
    <xf numFmtId="0" fontId="36" fillId="35" borderId="10" xfId="0" applyFont="1" applyFill="1" applyBorder="1"/>
    <xf numFmtId="14" fontId="37" fillId="41" borderId="10" xfId="0" applyNumberFormat="1" applyFont="1" applyFill="1" applyBorder="1" applyAlignment="1">
      <alignment horizontal="center" vertical="center" wrapText="1"/>
    </xf>
    <xf numFmtId="3" fontId="36" fillId="35" borderId="0" xfId="0" applyNumberFormat="1" applyFont="1" applyFill="1" applyBorder="1"/>
    <xf numFmtId="0" fontId="36" fillId="35" borderId="0" xfId="0" applyFont="1" applyFill="1" applyBorder="1"/>
    <xf numFmtId="0" fontId="36" fillId="35" borderId="0" xfId="0" applyFont="1" applyFill="1"/>
    <xf numFmtId="170" fontId="26" fillId="0" borderId="13" xfId="1" applyNumberFormat="1" applyFont="1" applyFill="1" applyBorder="1"/>
    <xf numFmtId="170" fontId="26" fillId="0" borderId="0" xfId="1" applyNumberFormat="1" applyFont="1" applyFill="1" applyBorder="1"/>
    <xf numFmtId="0" fontId="37" fillId="41" borderId="11" xfId="0" applyFont="1" applyFill="1" applyBorder="1" applyAlignment="1">
      <alignment horizontal="center" vertical="center" wrapText="1"/>
    </xf>
    <xf numFmtId="0" fontId="27" fillId="42" borderId="28" xfId="0" applyFont="1" applyFill="1" applyBorder="1" applyAlignment="1">
      <alignment horizontal="center" wrapText="1"/>
    </xf>
    <xf numFmtId="0" fontId="27" fillId="42" borderId="29" xfId="0" applyFont="1" applyFill="1" applyBorder="1" applyAlignment="1">
      <alignment horizontal="center" vertical="center" wrapText="1"/>
    </xf>
    <xf numFmtId="0" fontId="27" fillId="42" borderId="30"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9" xfId="0" applyFont="1" applyFill="1" applyBorder="1" applyAlignment="1">
      <alignment horizontal="center" vertical="center" wrapText="1"/>
    </xf>
    <xf numFmtId="0" fontId="27" fillId="34" borderId="30" xfId="0" applyFont="1" applyFill="1" applyBorder="1" applyAlignment="1">
      <alignment horizontal="center" vertical="center" wrapText="1"/>
    </xf>
    <xf numFmtId="170" fontId="26" fillId="0" borderId="14" xfId="1" applyNumberFormat="1" applyFont="1" applyFill="1" applyBorder="1"/>
    <xf numFmtId="0" fontId="26" fillId="0" borderId="10" xfId="0" applyFont="1" applyFill="1" applyBorder="1" applyAlignment="1">
      <alignment horizontal="left" vertical="center" wrapText="1"/>
    </xf>
    <xf numFmtId="165" fontId="27" fillId="0" borderId="10" xfId="51" applyFont="1" applyFill="1" applyBorder="1" applyAlignment="1">
      <alignment horizontal="center" vertical="center"/>
    </xf>
    <xf numFmtId="165" fontId="36" fillId="35" borderId="10" xfId="51" applyFont="1" applyFill="1" applyBorder="1"/>
    <xf numFmtId="165" fontId="27" fillId="34" borderId="22" xfId="51" applyFont="1" applyFill="1" applyBorder="1"/>
    <xf numFmtId="165" fontId="27" fillId="0" borderId="13" xfId="51" applyFont="1" applyFill="1" applyBorder="1"/>
    <xf numFmtId="165" fontId="27" fillId="0" borderId="21" xfId="51" applyFont="1" applyFill="1" applyBorder="1"/>
    <xf numFmtId="0" fontId="25" fillId="0" borderId="0" xfId="0" applyFont="1" applyAlignment="1"/>
    <xf numFmtId="0" fontId="32" fillId="0" borderId="0" xfId="0" applyFont="1" applyAlignment="1">
      <alignment vertical="center"/>
    </xf>
    <xf numFmtId="0" fontId="34" fillId="39" borderId="13" xfId="0" applyFont="1" applyFill="1" applyBorder="1" applyAlignment="1">
      <alignment vertical="center"/>
    </xf>
    <xf numFmtId="0" fontId="32" fillId="0" borderId="0" xfId="0" applyFont="1" applyAlignment="1">
      <alignment horizontal="left" vertical="center"/>
    </xf>
    <xf numFmtId="0" fontId="32" fillId="0" borderId="0" xfId="0" applyFont="1" applyAlignment="1">
      <alignment horizontal="center" vertical="center"/>
    </xf>
    <xf numFmtId="169" fontId="32" fillId="0" borderId="0" xfId="1" applyFont="1" applyAlignment="1">
      <alignment vertical="center"/>
    </xf>
    <xf numFmtId="0" fontId="34" fillId="39" borderId="15" xfId="0" applyFont="1" applyFill="1" applyBorder="1" applyAlignment="1">
      <alignment vertical="center"/>
    </xf>
    <xf numFmtId="0" fontId="33" fillId="34" borderId="10" xfId="0" applyFont="1" applyFill="1" applyBorder="1" applyAlignment="1">
      <alignment horizontal="center" vertical="center"/>
    </xf>
    <xf numFmtId="169" fontId="33" fillId="34" borderId="10" xfId="1" applyFont="1" applyFill="1" applyBorder="1" applyAlignment="1">
      <alignment horizontal="center" vertical="center"/>
    </xf>
    <xf numFmtId="169" fontId="28" fillId="0" borderId="10" xfId="1" applyFont="1" applyFill="1" applyBorder="1" applyAlignment="1">
      <alignment vertical="center" wrapText="1"/>
    </xf>
    <xf numFmtId="0" fontId="32" fillId="0" borderId="10" xfId="0" applyFont="1" applyBorder="1" applyAlignment="1">
      <alignment horizontal="center" vertical="center"/>
    </xf>
    <xf numFmtId="174" fontId="32" fillId="0" borderId="10" xfId="0" applyNumberFormat="1" applyFont="1" applyBorder="1" applyAlignment="1">
      <alignment vertical="center"/>
    </xf>
    <xf numFmtId="3" fontId="32" fillId="0" borderId="0" xfId="0" applyNumberFormat="1" applyFont="1" applyAlignment="1">
      <alignment vertical="center"/>
    </xf>
    <xf numFmtId="0" fontId="33" fillId="0" borderId="0" xfId="0" applyFont="1" applyAlignment="1">
      <alignment horizontal="center" vertical="center"/>
    </xf>
    <xf numFmtId="165" fontId="32" fillId="0" borderId="0" xfId="51" applyFont="1" applyAlignment="1">
      <alignment vertical="center"/>
    </xf>
    <xf numFmtId="165" fontId="33" fillId="34" borderId="10" xfId="51" applyFont="1" applyFill="1" applyBorder="1" applyAlignment="1">
      <alignment horizontal="center" vertical="center"/>
    </xf>
    <xf numFmtId="165" fontId="28" fillId="0" borderId="10" xfId="51" applyFont="1" applyFill="1" applyBorder="1" applyAlignment="1">
      <alignment vertical="center" wrapText="1"/>
    </xf>
    <xf numFmtId="165" fontId="32" fillId="0" borderId="10" xfId="51" applyFont="1" applyBorder="1" applyAlignment="1">
      <alignment vertical="center"/>
    </xf>
    <xf numFmtId="165" fontId="31" fillId="0" borderId="0" xfId="51" applyFont="1" applyFill="1" applyAlignment="1">
      <alignment horizontal="center" vertical="center"/>
    </xf>
    <xf numFmtId="165" fontId="30" fillId="0" borderId="0" xfId="51" applyFont="1" applyAlignment="1">
      <alignment vertical="center"/>
    </xf>
    <xf numFmtId="165" fontId="38" fillId="0" borderId="0" xfId="51" applyFont="1" applyAlignment="1">
      <alignment horizontal="right" vertical="center"/>
    </xf>
    <xf numFmtId="165" fontId="21" fillId="0" borderId="0" xfId="51" applyFont="1" applyAlignment="1">
      <alignment vertical="center"/>
    </xf>
    <xf numFmtId="165" fontId="24" fillId="38" borderId="0" xfId="51" applyFont="1" applyFill="1" applyAlignment="1">
      <alignment horizontal="center" vertical="center" wrapText="1"/>
    </xf>
    <xf numFmtId="165" fontId="31" fillId="38" borderId="0" xfId="51" applyFont="1" applyFill="1" applyAlignment="1">
      <alignment horizontal="center" vertical="center" wrapText="1"/>
    </xf>
    <xf numFmtId="165" fontId="21" fillId="0" borderId="0" xfId="51" applyFont="1" applyAlignment="1">
      <alignment vertical="center" wrapText="1"/>
    </xf>
    <xf numFmtId="165" fontId="25" fillId="0" borderId="0" xfId="51" applyFont="1" applyAlignment="1">
      <alignment vertical="center"/>
    </xf>
    <xf numFmtId="165" fontId="42" fillId="0" borderId="0" xfId="51" applyFont="1" applyAlignment="1">
      <alignment vertical="center"/>
    </xf>
    <xf numFmtId="177" fontId="38" fillId="0" borderId="0" xfId="51" applyNumberFormat="1" applyFont="1" applyAlignment="1">
      <alignment horizontal="right" vertical="center"/>
    </xf>
    <xf numFmtId="177" fontId="38" fillId="0" borderId="0" xfId="51" applyNumberFormat="1" applyFont="1" applyFill="1" applyAlignment="1">
      <alignment horizontal="right" vertical="center"/>
    </xf>
    <xf numFmtId="49" fontId="38" fillId="0" borderId="0" xfId="0" applyNumberFormat="1" applyFont="1" applyAlignment="1">
      <alignment horizontal="left" vertical="top" wrapText="1"/>
    </xf>
    <xf numFmtId="3" fontId="26" fillId="0" borderId="0" xfId="0" applyNumberFormat="1" applyFont="1" applyFill="1" applyBorder="1"/>
    <xf numFmtId="3" fontId="38" fillId="0" borderId="0" xfId="0" applyNumberFormat="1" applyFont="1" applyAlignment="1">
      <alignment horizontal="right" vertical="top"/>
    </xf>
    <xf numFmtId="165" fontId="24" fillId="0" borderId="0" xfId="51" applyFont="1" applyAlignment="1">
      <alignment horizontal="center" vertical="center" wrapText="1"/>
    </xf>
    <xf numFmtId="0" fontId="37" fillId="41" borderId="10" xfId="0" applyFont="1" applyFill="1" applyBorder="1" applyAlignment="1">
      <alignment horizontal="center" vertical="center" wrapText="1"/>
    </xf>
    <xf numFmtId="165" fontId="38" fillId="0" borderId="0" xfId="51" applyFont="1" applyAlignment="1">
      <alignment vertical="center"/>
    </xf>
    <xf numFmtId="0" fontId="29" fillId="44" borderId="0" xfId="0" applyFont="1" applyFill="1" applyBorder="1"/>
    <xf numFmtId="0" fontId="20" fillId="44" borderId="0" xfId="0" applyFont="1" applyFill="1" applyBorder="1"/>
    <xf numFmtId="177" fontId="28" fillId="0" borderId="10" xfId="51" applyNumberFormat="1" applyFont="1" applyFill="1" applyBorder="1" applyAlignment="1">
      <alignment vertical="center" wrapText="1"/>
    </xf>
    <xf numFmtId="177" fontId="32" fillId="0" borderId="0" xfId="51" applyNumberFormat="1" applyFont="1" applyAlignment="1">
      <alignment vertical="center"/>
    </xf>
    <xf numFmtId="177" fontId="32" fillId="0" borderId="10" xfId="51" applyNumberFormat="1" applyFont="1" applyBorder="1" applyAlignment="1">
      <alignment vertical="center"/>
    </xf>
    <xf numFmtId="184" fontId="27" fillId="44" borderId="0" xfId="51" applyNumberFormat="1" applyFont="1" applyFill="1" applyAlignment="1">
      <alignment horizontal="center" vertical="center"/>
    </xf>
    <xf numFmtId="184" fontId="27" fillId="44" borderId="0" xfId="51" applyNumberFormat="1" applyFont="1" applyFill="1" applyAlignment="1">
      <alignment horizontal="center" vertical="center" wrapText="1"/>
    </xf>
    <xf numFmtId="184" fontId="21" fillId="44" borderId="0" xfId="51" applyNumberFormat="1" applyFont="1" applyFill="1" applyAlignment="1">
      <alignment horizontal="center" vertical="center"/>
    </xf>
    <xf numFmtId="184" fontId="25" fillId="44" borderId="0" xfId="51" applyNumberFormat="1" applyFont="1" applyFill="1" applyAlignment="1">
      <alignment horizontal="center" vertical="center"/>
    </xf>
    <xf numFmtId="184" fontId="30" fillId="44" borderId="0" xfId="51" applyNumberFormat="1" applyFont="1" applyFill="1" applyAlignment="1">
      <alignment horizontal="center" vertical="center"/>
    </xf>
    <xf numFmtId="165" fontId="38" fillId="0" borderId="0" xfId="51" applyFont="1" applyAlignment="1">
      <alignment horizontal="right" vertical="center" wrapText="1"/>
    </xf>
    <xf numFmtId="0" fontId="38" fillId="0" borderId="0" xfId="0" applyFont="1" applyAlignment="1">
      <alignment horizontal="left" vertical="top" wrapText="1" indent="2"/>
    </xf>
    <xf numFmtId="165" fontId="21" fillId="0" borderId="0" xfId="51" applyFont="1" applyAlignment="1">
      <alignment horizontal="left" vertical="center" indent="2"/>
    </xf>
    <xf numFmtId="3" fontId="38" fillId="46" borderId="0" xfId="0" applyNumberFormat="1" applyFont="1" applyFill="1" applyAlignment="1">
      <alignment horizontal="right" vertical="top"/>
    </xf>
    <xf numFmtId="0" fontId="53" fillId="0" borderId="0" xfId="0" applyFont="1"/>
    <xf numFmtId="0" fontId="53" fillId="0" borderId="0" xfId="0" applyFont="1" applyBorder="1"/>
    <xf numFmtId="170" fontId="53" fillId="0" borderId="0" xfId="1" applyNumberFormat="1" applyFont="1"/>
    <xf numFmtId="170" fontId="53" fillId="0" borderId="0" xfId="1" applyNumberFormat="1" applyFont="1" applyBorder="1"/>
    <xf numFmtId="0" fontId="53" fillId="0" borderId="21" xfId="0" applyFont="1" applyBorder="1"/>
    <xf numFmtId="3" fontId="53" fillId="0" borderId="21" xfId="0" applyNumberFormat="1" applyFont="1" applyBorder="1"/>
    <xf numFmtId="165" fontId="53" fillId="0" borderId="0" xfId="51" applyFont="1" applyBorder="1"/>
    <xf numFmtId="165" fontId="54" fillId="0" borderId="0" xfId="51" applyFont="1" applyBorder="1"/>
    <xf numFmtId="3" fontId="53" fillId="0" borderId="0" xfId="0" applyNumberFormat="1" applyFont="1"/>
    <xf numFmtId="0" fontId="53" fillId="0" borderId="0" xfId="0" applyFont="1" applyFill="1"/>
    <xf numFmtId="165" fontId="54" fillId="0" borderId="0" xfId="51" applyFont="1"/>
    <xf numFmtId="167" fontId="53" fillId="0" borderId="0" xfId="0" applyNumberFormat="1" applyFont="1"/>
    <xf numFmtId="165" fontId="26" fillId="0" borderId="10" xfId="51" applyFont="1" applyFill="1" applyBorder="1" applyAlignment="1">
      <alignment horizontal="center" vertical="center"/>
    </xf>
    <xf numFmtId="165" fontId="53" fillId="0" borderId="0" xfId="51" applyFont="1"/>
    <xf numFmtId="165" fontId="27" fillId="0" borderId="15" xfId="51"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0" fontId="46" fillId="0" borderId="0" xfId="0" applyFont="1" applyAlignment="1">
      <alignment horizontal="left" vertical="center"/>
    </xf>
    <xf numFmtId="0" fontId="46" fillId="0" borderId="10" xfId="0" applyFont="1" applyBorder="1" applyAlignment="1">
      <alignment horizontal="left" vertical="center"/>
    </xf>
    <xf numFmtId="0" fontId="27" fillId="0" borderId="0" xfId="0" applyFont="1" applyFill="1" applyBorder="1" applyAlignment="1">
      <alignment vertical="center"/>
    </xf>
    <xf numFmtId="0" fontId="27" fillId="0" borderId="0" xfId="0" applyFont="1" applyFill="1" applyAlignment="1">
      <alignment vertical="center"/>
    </xf>
    <xf numFmtId="3"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3" fontId="27" fillId="0" borderId="0" xfId="0" applyNumberFormat="1" applyFont="1" applyFill="1" applyBorder="1" applyAlignment="1">
      <alignment vertical="center"/>
    </xf>
    <xf numFmtId="3" fontId="26" fillId="0" borderId="10" xfId="0" applyNumberFormat="1" applyFont="1" applyFill="1" applyBorder="1" applyAlignment="1">
      <alignment horizontal="left" vertical="center"/>
    </xf>
    <xf numFmtId="0" fontId="27" fillId="36" borderId="31" xfId="0" applyFont="1" applyFill="1" applyBorder="1" applyAlignment="1">
      <alignment horizontal="center" vertical="center" wrapText="1"/>
    </xf>
    <xf numFmtId="0" fontId="27" fillId="36" borderId="32" xfId="0" applyFont="1" applyFill="1" applyBorder="1" applyAlignment="1">
      <alignment horizontal="center" vertical="center" wrapText="1"/>
    </xf>
    <xf numFmtId="0" fontId="27" fillId="36" borderId="33" xfId="0" applyFont="1" applyFill="1" applyBorder="1" applyAlignment="1">
      <alignment horizontal="center" vertical="center" wrapText="1"/>
    </xf>
    <xf numFmtId="0" fontId="0" fillId="0" borderId="0" xfId="0" applyFill="1"/>
    <xf numFmtId="0" fontId="0" fillId="0" borderId="0" xfId="0" applyFill="1" applyBorder="1"/>
    <xf numFmtId="0" fontId="57" fillId="0" borderId="0" xfId="0" applyFont="1" applyFill="1" applyBorder="1" applyAlignment="1">
      <alignment vertical="center"/>
    </xf>
    <xf numFmtId="0" fontId="58" fillId="0" borderId="0" xfId="0" applyFont="1" applyFill="1" applyBorder="1"/>
    <xf numFmtId="0" fontId="59" fillId="0" borderId="0" xfId="0" applyFont="1" applyFill="1" applyBorder="1" applyAlignment="1">
      <alignment vertical="center"/>
    </xf>
    <xf numFmtId="0" fontId="60" fillId="0" borderId="0" xfId="0" applyFont="1" applyFill="1" applyBorder="1"/>
    <xf numFmtId="0" fontId="60" fillId="0" borderId="0" xfId="0" applyFont="1" applyFill="1"/>
    <xf numFmtId="0" fontId="61" fillId="0" borderId="0" xfId="0" applyFont="1" applyFill="1" applyBorder="1" applyAlignment="1"/>
    <xf numFmtId="0" fontId="72" fillId="43" borderId="0" xfId="0" applyFont="1" applyFill="1" applyBorder="1" applyAlignment="1">
      <alignment vertical="center"/>
    </xf>
    <xf numFmtId="0" fontId="23" fillId="44" borderId="0" xfId="0" applyFont="1" applyFill="1" applyBorder="1"/>
    <xf numFmtId="0" fontId="66" fillId="44" borderId="0" xfId="0" applyFont="1" applyFill="1" applyBorder="1" applyAlignment="1">
      <alignment horizontal="center"/>
    </xf>
    <xf numFmtId="0" fontId="67" fillId="44" borderId="0" xfId="0" applyFont="1" applyFill="1"/>
    <xf numFmtId="0" fontId="67" fillId="44" borderId="0" xfId="0" applyFont="1" applyFill="1" applyBorder="1"/>
    <xf numFmtId="0" fontId="71" fillId="44" borderId="0" xfId="0" applyFont="1" applyFill="1" applyBorder="1"/>
    <xf numFmtId="0" fontId="69" fillId="44" borderId="0" xfId="59" applyFont="1" applyFill="1" applyBorder="1" applyAlignment="1">
      <alignment horizontal="center"/>
    </xf>
    <xf numFmtId="0" fontId="23" fillId="44" borderId="0" xfId="0" applyFont="1" applyFill="1" applyBorder="1" applyAlignment="1">
      <alignment horizontal="center"/>
    </xf>
    <xf numFmtId="0" fontId="69" fillId="44" borderId="0" xfId="59" quotePrefix="1" applyFont="1" applyFill="1" applyBorder="1" applyAlignment="1">
      <alignment horizontal="center"/>
    </xf>
    <xf numFmtId="0" fontId="68" fillId="44" borderId="0" xfId="0" applyFont="1" applyFill="1" applyBorder="1"/>
    <xf numFmtId="0" fontId="44" fillId="44" borderId="0" xfId="0" applyFont="1" applyFill="1" applyBorder="1" applyAlignment="1">
      <alignment horizontal="center"/>
    </xf>
    <xf numFmtId="0" fontId="47" fillId="44" borderId="0" xfId="0" applyFont="1" applyFill="1" applyBorder="1" applyAlignment="1">
      <alignment horizontal="center"/>
    </xf>
    <xf numFmtId="0" fontId="23" fillId="0" borderId="0" xfId="0" applyFont="1" applyFill="1" applyBorder="1"/>
    <xf numFmtId="0" fontId="67" fillId="0" borderId="0" xfId="0" applyFont="1" applyFill="1"/>
    <xf numFmtId="0" fontId="67" fillId="0" borderId="0" xfId="0" applyFont="1" applyFill="1" applyBorder="1"/>
    <xf numFmtId="0" fontId="29" fillId="0" borderId="0" xfId="0" applyFont="1" applyFill="1" applyBorder="1"/>
    <xf numFmtId="0" fontId="20" fillId="0" borderId="0" xfId="0" applyFont="1" applyFill="1" applyBorder="1"/>
    <xf numFmtId="0" fontId="69" fillId="0" borderId="0" xfId="59" applyFont="1" applyFill="1" applyBorder="1" applyAlignment="1">
      <alignment horizontal="center"/>
    </xf>
    <xf numFmtId="0" fontId="23" fillId="0" borderId="0" xfId="0" applyFont="1" applyFill="1" applyBorder="1" applyAlignment="1">
      <alignment horizontal="center"/>
    </xf>
    <xf numFmtId="0" fontId="68" fillId="0" borderId="0" xfId="0" applyFont="1" applyFill="1" applyBorder="1"/>
    <xf numFmtId="0" fontId="70" fillId="0" borderId="0" xfId="0" applyFont="1" applyFill="1" applyBorder="1" applyAlignment="1">
      <alignment horizontal="center"/>
    </xf>
    <xf numFmtId="177" fontId="21" fillId="0" borderId="0" xfId="51" applyNumberFormat="1" applyFont="1" applyAlignment="1">
      <alignment vertical="center"/>
    </xf>
    <xf numFmtId="0" fontId="21" fillId="0" borderId="0" xfId="321" applyAlignment="1">
      <alignment vertical="center"/>
    </xf>
    <xf numFmtId="165" fontId="21" fillId="0" borderId="0" xfId="321" applyNumberFormat="1" applyAlignment="1">
      <alignment vertical="center"/>
    </xf>
    <xf numFmtId="0" fontId="21" fillId="0" borderId="0" xfId="321" applyAlignment="1">
      <alignment horizontal="center" vertical="center"/>
    </xf>
    <xf numFmtId="0" fontId="24" fillId="38" borderId="0" xfId="321" applyFont="1" applyFill="1" applyAlignment="1">
      <alignment horizontal="center" vertical="center"/>
    </xf>
    <xf numFmtId="0" fontId="24" fillId="0" borderId="0" xfId="321" applyFont="1" applyAlignment="1">
      <alignment vertical="center"/>
    </xf>
    <xf numFmtId="0" fontId="24" fillId="0" borderId="0" xfId="321" applyFont="1" applyAlignment="1">
      <alignment horizontal="center" vertical="center"/>
    </xf>
    <xf numFmtId="0" fontId="49" fillId="0" borderId="0" xfId="321" applyFont="1" applyAlignment="1">
      <alignment vertical="center"/>
    </xf>
    <xf numFmtId="0" fontId="39" fillId="0" borderId="0" xfId="321" applyFont="1" applyAlignment="1">
      <alignment vertical="center"/>
    </xf>
    <xf numFmtId="0" fontId="51" fillId="0" borderId="0" xfId="321" applyFont="1" applyAlignment="1">
      <alignment horizontal="center" vertical="center"/>
    </xf>
    <xf numFmtId="0" fontId="50" fillId="0" borderId="0" xfId="321" applyFont="1" applyAlignment="1">
      <alignment vertical="center"/>
    </xf>
    <xf numFmtId="165" fontId="38" fillId="0" borderId="0" xfId="51" applyFont="1" applyFill="1" applyAlignment="1">
      <alignment vertical="center"/>
    </xf>
    <xf numFmtId="0" fontId="32" fillId="0" borderId="10" xfId="0" applyFont="1" applyBorder="1" applyAlignment="1">
      <alignment vertical="center"/>
    </xf>
    <xf numFmtId="165" fontId="28" fillId="47" borderId="10" xfId="51" applyFont="1" applyFill="1" applyBorder="1" applyAlignment="1">
      <alignment vertical="center" wrapText="1"/>
    </xf>
    <xf numFmtId="165" fontId="53" fillId="0" borderId="0" xfId="0" applyNumberFormat="1" applyFont="1" applyBorder="1"/>
    <xf numFmtId="165" fontId="53" fillId="0" borderId="0" xfId="0" applyNumberFormat="1" applyFont="1"/>
    <xf numFmtId="0" fontId="25" fillId="0" borderId="0" xfId="321" applyFont="1" applyAlignment="1">
      <alignment vertical="center"/>
    </xf>
    <xf numFmtId="0" fontId="38" fillId="0" borderId="0" xfId="321" applyNumberFormat="1" applyFont="1" applyAlignment="1">
      <alignment horizontal="left" vertical="center"/>
    </xf>
    <xf numFmtId="0" fontId="21" fillId="0" borderId="0" xfId="321" applyNumberFormat="1" applyAlignment="1">
      <alignment horizontal="left" vertical="center"/>
    </xf>
    <xf numFmtId="0" fontId="28" fillId="0" borderId="10" xfId="0" applyFont="1" applyFill="1" applyBorder="1" applyAlignment="1">
      <alignment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0" xfId="0" applyFont="1" applyFill="1" applyAlignment="1">
      <alignment vertical="center"/>
    </xf>
    <xf numFmtId="0" fontId="28" fillId="0" borderId="10" xfId="0" quotePrefix="1" applyFont="1" applyFill="1" applyBorder="1" applyAlignment="1">
      <alignment vertical="center"/>
    </xf>
    <xf numFmtId="0" fontId="28" fillId="47" borderId="10" xfId="0" applyFont="1" applyFill="1" applyBorder="1" applyAlignment="1">
      <alignment vertical="center"/>
    </xf>
    <xf numFmtId="0" fontId="28" fillId="47" borderId="10" xfId="0" applyFont="1" applyFill="1" applyBorder="1" applyAlignment="1">
      <alignment horizontal="left" vertical="center" wrapText="1"/>
    </xf>
    <xf numFmtId="0" fontId="28" fillId="47" borderId="10" xfId="0" applyFont="1" applyFill="1" applyBorder="1" applyAlignment="1">
      <alignment horizontal="center" vertical="center" wrapText="1"/>
    </xf>
    <xf numFmtId="169" fontId="28" fillId="47" borderId="10" xfId="1" applyFont="1" applyFill="1" applyBorder="1" applyAlignment="1">
      <alignment vertical="center" wrapText="1"/>
    </xf>
    <xf numFmtId="177" fontId="28" fillId="47" borderId="10" xfId="51" applyNumberFormat="1" applyFont="1" applyFill="1" applyBorder="1" applyAlignment="1">
      <alignment vertical="center" wrapText="1"/>
    </xf>
    <xf numFmtId="0" fontId="28" fillId="47" borderId="0" xfId="0" applyFont="1" applyFill="1" applyAlignment="1">
      <alignment vertical="center"/>
    </xf>
    <xf numFmtId="0" fontId="74" fillId="0" borderId="0" xfId="0" applyFont="1" applyFill="1"/>
    <xf numFmtId="0" fontId="76" fillId="0" borderId="0" xfId="0" applyFont="1" applyFill="1" applyBorder="1" applyAlignment="1">
      <alignment vertical="center"/>
    </xf>
    <xf numFmtId="0" fontId="21" fillId="44" borderId="0" xfId="51" applyNumberFormat="1" applyFont="1" applyFill="1" applyAlignment="1">
      <alignment horizontal="center" vertical="center"/>
    </xf>
    <xf numFmtId="165" fontId="26" fillId="49" borderId="10" xfId="51" applyFont="1" applyFill="1" applyBorder="1" applyAlignment="1">
      <alignment horizontal="center" vertical="center"/>
    </xf>
    <xf numFmtId="165" fontId="36" fillId="49" borderId="10" xfId="51" applyFont="1" applyFill="1" applyBorder="1"/>
    <xf numFmtId="0" fontId="79" fillId="0" borderId="0" xfId="0" applyFont="1" applyFill="1"/>
    <xf numFmtId="0" fontId="79" fillId="0" borderId="0" xfId="0" applyFont="1" applyAlignment="1">
      <alignment wrapText="1"/>
    </xf>
    <xf numFmtId="0" fontId="79" fillId="0" borderId="0" xfId="0" applyFont="1"/>
    <xf numFmtId="0" fontId="79" fillId="0" borderId="0" xfId="0" applyFont="1" applyAlignment="1">
      <alignment vertical="center"/>
    </xf>
    <xf numFmtId="0" fontId="75" fillId="48" borderId="0" xfId="0" applyFont="1" applyFill="1" applyBorder="1" applyAlignment="1">
      <alignment horizontal="centerContinuous" vertical="center"/>
    </xf>
    <xf numFmtId="0" fontId="83" fillId="0" borderId="0" xfId="0" applyFont="1" applyFill="1" applyBorder="1"/>
    <xf numFmtId="0" fontId="83" fillId="0" borderId="0" xfId="0" applyFont="1" applyFill="1"/>
    <xf numFmtId="0" fontId="85" fillId="0" borderId="0" xfId="0" applyFont="1" applyFill="1"/>
    <xf numFmtId="0" fontId="74" fillId="0" borderId="0" xfId="0" applyFont="1"/>
    <xf numFmtId="171" fontId="77" fillId="33" borderId="0" xfId="44" applyFont="1" applyFill="1" applyAlignment="1"/>
    <xf numFmtId="171" fontId="86" fillId="33" borderId="0" xfId="44" applyFont="1" applyFill="1" applyAlignment="1"/>
    <xf numFmtId="171" fontId="77" fillId="33" borderId="0" xfId="44" applyFont="1" applyFill="1" applyBorder="1" applyAlignment="1"/>
    <xf numFmtId="171" fontId="77" fillId="0" borderId="0" xfId="44" applyFont="1" applyFill="1" applyAlignment="1"/>
    <xf numFmtId="0" fontId="87" fillId="0" borderId="0" xfId="59" applyFont="1" applyAlignment="1">
      <alignment horizontal="center"/>
    </xf>
    <xf numFmtId="0" fontId="83" fillId="0" borderId="0" xfId="0" applyFont="1" applyAlignment="1">
      <alignment vertical="center"/>
    </xf>
    <xf numFmtId="0" fontId="85" fillId="0" borderId="0" xfId="0" applyFont="1" applyAlignment="1">
      <alignment vertical="center"/>
    </xf>
    <xf numFmtId="0" fontId="80" fillId="0" borderId="0" xfId="0" applyFont="1" applyFill="1" applyBorder="1" applyAlignment="1">
      <alignment vertical="center"/>
    </xf>
    <xf numFmtId="0" fontId="83" fillId="0" borderId="0" xfId="0" applyFont="1" applyFill="1" applyBorder="1" applyAlignment="1">
      <alignment vertical="center"/>
    </xf>
    <xf numFmtId="0" fontId="82" fillId="0" borderId="0" xfId="0" applyFont="1" applyAlignment="1">
      <alignment vertical="center"/>
    </xf>
    <xf numFmtId="0" fontId="82" fillId="0" borderId="0" xfId="0" applyFont="1" applyBorder="1" applyAlignment="1">
      <alignment vertical="center"/>
    </xf>
    <xf numFmtId="0" fontId="82" fillId="0" borderId="0" xfId="0" applyFont="1" applyFill="1" applyAlignment="1">
      <alignment vertical="center"/>
    </xf>
    <xf numFmtId="0" fontId="83" fillId="0" borderId="0" xfId="0" applyFont="1"/>
    <xf numFmtId="0" fontId="83" fillId="0" borderId="0" xfId="0" applyFont="1" applyBorder="1"/>
    <xf numFmtId="0" fontId="85" fillId="0" borderId="0" xfId="0" applyFont="1"/>
    <xf numFmtId="170" fontId="80" fillId="0" borderId="0" xfId="1" applyNumberFormat="1" applyFont="1" applyFill="1" applyBorder="1"/>
    <xf numFmtId="0" fontId="75" fillId="43" borderId="0" xfId="0" applyFont="1" applyFill="1" applyBorder="1" applyAlignment="1">
      <alignment horizontal="left" vertical="center" indent="1"/>
    </xf>
    <xf numFmtId="0" fontId="75" fillId="43" borderId="0" xfId="0" applyFont="1" applyFill="1" applyBorder="1" applyAlignment="1">
      <alignment horizontal="left" vertical="center"/>
    </xf>
    <xf numFmtId="170" fontId="83" fillId="0" borderId="0" xfId="0" applyNumberFormat="1" applyFont="1"/>
    <xf numFmtId="170" fontId="83" fillId="0" borderId="0" xfId="1" applyNumberFormat="1" applyFont="1"/>
    <xf numFmtId="165" fontId="83" fillId="0" borderId="0" xfId="51" applyFont="1"/>
    <xf numFmtId="174" fontId="83" fillId="0" borderId="0" xfId="0" applyNumberFormat="1" applyFont="1"/>
    <xf numFmtId="0" fontId="83" fillId="0" borderId="0" xfId="0" applyFont="1" applyAlignment="1">
      <alignment wrapText="1"/>
    </xf>
    <xf numFmtId="0" fontId="80" fillId="0" borderId="0" xfId="0" applyFont="1" applyAlignment="1">
      <alignment horizontal="center"/>
    </xf>
    <xf numFmtId="0" fontId="83" fillId="0" borderId="0" xfId="0" applyFont="1" applyAlignment="1">
      <alignment horizontal="center"/>
    </xf>
    <xf numFmtId="0" fontId="80" fillId="0" borderId="0" xfId="0" applyFont="1" applyBorder="1" applyAlignment="1">
      <alignment horizontal="right"/>
    </xf>
    <xf numFmtId="0" fontId="80" fillId="0" borderId="0" xfId="0" applyFont="1" applyFill="1" applyAlignment="1">
      <alignment horizontal="right"/>
    </xf>
    <xf numFmtId="0" fontId="88" fillId="43" borderId="0" xfId="0" applyFont="1" applyFill="1" applyBorder="1" applyAlignment="1">
      <alignment horizontal="center" vertical="center"/>
    </xf>
    <xf numFmtId="179" fontId="75" fillId="43" borderId="0" xfId="0" applyNumberFormat="1" applyFont="1" applyFill="1" applyBorder="1" applyAlignment="1">
      <alignment horizontal="center" vertical="center" wrapText="1"/>
    </xf>
    <xf numFmtId="170" fontId="76" fillId="0" borderId="0" xfId="1" applyNumberFormat="1" applyFont="1" applyFill="1" applyBorder="1"/>
    <xf numFmtId="0" fontId="76" fillId="44" borderId="0" xfId="0" applyFont="1" applyFill="1" applyBorder="1" applyAlignment="1">
      <alignment horizontal="left" indent="1"/>
    </xf>
    <xf numFmtId="0" fontId="89" fillId="44" borderId="0" xfId="0" applyFont="1" applyFill="1" applyBorder="1" applyAlignment="1">
      <alignment horizontal="left" indent="1"/>
    </xf>
    <xf numFmtId="0" fontId="90" fillId="44" borderId="0" xfId="0" applyFont="1" applyFill="1" applyBorder="1"/>
    <xf numFmtId="174" fontId="90" fillId="44" borderId="0" xfId="1" applyNumberFormat="1" applyFont="1" applyFill="1" applyBorder="1"/>
    <xf numFmtId="0" fontId="76" fillId="44" borderId="0" xfId="0" applyFont="1" applyFill="1" applyBorder="1" applyAlignment="1">
      <alignment horizontal="left" vertical="center" indent="1"/>
    </xf>
    <xf numFmtId="170" fontId="90" fillId="44" borderId="0" xfId="0" applyNumberFormat="1" applyFont="1" applyFill="1" applyBorder="1"/>
    <xf numFmtId="170" fontId="76" fillId="44" borderId="0" xfId="1" applyNumberFormat="1" applyFont="1" applyFill="1" applyBorder="1"/>
    <xf numFmtId="0" fontId="90" fillId="44" borderId="0" xfId="0" applyFont="1" applyFill="1" applyBorder="1" applyAlignment="1">
      <alignment horizontal="left" indent="1"/>
    </xf>
    <xf numFmtId="170" fontId="90" fillId="44" borderId="0" xfId="1" applyNumberFormat="1" applyFont="1" applyFill="1" applyBorder="1"/>
    <xf numFmtId="170" fontId="90" fillId="0" borderId="0" xfId="1" applyNumberFormat="1" applyFont="1" applyFill="1" applyBorder="1"/>
    <xf numFmtId="0" fontId="90" fillId="44" borderId="0" xfId="0" applyFont="1" applyFill="1" applyBorder="1" applyAlignment="1">
      <alignment horizontal="left" vertical="center" indent="1"/>
    </xf>
    <xf numFmtId="183" fontId="90" fillId="44" borderId="0" xfId="1" applyNumberFormat="1" applyFont="1" applyFill="1" applyBorder="1"/>
    <xf numFmtId="0" fontId="90" fillId="44" borderId="0" xfId="0" applyFont="1" applyFill="1"/>
    <xf numFmtId="0" fontId="89" fillId="44" borderId="0" xfId="0" applyFont="1" applyFill="1"/>
    <xf numFmtId="0" fontId="90" fillId="44" borderId="0" xfId="0" applyFont="1" applyFill="1" applyBorder="1" applyAlignment="1">
      <alignment horizontal="left" wrapText="1" indent="1"/>
    </xf>
    <xf numFmtId="0" fontId="76" fillId="44" borderId="0" xfId="0" applyFont="1" applyFill="1" applyBorder="1" applyAlignment="1">
      <alignment horizontal="left" vertical="center" wrapText="1" indent="1"/>
    </xf>
    <xf numFmtId="0" fontId="76" fillId="44" borderId="0" xfId="0" applyFont="1" applyFill="1" applyBorder="1"/>
    <xf numFmtId="174" fontId="90" fillId="44" borderId="0" xfId="0" applyNumberFormat="1" applyFont="1" applyFill="1" applyBorder="1"/>
    <xf numFmtId="0" fontId="90" fillId="0" borderId="0" xfId="0" applyFont="1"/>
    <xf numFmtId="3" fontId="90" fillId="0" borderId="0" xfId="0" applyNumberFormat="1" applyFont="1"/>
    <xf numFmtId="3" fontId="90" fillId="0" borderId="0" xfId="0" applyNumberFormat="1" applyFont="1" applyBorder="1"/>
    <xf numFmtId="3" fontId="90" fillId="0" borderId="0" xfId="0" applyNumberFormat="1" applyFont="1" applyFill="1"/>
    <xf numFmtId="0" fontId="90" fillId="0" borderId="0" xfId="0" applyFont="1" applyBorder="1"/>
    <xf numFmtId="0" fontId="90" fillId="0" borderId="0" xfId="0" applyFont="1" applyFill="1" applyAlignment="1">
      <alignment horizontal="left"/>
    </xf>
    <xf numFmtId="0" fontId="90" fillId="0" borderId="0" xfId="0" applyFont="1" applyFill="1" applyAlignment="1">
      <alignment horizontal="center"/>
    </xf>
    <xf numFmtId="0" fontId="90" fillId="0" borderId="0" xfId="0" applyFont="1" applyFill="1" applyBorder="1" applyAlignment="1">
      <alignment horizontal="center"/>
    </xf>
    <xf numFmtId="0" fontId="90" fillId="0" borderId="0" xfId="0" applyFont="1" applyFill="1"/>
    <xf numFmtId="0" fontId="75" fillId="43" borderId="0" xfId="0" applyFont="1" applyFill="1" applyBorder="1" applyAlignment="1">
      <alignment horizontal="center" vertical="center"/>
    </xf>
    <xf numFmtId="179" fontId="75" fillId="0" borderId="0" xfId="0" applyNumberFormat="1" applyFont="1" applyFill="1" applyBorder="1" applyAlignment="1">
      <alignment horizontal="center" vertical="center" wrapText="1"/>
    </xf>
    <xf numFmtId="175" fontId="90" fillId="44" borderId="0" xfId="1" applyNumberFormat="1" applyFont="1" applyFill="1" applyBorder="1"/>
    <xf numFmtId="165" fontId="90" fillId="44" borderId="0" xfId="51" applyFont="1" applyFill="1" applyBorder="1"/>
    <xf numFmtId="0" fontId="90" fillId="0" borderId="0" xfId="0" applyFont="1" applyAlignment="1">
      <alignment wrapText="1"/>
    </xf>
    <xf numFmtId="166" fontId="90" fillId="0" borderId="0" xfId="0" applyNumberFormat="1" applyFont="1"/>
    <xf numFmtId="166" fontId="90" fillId="0" borderId="0" xfId="0" applyNumberFormat="1" applyFont="1" applyBorder="1"/>
    <xf numFmtId="0" fontId="76" fillId="0" borderId="0" xfId="49" quotePrefix="1" applyFont="1" applyFill="1" applyAlignment="1"/>
    <xf numFmtId="0" fontId="90" fillId="0" borderId="0" xfId="49" quotePrefix="1" applyFont="1" applyFill="1" applyAlignment="1"/>
    <xf numFmtId="0" fontId="76" fillId="0" borderId="0" xfId="49" quotePrefix="1" applyFont="1" applyFill="1" applyBorder="1" applyAlignment="1"/>
    <xf numFmtId="0" fontId="76" fillId="0" borderId="0" xfId="49" quotePrefix="1" applyFont="1" applyFill="1" applyAlignment="1">
      <alignment horizontal="center"/>
    </xf>
    <xf numFmtId="0" fontId="90" fillId="0" borderId="0" xfId="49" quotePrefix="1" applyFont="1" applyFill="1" applyAlignment="1">
      <alignment horizontal="center"/>
    </xf>
    <xf numFmtId="0" fontId="76" fillId="0" borderId="0" xfId="0" applyFont="1" applyAlignment="1">
      <alignment horizontal="center"/>
    </xf>
    <xf numFmtId="0" fontId="76" fillId="0" borderId="0" xfId="49" quotePrefix="1" applyFont="1" applyFill="1" applyBorder="1" applyAlignment="1">
      <alignment horizontal="center"/>
    </xf>
    <xf numFmtId="0" fontId="90" fillId="0" borderId="0" xfId="49" quotePrefix="1" applyFont="1" applyFill="1" applyBorder="1" applyAlignment="1">
      <alignment horizontal="center"/>
    </xf>
    <xf numFmtId="0" fontId="92" fillId="0" borderId="0" xfId="0" applyFont="1" applyFill="1" applyBorder="1" applyAlignment="1">
      <alignment vertical="center"/>
    </xf>
    <xf numFmtId="0" fontId="79" fillId="0" borderId="0" xfId="0" applyFont="1" applyFill="1" applyBorder="1" applyAlignment="1">
      <alignment vertical="center"/>
    </xf>
    <xf numFmtId="0" fontId="78" fillId="0" borderId="0" xfId="0" applyFont="1" applyFill="1" applyBorder="1" applyAlignment="1">
      <alignment vertical="center"/>
    </xf>
    <xf numFmtId="0" fontId="79" fillId="0" borderId="0" xfId="0" applyFont="1" applyAlignment="1"/>
    <xf numFmtId="3" fontId="79" fillId="0" borderId="0" xfId="0" applyNumberFormat="1" applyFont="1" applyAlignment="1"/>
    <xf numFmtId="175" fontId="79" fillId="0" borderId="0" xfId="0" applyNumberFormat="1" applyFont="1" applyAlignment="1"/>
    <xf numFmtId="0" fontId="79" fillId="0" borderId="0" xfId="0" applyFont="1" applyFill="1" applyAlignment="1"/>
    <xf numFmtId="165" fontId="79" fillId="0" borderId="0" xfId="51" applyFont="1" applyFill="1" applyAlignment="1"/>
    <xf numFmtId="169" fontId="79" fillId="0" borderId="0" xfId="1" applyFont="1" applyFill="1" applyAlignment="1"/>
    <xf numFmtId="175" fontId="79" fillId="0" borderId="0" xfId="0" applyNumberFormat="1" applyFont="1" applyFill="1" applyAlignment="1"/>
    <xf numFmtId="165" fontId="79" fillId="0" borderId="0" xfId="0" applyNumberFormat="1" applyFont="1"/>
    <xf numFmtId="169" fontId="79" fillId="0" borderId="0" xfId="0" applyNumberFormat="1" applyFont="1"/>
    <xf numFmtId="0" fontId="94" fillId="0" borderId="0" xfId="0" applyFont="1" applyFill="1"/>
    <xf numFmtId="0" fontId="95" fillId="0" borderId="0" xfId="59" applyFont="1" applyAlignment="1">
      <alignment horizontal="center"/>
    </xf>
    <xf numFmtId="0" fontId="96" fillId="0" borderId="0" xfId="0" applyFont="1" applyFill="1"/>
    <xf numFmtId="0" fontId="90" fillId="0" borderId="0" xfId="0" applyFont="1" applyFill="1" applyBorder="1"/>
    <xf numFmtId="0" fontId="94" fillId="0" borderId="0" xfId="0" applyFont="1"/>
    <xf numFmtId="0" fontId="89" fillId="0" borderId="0" xfId="0" applyFont="1"/>
    <xf numFmtId="0" fontId="76" fillId="0" borderId="0" xfId="0" applyFont="1" applyAlignment="1">
      <alignment vertical="center"/>
    </xf>
    <xf numFmtId="0" fontId="98" fillId="0" borderId="0" xfId="0" applyFont="1" applyAlignment="1">
      <alignment horizontal="left" vertical="center" wrapText="1"/>
    </xf>
    <xf numFmtId="0" fontId="76" fillId="0" borderId="0" xfId="0" applyFont="1" applyAlignment="1">
      <alignment horizontal="left" vertical="center" wrapText="1"/>
    </xf>
    <xf numFmtId="165" fontId="76" fillId="0" borderId="0" xfId="51" applyFont="1" applyAlignment="1">
      <alignment horizontal="left" vertical="center" wrapText="1"/>
    </xf>
    <xf numFmtId="179" fontId="76" fillId="0" borderId="0" xfId="51" applyNumberFormat="1" applyFont="1" applyFill="1" applyBorder="1" applyAlignment="1">
      <alignment horizontal="center" vertical="center" wrapText="1"/>
    </xf>
    <xf numFmtId="0" fontId="91" fillId="0" borderId="0" xfId="0" applyFont="1" applyAlignment="1">
      <alignment horizontal="left" vertical="center" wrapText="1"/>
    </xf>
    <xf numFmtId="0" fontId="88" fillId="43" borderId="0" xfId="0" applyFont="1" applyFill="1" applyBorder="1"/>
    <xf numFmtId="179" fontId="75" fillId="43" borderId="0" xfId="51" applyNumberFormat="1" applyFont="1" applyFill="1" applyBorder="1" applyAlignment="1">
      <alignment horizontal="center" vertical="center" wrapText="1"/>
    </xf>
    <xf numFmtId="167" fontId="76" fillId="44" borderId="0" xfId="51" applyNumberFormat="1" applyFont="1" applyFill="1" applyBorder="1" applyAlignment="1">
      <alignment horizontal="center" vertical="center" wrapText="1"/>
    </xf>
    <xf numFmtId="0" fontId="76" fillId="44" borderId="0" xfId="0" applyFont="1" applyFill="1"/>
    <xf numFmtId="167" fontId="76" fillId="44" borderId="0" xfId="51" applyNumberFormat="1" applyFont="1" applyFill="1" applyBorder="1"/>
    <xf numFmtId="3" fontId="89" fillId="0" borderId="0" xfId="0" applyNumberFormat="1" applyFont="1"/>
    <xf numFmtId="0" fontId="99" fillId="44" borderId="0" xfId="0" applyFont="1" applyFill="1"/>
    <xf numFmtId="167" fontId="90" fillId="0" borderId="0" xfId="0" applyNumberFormat="1" applyFont="1"/>
    <xf numFmtId="49" fontId="90" fillId="44" borderId="0" xfId="0" applyNumberFormat="1" applyFont="1" applyFill="1"/>
    <xf numFmtId="167" fontId="90" fillId="44" borderId="0" xfId="51" applyNumberFormat="1" applyFont="1" applyFill="1" applyBorder="1"/>
    <xf numFmtId="0" fontId="91" fillId="44" borderId="0" xfId="0" applyFont="1" applyFill="1"/>
    <xf numFmtId="0" fontId="100" fillId="44" borderId="0" xfId="0" applyFont="1" applyFill="1"/>
    <xf numFmtId="0" fontId="101" fillId="44" borderId="0" xfId="0" applyFont="1" applyFill="1"/>
    <xf numFmtId="49" fontId="90" fillId="44" borderId="0" xfId="0" quotePrefix="1" applyNumberFormat="1" applyFont="1" applyFill="1"/>
    <xf numFmtId="0" fontId="89" fillId="44" borderId="0" xfId="0" quotePrefix="1" applyFont="1" applyFill="1"/>
    <xf numFmtId="0" fontId="90" fillId="44" borderId="0" xfId="0" quotePrefix="1" applyFont="1" applyFill="1"/>
    <xf numFmtId="170" fontId="90" fillId="0" borderId="0" xfId="1" applyNumberFormat="1" applyFont="1" applyBorder="1"/>
    <xf numFmtId="0" fontId="76" fillId="0" borderId="0" xfId="0" applyFont="1"/>
    <xf numFmtId="175" fontId="89" fillId="0" borderId="0" xfId="0" applyNumberFormat="1" applyFont="1"/>
    <xf numFmtId="167" fontId="89" fillId="0" borderId="0" xfId="0" applyNumberFormat="1" applyFont="1"/>
    <xf numFmtId="167" fontId="76" fillId="44" borderId="37" xfId="51" applyNumberFormat="1" applyFont="1" applyFill="1" applyBorder="1"/>
    <xf numFmtId="167" fontId="89" fillId="0" borderId="0" xfId="45" applyFont="1"/>
    <xf numFmtId="167" fontId="76" fillId="0" borderId="0" xfId="0" applyNumberFormat="1" applyFont="1"/>
    <xf numFmtId="0" fontId="98" fillId="0" borderId="0" xfId="0" applyFont="1"/>
    <xf numFmtId="165" fontId="90" fillId="0" borderId="0" xfId="51" applyFont="1" applyBorder="1"/>
    <xf numFmtId="165" fontId="90" fillId="0" borderId="0" xfId="51" applyFont="1"/>
    <xf numFmtId="0" fontId="89" fillId="0" borderId="0" xfId="0" applyFont="1" applyAlignment="1">
      <alignment wrapText="1"/>
    </xf>
    <xf numFmtId="0" fontId="90" fillId="0" borderId="0" xfId="0" applyFont="1" applyAlignment="1">
      <alignment vertical="center"/>
    </xf>
    <xf numFmtId="171" fontId="92" fillId="33" borderId="0" xfId="44" applyFont="1" applyFill="1"/>
    <xf numFmtId="165" fontId="92" fillId="33" borderId="0" xfId="51" applyFont="1" applyFill="1" applyAlignment="1"/>
    <xf numFmtId="0" fontId="102" fillId="0" borderId="0" xfId="0" applyFont="1"/>
    <xf numFmtId="0" fontId="103" fillId="0" borderId="0" xfId="59" applyFont="1" applyAlignment="1">
      <alignment horizontal="center"/>
    </xf>
    <xf numFmtId="0" fontId="92" fillId="0" borderId="0" xfId="0" applyFont="1" applyAlignment="1">
      <alignment horizontal="center" wrapText="1"/>
    </xf>
    <xf numFmtId="0" fontId="104" fillId="0" borderId="0" xfId="0" applyFont="1"/>
    <xf numFmtId="171" fontId="92" fillId="33" borderId="0" xfId="44" applyFont="1" applyFill="1" applyAlignment="1">
      <alignment horizontal="left"/>
    </xf>
    <xf numFmtId="165" fontId="92" fillId="33" borderId="0" xfId="51" applyFont="1" applyFill="1" applyAlignment="1">
      <alignment horizontal="left"/>
    </xf>
    <xf numFmtId="171" fontId="105" fillId="33" borderId="0" xfId="44" applyFont="1" applyFill="1" applyAlignment="1">
      <alignment horizontal="left"/>
    </xf>
    <xf numFmtId="0" fontId="92" fillId="0" borderId="0" xfId="0" applyFont="1" applyAlignment="1">
      <alignment vertical="center"/>
    </xf>
    <xf numFmtId="0" fontId="96" fillId="0" borderId="0" xfId="0" applyFont="1" applyAlignment="1">
      <alignment vertical="center"/>
    </xf>
    <xf numFmtId="0" fontId="106" fillId="43" borderId="38" xfId="0" applyFont="1" applyFill="1" applyBorder="1" applyAlignment="1">
      <alignment horizontal="center" vertical="center" wrapText="1"/>
    </xf>
    <xf numFmtId="179" fontId="106" fillId="43" borderId="38" xfId="0" applyNumberFormat="1" applyFont="1" applyFill="1" applyBorder="1" applyAlignment="1">
      <alignment horizontal="center" vertical="center" wrapText="1"/>
    </xf>
    <xf numFmtId="0" fontId="96" fillId="44" borderId="38" xfId="0" applyFont="1" applyFill="1" applyBorder="1" applyAlignment="1">
      <alignment horizontal="left" wrapText="1" indent="1"/>
    </xf>
    <xf numFmtId="167" fontId="96" fillId="44" borderId="38" xfId="51" applyNumberFormat="1" applyFont="1" applyFill="1" applyBorder="1" applyAlignment="1"/>
    <xf numFmtId="167" fontId="97" fillId="44" borderId="38" xfId="51" applyNumberFormat="1" applyFont="1" applyFill="1" applyBorder="1" applyAlignment="1"/>
    <xf numFmtId="165" fontId="97" fillId="44" borderId="38" xfId="51" applyNumberFormat="1" applyFont="1" applyFill="1" applyBorder="1" applyAlignment="1"/>
    <xf numFmtId="165" fontId="97" fillId="44" borderId="38" xfId="51" applyFont="1" applyFill="1" applyBorder="1" applyAlignment="1"/>
    <xf numFmtId="165" fontId="96" fillId="0" borderId="0" xfId="0" applyNumberFormat="1" applyFont="1" applyAlignment="1"/>
    <xf numFmtId="0" fontId="97" fillId="44" borderId="38" xfId="0" applyFont="1" applyFill="1" applyBorder="1" applyAlignment="1">
      <alignment horizontal="left" wrapText="1" indent="1"/>
    </xf>
    <xf numFmtId="175" fontId="96" fillId="0" borderId="0" xfId="0" applyNumberFormat="1" applyFont="1" applyAlignment="1"/>
    <xf numFmtId="49" fontId="96" fillId="44" borderId="38" xfId="0" applyNumberFormat="1" applyFont="1" applyFill="1" applyBorder="1" applyAlignment="1">
      <alignment horizontal="left" wrapText="1" indent="1"/>
    </xf>
    <xf numFmtId="170" fontId="96" fillId="0" borderId="0" xfId="1" applyNumberFormat="1" applyFont="1" applyFill="1" applyAlignment="1"/>
    <xf numFmtId="3" fontId="96" fillId="0" borderId="0" xfId="0" applyNumberFormat="1" applyFont="1" applyFill="1" applyAlignment="1"/>
    <xf numFmtId="165" fontId="96" fillId="0" borderId="0" xfId="51" applyFont="1" applyFill="1" applyAlignment="1"/>
    <xf numFmtId="0" fontId="96" fillId="0" borderId="0" xfId="0" applyFont="1" applyAlignment="1">
      <alignment wrapText="1"/>
    </xf>
    <xf numFmtId="0" fontId="96" fillId="0" borderId="0" xfId="0" applyFont="1"/>
    <xf numFmtId="165" fontId="96" fillId="0" borderId="0" xfId="0" applyNumberFormat="1" applyFont="1"/>
    <xf numFmtId="167" fontId="96" fillId="0" borderId="0" xfId="0" applyNumberFormat="1" applyFont="1"/>
    <xf numFmtId="0" fontId="107" fillId="0" borderId="0" xfId="0" applyFont="1" applyFill="1" applyAlignment="1">
      <alignment horizontal="center" wrapText="1"/>
    </xf>
    <xf numFmtId="0" fontId="94" fillId="0" borderId="0" xfId="0" applyFont="1" applyFill="1" applyAlignment="1">
      <alignment horizontal="center" wrapText="1"/>
    </xf>
    <xf numFmtId="171" fontId="76" fillId="0" borderId="0" xfId="44" applyNumberFormat="1" applyFont="1" applyFill="1" applyBorder="1" applyAlignment="1" applyProtection="1">
      <alignment horizontal="left"/>
    </xf>
    <xf numFmtId="0" fontId="94" fillId="0" borderId="0" xfId="0" applyFont="1" applyBorder="1" applyAlignment="1">
      <alignment horizontal="left" vertical="center"/>
    </xf>
    <xf numFmtId="0" fontId="94" fillId="0" borderId="0" xfId="0" applyFont="1" applyBorder="1" applyAlignment="1">
      <alignment vertical="center"/>
    </xf>
    <xf numFmtId="0" fontId="94" fillId="0" borderId="0" xfId="0" applyFont="1" applyAlignment="1">
      <alignment wrapText="1"/>
    </xf>
    <xf numFmtId="0" fontId="90" fillId="43" borderId="0" xfId="0" applyFont="1" applyFill="1" applyBorder="1"/>
    <xf numFmtId="170" fontId="107" fillId="44" borderId="0" xfId="1" applyNumberFormat="1" applyFont="1" applyFill="1" applyBorder="1" applyAlignment="1">
      <alignment wrapText="1"/>
    </xf>
    <xf numFmtId="170" fontId="94" fillId="44" borderId="0" xfId="1" applyNumberFormat="1" applyFont="1" applyFill="1" applyBorder="1"/>
    <xf numFmtId="0" fontId="94" fillId="44" borderId="0" xfId="0" applyFont="1" applyFill="1" applyBorder="1" applyAlignment="1">
      <alignment vertical="center" wrapText="1"/>
    </xf>
    <xf numFmtId="167" fontId="94" fillId="44" borderId="0" xfId="1" applyNumberFormat="1" applyFont="1" applyFill="1" applyBorder="1" applyAlignment="1">
      <alignment vertical="center"/>
    </xf>
    <xf numFmtId="0" fontId="94" fillId="0" borderId="0" xfId="0" applyFont="1" applyAlignment="1">
      <alignment vertical="center"/>
    </xf>
    <xf numFmtId="0" fontId="94" fillId="0" borderId="0" xfId="0" applyFont="1" applyFill="1" applyAlignment="1">
      <alignment vertical="center"/>
    </xf>
    <xf numFmtId="167" fontId="107" fillId="44" borderId="0" xfId="1" applyNumberFormat="1" applyFont="1" applyFill="1" applyBorder="1" applyAlignment="1">
      <alignment vertical="center"/>
    </xf>
    <xf numFmtId="0" fontId="107" fillId="44" borderId="0" xfId="0" applyFont="1" applyFill="1" applyBorder="1" applyAlignment="1">
      <alignment vertical="center" wrapText="1"/>
    </xf>
    <xf numFmtId="167" fontId="107" fillId="44" borderId="0" xfId="1" applyNumberFormat="1" applyFont="1" applyFill="1" applyBorder="1" applyAlignment="1">
      <alignment vertical="center" wrapText="1"/>
    </xf>
    <xf numFmtId="0" fontId="94" fillId="44" borderId="0" xfId="0" applyFont="1" applyFill="1" applyBorder="1" applyAlignment="1">
      <alignment horizontal="left" vertical="center" wrapText="1"/>
    </xf>
    <xf numFmtId="0" fontId="107" fillId="44" borderId="0" xfId="0" applyFont="1" applyFill="1" applyBorder="1" applyAlignment="1">
      <alignment vertical="center"/>
    </xf>
    <xf numFmtId="0" fontId="88" fillId="0" borderId="0" xfId="0" applyFont="1" applyAlignment="1">
      <alignment vertical="center"/>
    </xf>
    <xf numFmtId="0" fontId="88" fillId="0" borderId="0" xfId="0" applyFont="1" applyFill="1" applyAlignment="1">
      <alignment vertical="center"/>
    </xf>
    <xf numFmtId="167" fontId="107" fillId="44" borderId="0" xfId="45" applyFont="1" applyFill="1" applyBorder="1" applyAlignment="1">
      <alignment vertical="center"/>
    </xf>
    <xf numFmtId="175" fontId="90" fillId="0" borderId="0" xfId="0" applyNumberFormat="1" applyFont="1" applyAlignment="1">
      <alignment vertical="center"/>
    </xf>
    <xf numFmtId="0" fontId="108" fillId="0" borderId="0" xfId="0" applyFont="1" applyAlignment="1">
      <alignment vertical="center"/>
    </xf>
    <xf numFmtId="167" fontId="88" fillId="0" borderId="0" xfId="0" applyNumberFormat="1" applyFont="1" applyAlignment="1">
      <alignment vertical="center"/>
    </xf>
    <xf numFmtId="0" fontId="94" fillId="0" borderId="0" xfId="0" applyFont="1" applyFill="1" applyAlignment="1">
      <alignment horizontal="left"/>
    </xf>
    <xf numFmtId="0" fontId="94" fillId="0" borderId="0" xfId="0" applyFont="1" applyBorder="1" applyAlignment="1">
      <alignment wrapText="1"/>
    </xf>
    <xf numFmtId="0" fontId="94" fillId="0" borderId="0" xfId="0" applyFont="1" applyBorder="1"/>
    <xf numFmtId="0" fontId="88" fillId="0" borderId="0" xfId="0" applyFont="1"/>
    <xf numFmtId="0" fontId="88" fillId="0" borderId="0" xfId="0" applyFont="1" applyFill="1"/>
    <xf numFmtId="175" fontId="94" fillId="0" borderId="0" xfId="0" applyNumberFormat="1" applyFont="1"/>
    <xf numFmtId="175" fontId="94" fillId="0" borderId="0" xfId="0" applyNumberFormat="1" applyFont="1" applyBorder="1"/>
    <xf numFmtId="170" fontId="94" fillId="0" borderId="0" xfId="1" applyNumberFormat="1" applyFont="1"/>
    <xf numFmtId="172" fontId="94" fillId="0" borderId="0" xfId="0" applyNumberFormat="1" applyFont="1" applyFill="1" applyAlignment="1">
      <alignment vertical="center"/>
    </xf>
    <xf numFmtId="3" fontId="94" fillId="0" borderId="0" xfId="0" applyNumberFormat="1" applyFont="1" applyFill="1" applyAlignment="1">
      <alignment vertical="center"/>
    </xf>
    <xf numFmtId="167" fontId="94" fillId="0" borderId="0" xfId="0" applyNumberFormat="1" applyFont="1" applyFill="1" applyAlignment="1">
      <alignment vertical="center"/>
    </xf>
    <xf numFmtId="167" fontId="88" fillId="0" borderId="0" xfId="0" applyNumberFormat="1" applyFont="1" applyFill="1" applyAlignment="1">
      <alignment vertical="center"/>
    </xf>
    <xf numFmtId="0" fontId="109" fillId="43" borderId="10" xfId="0" applyFont="1" applyFill="1" applyBorder="1" applyAlignment="1">
      <alignment horizontal="center" vertical="center" wrapText="1"/>
    </xf>
    <xf numFmtId="165" fontId="94" fillId="0" borderId="0" xfId="51" applyFont="1"/>
    <xf numFmtId="0" fontId="94" fillId="0" borderId="0" xfId="0" applyFont="1" applyBorder="1" applyAlignment="1">
      <alignment horizontal="left" wrapText="1"/>
    </xf>
    <xf numFmtId="0" fontId="94" fillId="0" borderId="0" xfId="0" applyFont="1" applyAlignment="1">
      <alignment horizontal="left" wrapText="1"/>
    </xf>
    <xf numFmtId="165" fontId="94" fillId="0" borderId="0" xfId="51" applyFont="1" applyAlignment="1">
      <alignment horizontal="left" wrapText="1"/>
    </xf>
    <xf numFmtId="0" fontId="97" fillId="0" borderId="0" xfId="0" applyFont="1" applyBorder="1"/>
    <xf numFmtId="0" fontId="96" fillId="0" borderId="0" xfId="0" applyFont="1" applyBorder="1"/>
    <xf numFmtId="0" fontId="96" fillId="0" borderId="0" xfId="0" applyFont="1" applyAlignment="1">
      <alignment horizontal="left" wrapText="1"/>
    </xf>
    <xf numFmtId="0" fontId="96" fillId="0" borderId="0" xfId="0" applyFont="1" applyFill="1" applyBorder="1" applyAlignment="1">
      <alignment horizontal="left" vertical="center" wrapText="1"/>
    </xf>
    <xf numFmtId="0" fontId="111" fillId="0" borderId="0" xfId="0" applyFont="1" applyFill="1" applyBorder="1" applyAlignment="1">
      <alignment horizontal="left" vertical="center"/>
    </xf>
    <xf numFmtId="0" fontId="96" fillId="0" borderId="0" xfId="0" applyFont="1" applyBorder="1" applyAlignment="1">
      <alignment horizontal="left" wrapText="1"/>
    </xf>
    <xf numFmtId="0" fontId="106" fillId="43" borderId="10" xfId="0" applyFont="1" applyFill="1" applyBorder="1" applyAlignment="1">
      <alignment horizontal="center" vertical="center" wrapText="1"/>
    </xf>
    <xf numFmtId="3" fontId="96" fillId="0" borderId="10" xfId="0" applyNumberFormat="1" applyFont="1" applyFill="1" applyBorder="1" applyAlignment="1">
      <alignment horizontal="center" vertical="center" wrapText="1"/>
    </xf>
    <xf numFmtId="10" fontId="96" fillId="0" borderId="10" xfId="0" applyNumberFormat="1" applyFont="1" applyBorder="1" applyAlignment="1">
      <alignment horizontal="center" vertical="center" wrapText="1"/>
    </xf>
    <xf numFmtId="0" fontId="96" fillId="0" borderId="10" xfId="0" applyFont="1" applyBorder="1" applyAlignment="1">
      <alignment horizontal="center" vertical="center" wrapText="1"/>
    </xf>
    <xf numFmtId="0" fontId="96" fillId="0" borderId="0" xfId="0" applyFont="1" applyBorder="1" applyAlignment="1">
      <alignment horizontal="left" vertical="center" wrapText="1"/>
    </xf>
    <xf numFmtId="0" fontId="97" fillId="0" borderId="0" xfId="0" applyFont="1" applyBorder="1" applyAlignment="1">
      <alignment vertical="center"/>
    </xf>
    <xf numFmtId="0" fontId="112" fillId="0" borderId="0" xfId="0" applyFont="1" applyBorder="1" applyAlignment="1">
      <alignment horizontal="left" vertical="center" indent="1"/>
    </xf>
    <xf numFmtId="0" fontId="97" fillId="0" borderId="0" xfId="0" applyFont="1" applyBorder="1" applyAlignment="1">
      <alignment horizontal="left" vertical="center" wrapText="1"/>
    </xf>
    <xf numFmtId="0" fontId="96" fillId="0" borderId="0" xfId="0" applyFont="1" applyBorder="1" applyAlignment="1">
      <alignment horizontal="left" vertical="center" wrapText="1" indent="1"/>
    </xf>
    <xf numFmtId="0" fontId="112" fillId="0" borderId="0" xfId="0" applyFont="1" applyFill="1" applyBorder="1" applyAlignment="1">
      <alignment horizontal="left" vertical="center" indent="1"/>
    </xf>
    <xf numFmtId="0" fontId="96" fillId="0" borderId="0" xfId="0" applyFont="1" applyFill="1" applyBorder="1" applyAlignment="1">
      <alignment horizontal="left" vertical="center" wrapText="1" indent="1"/>
    </xf>
    <xf numFmtId="0" fontId="96" fillId="0" borderId="0" xfId="0" applyFont="1" applyFill="1" applyBorder="1" applyAlignment="1">
      <alignment horizontal="left" wrapText="1"/>
    </xf>
    <xf numFmtId="0" fontId="97" fillId="0" borderId="0" xfId="0" applyFont="1" applyBorder="1" applyAlignment="1">
      <alignment horizontal="left" vertical="center"/>
    </xf>
    <xf numFmtId="0" fontId="104" fillId="0" borderId="0" xfId="49" applyFont="1" applyBorder="1"/>
    <xf numFmtId="0" fontId="104" fillId="0" borderId="0" xfId="49" applyFont="1"/>
    <xf numFmtId="0" fontId="92" fillId="0" borderId="0" xfId="49" applyFont="1"/>
    <xf numFmtId="179" fontId="104" fillId="0" borderId="0" xfId="49" applyNumberFormat="1" applyFont="1"/>
    <xf numFmtId="0" fontId="104" fillId="0" borderId="0" xfId="49" applyFont="1" applyBorder="1" applyAlignment="1">
      <alignment wrapText="1"/>
    </xf>
    <xf numFmtId="176" fontId="106" fillId="43" borderId="10" xfId="49" applyNumberFormat="1" applyFont="1" applyFill="1" applyBorder="1" applyAlignment="1">
      <alignment horizontal="center" wrapText="1"/>
    </xf>
    <xf numFmtId="179" fontId="106" fillId="43" borderId="10" xfId="49" applyNumberFormat="1" applyFont="1" applyFill="1" applyBorder="1" applyAlignment="1">
      <alignment horizontal="center" vertical="center" wrapText="1"/>
    </xf>
    <xf numFmtId="0" fontId="104" fillId="0" borderId="0" xfId="49" applyFont="1" applyAlignment="1">
      <alignment wrapText="1"/>
    </xf>
    <xf numFmtId="179" fontId="104" fillId="0" borderId="0" xfId="49" applyNumberFormat="1" applyFont="1" applyAlignment="1">
      <alignment wrapText="1"/>
    </xf>
    <xf numFmtId="0" fontId="104" fillId="0" borderId="0" xfId="49" applyFont="1" applyAlignment="1">
      <alignment horizontal="left"/>
    </xf>
    <xf numFmtId="0" fontId="114" fillId="0" borderId="0" xfId="0" applyFont="1"/>
    <xf numFmtId="0" fontId="104" fillId="0" borderId="0" xfId="49" applyFont="1" applyBorder="1" applyAlignment="1">
      <alignment horizontal="center" vertical="center" wrapText="1"/>
    </xf>
    <xf numFmtId="179" fontId="104" fillId="0" borderId="0" xfId="49" applyNumberFormat="1" applyFont="1" applyAlignment="1">
      <alignment horizontal="center" vertical="center" wrapText="1"/>
    </xf>
    <xf numFmtId="0" fontId="104" fillId="0" borderId="0" xfId="49" applyFont="1" applyAlignment="1">
      <alignment horizontal="center" vertical="center" wrapText="1"/>
    </xf>
    <xf numFmtId="179" fontId="106" fillId="43" borderId="10" xfId="0" applyNumberFormat="1" applyFont="1" applyFill="1" applyBorder="1" applyAlignment="1">
      <alignment horizontal="center" vertical="center" wrapText="1"/>
    </xf>
    <xf numFmtId="0" fontId="104" fillId="0" borderId="0" xfId="49" applyFont="1" applyFill="1" applyBorder="1"/>
    <xf numFmtId="0" fontId="104" fillId="0" borderId="0" xfId="49" applyFont="1" applyFill="1"/>
    <xf numFmtId="0" fontId="97" fillId="0" borderId="10" xfId="0" applyFont="1" applyFill="1" applyBorder="1" applyAlignment="1">
      <alignment vertical="center"/>
    </xf>
    <xf numFmtId="179" fontId="104" fillId="0" borderId="10" xfId="49" applyNumberFormat="1" applyFont="1" applyFill="1" applyBorder="1"/>
    <xf numFmtId="0" fontId="96" fillId="0" borderId="10" xfId="0" applyFont="1" applyFill="1" applyBorder="1" applyAlignment="1">
      <alignment horizontal="left" vertical="center" indent="1"/>
    </xf>
    <xf numFmtId="0" fontId="96" fillId="0" borderId="10" xfId="0" applyFont="1" applyFill="1" applyBorder="1" applyAlignment="1">
      <alignment horizontal="center" vertical="center"/>
    </xf>
    <xf numFmtId="172" fontId="96" fillId="0" borderId="10" xfId="0" applyNumberFormat="1" applyFont="1" applyFill="1" applyBorder="1" applyAlignment="1">
      <alignment horizontal="right" vertical="center"/>
    </xf>
    <xf numFmtId="177" fontId="96" fillId="0" borderId="10" xfId="51" applyNumberFormat="1" applyFont="1" applyFill="1" applyBorder="1" applyAlignment="1">
      <alignment horizontal="right" vertical="center"/>
    </xf>
    <xf numFmtId="167" fontId="96" fillId="0" borderId="10" xfId="0" applyNumberFormat="1" applyFont="1" applyFill="1" applyBorder="1" applyAlignment="1">
      <alignment horizontal="right" vertical="center"/>
    </xf>
    <xf numFmtId="3" fontId="104" fillId="0" borderId="0" xfId="49" applyNumberFormat="1" applyFont="1" applyFill="1"/>
    <xf numFmtId="172" fontId="97" fillId="0" borderId="10" xfId="0" applyNumberFormat="1" applyFont="1" applyFill="1" applyBorder="1" applyAlignment="1">
      <alignment vertical="center"/>
    </xf>
    <xf numFmtId="177" fontId="97" fillId="0" borderId="10" xfId="51" applyNumberFormat="1" applyFont="1" applyFill="1" applyBorder="1" applyAlignment="1">
      <alignment vertical="center"/>
    </xf>
    <xf numFmtId="179" fontId="104" fillId="0" borderId="0" xfId="49" applyNumberFormat="1" applyFont="1" applyFill="1"/>
    <xf numFmtId="0" fontId="97" fillId="44" borderId="10" xfId="0" applyFont="1" applyFill="1" applyBorder="1" applyAlignment="1">
      <alignment horizontal="left" vertical="center" indent="1"/>
    </xf>
    <xf numFmtId="0" fontId="96" fillId="44" borderId="10" xfId="0" applyFont="1" applyFill="1" applyBorder="1" applyAlignment="1">
      <alignment horizontal="center" vertical="center"/>
    </xf>
    <xf numFmtId="165" fontId="97" fillId="44" borderId="10" xfId="51" applyFont="1" applyFill="1" applyBorder="1" applyAlignment="1">
      <alignment horizontal="right" vertical="center"/>
    </xf>
    <xf numFmtId="0" fontId="97" fillId="0" borderId="10" xfId="0" applyFont="1" applyFill="1" applyBorder="1" applyAlignment="1">
      <alignment horizontal="center" vertical="center"/>
    </xf>
    <xf numFmtId="0" fontId="96" fillId="0" borderId="10" xfId="0" applyFont="1" applyFill="1" applyBorder="1" applyAlignment="1">
      <alignment horizontal="left" vertical="center" wrapText="1" indent="1"/>
    </xf>
    <xf numFmtId="167" fontId="97" fillId="0" borderId="10" xfId="0" applyNumberFormat="1" applyFont="1" applyFill="1" applyBorder="1" applyAlignment="1">
      <alignment horizontal="right" vertical="center"/>
    </xf>
    <xf numFmtId="0" fontId="97" fillId="0" borderId="10" xfId="0" applyFont="1" applyFill="1" applyBorder="1" applyAlignment="1">
      <alignment horizontal="right" vertical="center"/>
    </xf>
    <xf numFmtId="172" fontId="97" fillId="44" borderId="10" xfId="0" applyNumberFormat="1" applyFont="1" applyFill="1" applyBorder="1" applyAlignment="1">
      <alignment horizontal="right" vertical="center"/>
    </xf>
    <xf numFmtId="172" fontId="96" fillId="44" borderId="10" xfId="0" applyNumberFormat="1" applyFont="1" applyFill="1" applyBorder="1" applyAlignment="1">
      <alignment horizontal="right" vertical="center"/>
    </xf>
    <xf numFmtId="167" fontId="97" fillId="44" borderId="10" xfId="0" applyNumberFormat="1" applyFont="1" applyFill="1" applyBorder="1" applyAlignment="1">
      <alignment horizontal="right" vertical="center"/>
    </xf>
    <xf numFmtId="167" fontId="96" fillId="44" borderId="10" xfId="0" applyNumberFormat="1" applyFont="1" applyFill="1" applyBorder="1" applyAlignment="1">
      <alignment horizontal="right" vertical="center"/>
    </xf>
    <xf numFmtId="0" fontId="92" fillId="0" borderId="0" xfId="49" applyFont="1" applyBorder="1" applyAlignment="1">
      <alignment horizontal="center" vertical="center"/>
    </xf>
    <xf numFmtId="0" fontId="92" fillId="0" borderId="0" xfId="49" applyFont="1" applyAlignment="1">
      <alignment horizontal="center" vertical="center"/>
    </xf>
    <xf numFmtId="174" fontId="104" fillId="0" borderId="0" xfId="49" applyNumberFormat="1" applyFont="1"/>
    <xf numFmtId="0" fontId="96" fillId="0" borderId="10" xfId="0" applyFont="1" applyBorder="1" applyAlignment="1">
      <alignment vertical="center" wrapText="1"/>
    </xf>
    <xf numFmtId="3" fontId="96" fillId="0" borderId="10" xfId="0" applyNumberFormat="1" applyFont="1" applyFill="1" applyBorder="1" applyAlignment="1">
      <alignment horizontal="right" vertical="center"/>
    </xf>
    <xf numFmtId="3" fontId="96" fillId="0" borderId="10" xfId="0" applyNumberFormat="1" applyFont="1" applyBorder="1" applyAlignment="1">
      <alignment horizontal="right" vertical="center"/>
    </xf>
    <xf numFmtId="0" fontId="97" fillId="44" borderId="10" xfId="0" applyFont="1" applyFill="1" applyBorder="1" applyAlignment="1">
      <alignment vertical="center" wrapText="1"/>
    </xf>
    <xf numFmtId="3" fontId="97" fillId="44" borderId="10" xfId="0" applyNumberFormat="1" applyFont="1" applyFill="1" applyBorder="1" applyAlignment="1">
      <alignment horizontal="right" vertical="center"/>
    </xf>
    <xf numFmtId="3" fontId="104" fillId="0" borderId="0" xfId="49" applyNumberFormat="1" applyFont="1"/>
    <xf numFmtId="167" fontId="96" fillId="0" borderId="10" xfId="0" applyNumberFormat="1" applyFont="1" applyBorder="1" applyAlignment="1">
      <alignment horizontal="right" vertical="center"/>
    </xf>
    <xf numFmtId="167" fontId="104" fillId="0" borderId="0" xfId="49" applyNumberFormat="1" applyFont="1"/>
    <xf numFmtId="0" fontId="97" fillId="44" borderId="10" xfId="0" applyFont="1" applyFill="1" applyBorder="1" applyAlignment="1">
      <alignment vertical="center"/>
    </xf>
    <xf numFmtId="3" fontId="104" fillId="0" borderId="0" xfId="49" applyNumberFormat="1" applyFont="1" applyAlignment="1">
      <alignment horizontal="center" vertical="center"/>
    </xf>
    <xf numFmtId="0" fontId="115" fillId="0" borderId="0" xfId="49" applyFont="1" applyFill="1"/>
    <xf numFmtId="165" fontId="104" fillId="0" borderId="0" xfId="51" applyFont="1"/>
    <xf numFmtId="0" fontId="106" fillId="0" borderId="0" xfId="49" applyFont="1" applyFill="1"/>
    <xf numFmtId="0" fontId="116" fillId="0" borderId="0" xfId="49" applyFont="1" applyFill="1"/>
    <xf numFmtId="0" fontId="106" fillId="43" borderId="10" xfId="0" applyFont="1" applyFill="1" applyBorder="1" applyAlignment="1">
      <alignment horizontal="center" vertical="center"/>
    </xf>
    <xf numFmtId="0" fontId="117" fillId="0" borderId="0" xfId="0" applyFont="1" applyBorder="1"/>
    <xf numFmtId="0" fontId="104" fillId="0" borderId="10" xfId="49" applyFont="1" applyBorder="1"/>
    <xf numFmtId="165" fontId="104" fillId="0" borderId="10" xfId="51" applyFont="1" applyFill="1" applyBorder="1" applyAlignment="1">
      <alignment horizontal="left" indent="1"/>
    </xf>
    <xf numFmtId="0" fontId="97" fillId="44" borderId="10" xfId="0" applyFont="1" applyFill="1" applyBorder="1"/>
    <xf numFmtId="165" fontId="97" fillId="44" borderId="10" xfId="51" applyFont="1" applyFill="1" applyBorder="1" applyAlignment="1">
      <alignment horizontal="left" indent="1"/>
    </xf>
    <xf numFmtId="165" fontId="104" fillId="0" borderId="0" xfId="49" applyNumberFormat="1" applyFont="1"/>
    <xf numFmtId="175" fontId="102" fillId="0" borderId="0" xfId="49" applyNumberFormat="1" applyFont="1"/>
    <xf numFmtId="0" fontId="104" fillId="0" borderId="0" xfId="46" applyFont="1" applyBorder="1"/>
    <xf numFmtId="3" fontId="115" fillId="0" borderId="0" xfId="46" applyNumberFormat="1" applyFont="1"/>
    <xf numFmtId="0" fontId="104" fillId="0" borderId="0" xfId="46" applyFont="1"/>
    <xf numFmtId="179" fontId="104" fillId="0" borderId="0" xfId="46" applyNumberFormat="1" applyFont="1"/>
    <xf numFmtId="0" fontId="92" fillId="44" borderId="15" xfId="0" applyFont="1" applyFill="1" applyBorder="1" applyAlignment="1">
      <alignment vertical="center"/>
    </xf>
    <xf numFmtId="0" fontId="92" fillId="44" borderId="19" xfId="0" applyFont="1" applyFill="1" applyBorder="1" applyAlignment="1">
      <alignment vertical="center"/>
    </xf>
    <xf numFmtId="0" fontId="92" fillId="44" borderId="16" xfId="0" applyFont="1" applyFill="1" applyBorder="1" applyAlignment="1">
      <alignment vertical="center"/>
    </xf>
    <xf numFmtId="0" fontId="92" fillId="44" borderId="36" xfId="0" applyFont="1" applyFill="1" applyBorder="1" applyAlignment="1">
      <alignment vertical="center"/>
    </xf>
    <xf numFmtId="0" fontId="118" fillId="44" borderId="10" xfId="0" applyFont="1" applyFill="1" applyBorder="1" applyAlignment="1">
      <alignment vertical="center"/>
    </xf>
    <xf numFmtId="0" fontId="92" fillId="44" borderId="11" xfId="0" applyFont="1" applyFill="1" applyBorder="1" applyAlignment="1">
      <alignment vertical="center"/>
    </xf>
    <xf numFmtId="0" fontId="92" fillId="44" borderId="20" xfId="0" applyFont="1" applyFill="1" applyBorder="1" applyAlignment="1">
      <alignment vertical="center"/>
    </xf>
    <xf numFmtId="0" fontId="92" fillId="44" borderId="12" xfId="0" applyFont="1" applyFill="1" applyBorder="1" applyAlignment="1">
      <alignment vertical="center"/>
    </xf>
    <xf numFmtId="0" fontId="104" fillId="0" borderId="0" xfId="46" applyFont="1" applyFill="1" applyBorder="1"/>
    <xf numFmtId="0" fontId="104" fillId="0" borderId="14" xfId="0" applyFont="1" applyFill="1" applyBorder="1" applyAlignment="1">
      <alignment vertical="center"/>
    </xf>
    <xf numFmtId="0" fontId="96" fillId="0" borderId="14" xfId="0" applyFont="1" applyFill="1" applyBorder="1" applyAlignment="1">
      <alignment horizontal="center" vertical="center"/>
    </xf>
    <xf numFmtId="165" fontId="104" fillId="0" borderId="14" xfId="51" applyFont="1" applyFill="1" applyBorder="1" applyAlignment="1">
      <alignment horizontal="right" vertical="center" indent="1"/>
    </xf>
    <xf numFmtId="177" fontId="104" fillId="0" borderId="14" xfId="51" applyNumberFormat="1" applyFont="1" applyFill="1" applyBorder="1" applyAlignment="1">
      <alignment horizontal="right" vertical="center"/>
    </xf>
    <xf numFmtId="165" fontId="104" fillId="0" borderId="17" xfId="51" applyFont="1" applyFill="1" applyBorder="1"/>
    <xf numFmtId="165" fontId="104" fillId="0" borderId="14" xfId="51" applyFont="1" applyFill="1" applyBorder="1"/>
    <xf numFmtId="165" fontId="104" fillId="0" borderId="18" xfId="51" applyFont="1" applyFill="1" applyBorder="1"/>
    <xf numFmtId="0" fontId="104" fillId="0" borderId="0" xfId="46" applyFont="1" applyFill="1"/>
    <xf numFmtId="0" fontId="119" fillId="0" borderId="0" xfId="46" applyFont="1" applyFill="1"/>
    <xf numFmtId="0" fontId="120" fillId="0" borderId="14" xfId="0" applyFont="1" applyFill="1" applyBorder="1" applyAlignment="1">
      <alignment vertical="center"/>
    </xf>
    <xf numFmtId="165" fontId="96" fillId="0" borderId="14" xfId="51" applyFont="1" applyFill="1" applyBorder="1" applyAlignment="1">
      <alignment horizontal="right" vertical="center" indent="1"/>
    </xf>
    <xf numFmtId="3" fontId="104" fillId="0" borderId="0" xfId="46" applyNumberFormat="1" applyFont="1" applyFill="1"/>
    <xf numFmtId="165" fontId="120" fillId="0" borderId="14" xfId="51" applyFont="1" applyFill="1" applyBorder="1" applyAlignment="1">
      <alignment horizontal="right" vertical="center" indent="1"/>
    </xf>
    <xf numFmtId="165" fontId="96" fillId="0" borderId="14" xfId="51" applyFont="1" applyFill="1" applyBorder="1" applyAlignment="1">
      <alignment horizontal="right" vertical="center"/>
    </xf>
    <xf numFmtId="0" fontId="118" fillId="44" borderId="14" xfId="0" applyFont="1" applyFill="1" applyBorder="1" applyAlignment="1">
      <alignment vertical="center"/>
    </xf>
    <xf numFmtId="0" fontId="92" fillId="44" borderId="14" xfId="0" applyFont="1" applyFill="1" applyBorder="1" applyAlignment="1">
      <alignment vertical="center"/>
    </xf>
    <xf numFmtId="165" fontId="92" fillId="44" borderId="14" xfId="51" applyFont="1" applyFill="1" applyBorder="1" applyAlignment="1">
      <alignment vertical="center"/>
    </xf>
    <xf numFmtId="165" fontId="92" fillId="44" borderId="17" xfId="51" applyFont="1" applyFill="1" applyBorder="1" applyAlignment="1">
      <alignment vertical="center"/>
    </xf>
    <xf numFmtId="165" fontId="92" fillId="44" borderId="18" xfId="51" applyFont="1" applyFill="1" applyBorder="1" applyAlignment="1">
      <alignment vertical="center"/>
    </xf>
    <xf numFmtId="165" fontId="104" fillId="0" borderId="0" xfId="51" applyFont="1" applyFill="1"/>
    <xf numFmtId="165" fontId="104" fillId="0" borderId="19" xfId="51" applyFont="1" applyFill="1" applyBorder="1"/>
    <xf numFmtId="165" fontId="104" fillId="0" borderId="15" xfId="51" applyFont="1" applyFill="1" applyBorder="1"/>
    <xf numFmtId="165" fontId="104" fillId="0" borderId="36" xfId="51" applyFont="1" applyFill="1" applyBorder="1"/>
    <xf numFmtId="0" fontId="97" fillId="44" borderId="10" xfId="0" applyFont="1" applyFill="1" applyBorder="1" applyAlignment="1">
      <alignment horizontal="center" vertical="center"/>
    </xf>
    <xf numFmtId="0" fontId="97" fillId="44" borderId="10" xfId="0" applyFont="1" applyFill="1" applyBorder="1" applyAlignment="1">
      <alignment horizontal="right" vertical="center"/>
    </xf>
    <xf numFmtId="165" fontId="97" fillId="44" borderId="10" xfId="51" applyFont="1" applyFill="1" applyBorder="1" applyAlignment="1">
      <alignment horizontal="right" vertical="center" indent="1"/>
    </xf>
    <xf numFmtId="165" fontId="120" fillId="0" borderId="0" xfId="51" applyFont="1" applyFill="1" applyAlignment="1">
      <alignment horizontal="right" vertical="center"/>
    </xf>
    <xf numFmtId="165" fontId="104" fillId="0" borderId="0" xfId="46" applyNumberFormat="1" applyFont="1"/>
    <xf numFmtId="0" fontId="97" fillId="44" borderId="15" xfId="0" applyFont="1" applyFill="1" applyBorder="1" applyAlignment="1">
      <alignment vertical="center"/>
    </xf>
    <xf numFmtId="0" fontId="97" fillId="44" borderId="15" xfId="0" applyFont="1" applyFill="1" applyBorder="1" applyAlignment="1">
      <alignment horizontal="center" vertical="center"/>
    </xf>
    <xf numFmtId="0" fontId="97" fillId="44" borderId="15" xfId="0" applyFont="1" applyFill="1" applyBorder="1" applyAlignment="1">
      <alignment horizontal="right" vertical="center"/>
    </xf>
    <xf numFmtId="165" fontId="97" fillId="44" borderId="15" xfId="51" applyFont="1" applyFill="1" applyBorder="1" applyAlignment="1">
      <alignment horizontal="right" vertical="center" indent="1"/>
    </xf>
    <xf numFmtId="3" fontId="120" fillId="0" borderId="0" xfId="0" applyNumberFormat="1" applyFont="1" applyAlignment="1">
      <alignment horizontal="right" vertical="center"/>
    </xf>
    <xf numFmtId="179" fontId="120" fillId="0" borderId="0" xfId="0" applyNumberFormat="1" applyFont="1" applyAlignment="1">
      <alignment horizontal="right" vertical="center"/>
    </xf>
    <xf numFmtId="0" fontId="92" fillId="44" borderId="20" xfId="0" applyFont="1" applyFill="1" applyBorder="1" applyAlignment="1">
      <alignment horizontal="center" vertical="center"/>
    </xf>
    <xf numFmtId="0" fontId="92" fillId="44" borderId="20" xfId="0" applyFont="1" applyFill="1" applyBorder="1" applyAlignment="1">
      <alignment horizontal="center" vertical="center" wrapText="1"/>
    </xf>
    <xf numFmtId="0" fontId="104" fillId="44" borderId="12" xfId="46" applyFont="1" applyFill="1" applyBorder="1"/>
    <xf numFmtId="179" fontId="96" fillId="0" borderId="0" xfId="0" applyNumberFormat="1" applyFont="1" applyAlignment="1">
      <alignment vertical="center"/>
    </xf>
    <xf numFmtId="3" fontId="96" fillId="0" borderId="0" xfId="0" applyNumberFormat="1" applyFont="1" applyAlignment="1">
      <alignment vertical="center"/>
    </xf>
    <xf numFmtId="0" fontId="120" fillId="0" borderId="10" xfId="0" applyFont="1" applyBorder="1" applyAlignment="1">
      <alignment vertical="center"/>
    </xf>
    <xf numFmtId="0" fontId="96" fillId="0" borderId="10" xfId="0" applyFont="1" applyBorder="1" applyAlignment="1">
      <alignment horizontal="center" vertical="center"/>
    </xf>
    <xf numFmtId="0" fontId="96" fillId="0" borderId="10" xfId="0" applyFont="1" applyFill="1" applyBorder="1" applyAlignment="1">
      <alignment horizontal="right" vertical="center" indent="1"/>
    </xf>
    <xf numFmtId="165" fontId="96" fillId="0" borderId="11" xfId="51" applyFont="1" applyBorder="1" applyAlignment="1">
      <alignment horizontal="right" vertical="center"/>
    </xf>
    <xf numFmtId="165" fontId="120" fillId="0" borderId="10" xfId="51" applyFont="1" applyBorder="1" applyAlignment="1">
      <alignment horizontal="right" vertical="center"/>
    </xf>
    <xf numFmtId="165" fontId="104" fillId="0" borderId="10" xfId="51" applyFont="1" applyBorder="1"/>
    <xf numFmtId="3" fontId="104" fillId="0" borderId="0" xfId="46" applyNumberFormat="1" applyFont="1"/>
    <xf numFmtId="0" fontId="102" fillId="0" borderId="0" xfId="46" applyFont="1" applyFill="1"/>
    <xf numFmtId="3" fontId="96" fillId="0" borderId="10" xfId="0" applyNumberFormat="1" applyFont="1" applyFill="1" applyBorder="1" applyAlignment="1">
      <alignment horizontal="right" vertical="center" indent="1"/>
    </xf>
    <xf numFmtId="165" fontId="97" fillId="44" borderId="11" xfId="51" applyFont="1" applyFill="1" applyBorder="1" applyAlignment="1">
      <alignment horizontal="right" vertical="center"/>
    </xf>
    <xf numFmtId="165" fontId="97" fillId="44" borderId="11" xfId="51" applyFont="1" applyFill="1" applyBorder="1" applyAlignment="1">
      <alignment vertical="center"/>
    </xf>
    <xf numFmtId="0" fontId="96" fillId="0" borderId="0" xfId="0" applyFont="1" applyFill="1" applyAlignment="1">
      <alignment vertical="center"/>
    </xf>
    <xf numFmtId="0" fontId="104" fillId="0" borderId="10" xfId="0" applyFont="1" applyFill="1" applyBorder="1" applyAlignment="1">
      <alignment vertical="center"/>
    </xf>
    <xf numFmtId="165" fontId="104" fillId="0" borderId="10" xfId="51" applyFont="1" applyFill="1" applyBorder="1" applyAlignment="1">
      <alignment horizontal="right" vertical="center"/>
    </xf>
    <xf numFmtId="177" fontId="104" fillId="0" borderId="0" xfId="51" applyNumberFormat="1" applyFont="1"/>
    <xf numFmtId="166" fontId="104" fillId="0" borderId="0" xfId="46" applyNumberFormat="1" applyFont="1"/>
    <xf numFmtId="0" fontId="104" fillId="0" borderId="10" xfId="0" applyFont="1" applyFill="1" applyBorder="1" applyAlignment="1">
      <alignment horizontal="right" vertical="center"/>
    </xf>
    <xf numFmtId="165" fontId="92" fillId="0" borderId="10" xfId="51" applyFont="1" applyFill="1" applyBorder="1" applyAlignment="1">
      <alignment horizontal="right" vertical="center"/>
    </xf>
    <xf numFmtId="0" fontId="104" fillId="0" borderId="10" xfId="0" applyFont="1" applyFill="1" applyBorder="1" applyAlignment="1">
      <alignment horizontal="left" vertical="center"/>
    </xf>
    <xf numFmtId="165" fontId="104" fillId="0" borderId="10" xfId="51" applyFont="1" applyFill="1" applyBorder="1" applyAlignment="1">
      <alignment horizontal="center" vertical="center"/>
    </xf>
    <xf numFmtId="165" fontId="92" fillId="0" borderId="10" xfId="51" applyFont="1" applyFill="1" applyBorder="1" applyAlignment="1">
      <alignment vertical="center"/>
    </xf>
    <xf numFmtId="165" fontId="104" fillId="0" borderId="10" xfId="51" applyFont="1" applyFill="1" applyBorder="1" applyAlignment="1">
      <alignment vertical="center"/>
    </xf>
    <xf numFmtId="0" fontId="96" fillId="0" borderId="0" xfId="0" applyFont="1" applyFill="1" applyBorder="1" applyAlignment="1">
      <alignment horizontal="left" vertical="center"/>
    </xf>
    <xf numFmtId="179" fontId="106" fillId="43" borderId="10" xfId="0" applyNumberFormat="1" applyFont="1" applyFill="1" applyBorder="1" applyAlignment="1">
      <alignment horizontal="center" vertical="center"/>
    </xf>
    <xf numFmtId="14" fontId="106" fillId="43" borderId="10" xfId="0" applyNumberFormat="1" applyFont="1" applyFill="1" applyBorder="1" applyAlignment="1">
      <alignment horizontal="center" vertical="center"/>
    </xf>
    <xf numFmtId="0" fontId="111" fillId="0" borderId="10" xfId="0" applyFont="1" applyBorder="1" applyAlignment="1">
      <alignment vertical="center" wrapText="1"/>
    </xf>
    <xf numFmtId="0" fontId="111" fillId="0" borderId="10" xfId="0" applyFont="1" applyBorder="1" applyAlignment="1">
      <alignment horizontal="center" vertical="center"/>
    </xf>
    <xf numFmtId="0" fontId="120" fillId="0" borderId="10" xfId="0" applyFont="1" applyBorder="1" applyAlignment="1">
      <alignment vertical="center" wrapText="1"/>
    </xf>
    <xf numFmtId="0" fontId="111" fillId="40" borderId="10" xfId="0" applyFont="1" applyFill="1" applyBorder="1" applyAlignment="1">
      <alignment horizontal="left" vertical="center" wrapText="1"/>
    </xf>
    <xf numFmtId="165" fontId="111" fillId="0" borderId="10" xfId="51" applyFont="1" applyBorder="1" applyAlignment="1">
      <alignment horizontal="right" vertical="center"/>
    </xf>
    <xf numFmtId="0" fontId="105" fillId="0" borderId="0" xfId="46" applyFont="1"/>
    <xf numFmtId="167" fontId="104" fillId="0" borderId="0" xfId="46" applyNumberFormat="1" applyFont="1"/>
    <xf numFmtId="165" fontId="111" fillId="0" borderId="10" xfId="51" applyFont="1" applyFill="1" applyBorder="1" applyAlignment="1">
      <alignment horizontal="right" vertical="center"/>
    </xf>
    <xf numFmtId="3" fontId="102" fillId="0" borderId="0" xfId="46" applyNumberFormat="1" applyFont="1"/>
    <xf numFmtId="0" fontId="112" fillId="0" borderId="0" xfId="0" applyFont="1" applyAlignment="1">
      <alignment horizontal="justify" vertical="center"/>
    </xf>
    <xf numFmtId="165" fontId="96" fillId="0" borderId="10" xfId="0" applyNumberFormat="1" applyFont="1" applyBorder="1" applyAlignment="1">
      <alignment horizontal="right" vertical="center"/>
    </xf>
    <xf numFmtId="0" fontId="97" fillId="0" borderId="10" xfId="0" applyFont="1" applyBorder="1" applyAlignment="1">
      <alignment vertical="center"/>
    </xf>
    <xf numFmtId="165" fontId="97" fillId="0" borderId="10" xfId="0" applyNumberFormat="1" applyFont="1" applyBorder="1" applyAlignment="1">
      <alignment horizontal="right" vertical="center"/>
    </xf>
    <xf numFmtId="0" fontId="111" fillId="0" borderId="0" xfId="0" applyFont="1" applyAlignment="1">
      <alignment horizontal="left" vertical="center" wrapText="1"/>
    </xf>
    <xf numFmtId="167" fontId="111" fillId="0" borderId="0" xfId="45" applyFont="1" applyAlignment="1">
      <alignment vertical="center"/>
    </xf>
    <xf numFmtId="0" fontId="96" fillId="0" borderId="0" xfId="0" applyFont="1" applyAlignment="1">
      <alignment horizontal="justify" vertical="center"/>
    </xf>
    <xf numFmtId="0" fontId="96" fillId="0" borderId="0" xfId="0" applyFont="1" applyAlignment="1">
      <alignment horizontal="left" vertical="center"/>
    </xf>
    <xf numFmtId="0" fontId="112" fillId="0" borderId="0" xfId="0" applyFont="1"/>
    <xf numFmtId="0" fontId="120" fillId="0" borderId="0" xfId="0" applyFont="1" applyAlignment="1">
      <alignment horizontal="left" vertical="center"/>
    </xf>
    <xf numFmtId="165" fontId="96" fillId="0" borderId="10" xfId="51" applyFont="1" applyBorder="1" applyAlignment="1">
      <alignment horizontal="right" vertical="center"/>
    </xf>
    <xf numFmtId="165" fontId="97" fillId="0" borderId="10" xfId="51" applyFont="1" applyBorder="1" applyAlignment="1">
      <alignment horizontal="right" vertical="center"/>
    </xf>
    <xf numFmtId="0" fontId="111" fillId="0" borderId="0" xfId="0" applyFont="1" applyAlignment="1">
      <alignment vertical="center" wrapText="1"/>
    </xf>
    <xf numFmtId="0" fontId="111" fillId="0" borderId="0" xfId="0" applyFont="1" applyAlignment="1">
      <alignment horizontal="right" vertical="center"/>
    </xf>
    <xf numFmtId="0" fontId="92" fillId="0" borderId="0" xfId="49" applyFont="1" applyBorder="1" applyAlignment="1">
      <alignment horizontal="center" vertical="center" wrapText="1"/>
    </xf>
    <xf numFmtId="0" fontId="92" fillId="0" borderId="0" xfId="49" applyFont="1" applyAlignment="1">
      <alignment horizontal="center" vertical="center" wrapText="1"/>
    </xf>
    <xf numFmtId="175" fontId="104" fillId="0" borderId="0" xfId="51" applyNumberFormat="1" applyFont="1" applyBorder="1"/>
    <xf numFmtId="0" fontId="96" fillId="0" borderId="10" xfId="0" applyFont="1" applyBorder="1" applyAlignment="1">
      <alignment vertical="center"/>
    </xf>
    <xf numFmtId="167" fontId="96" fillId="0" borderId="10" xfId="51" applyNumberFormat="1" applyFont="1" applyBorder="1" applyAlignment="1">
      <alignment horizontal="right" vertical="center"/>
    </xf>
    <xf numFmtId="167" fontId="96" fillId="0" borderId="10" xfId="51" applyNumberFormat="1" applyFont="1" applyBorder="1" applyAlignment="1">
      <alignment horizontal="center" vertical="center"/>
    </xf>
    <xf numFmtId="175" fontId="104" fillId="0" borderId="0" xfId="51" applyNumberFormat="1" applyFont="1"/>
    <xf numFmtId="167" fontId="97" fillId="0" borderId="10" xfId="51" applyNumberFormat="1" applyFont="1" applyBorder="1" applyAlignment="1">
      <alignment horizontal="right" vertical="center"/>
    </xf>
    <xf numFmtId="175" fontId="92" fillId="0" borderId="0" xfId="51" applyNumberFormat="1" applyFont="1" applyBorder="1"/>
    <xf numFmtId="175" fontId="92" fillId="0" borderId="0" xfId="51" applyNumberFormat="1" applyFont="1"/>
    <xf numFmtId="167" fontId="92" fillId="0" borderId="10" xfId="51" applyNumberFormat="1" applyFont="1" applyBorder="1"/>
    <xf numFmtId="0" fontId="92" fillId="0" borderId="0" xfId="49" applyFont="1" applyFill="1"/>
    <xf numFmtId="0" fontId="115" fillId="0" borderId="0" xfId="46" applyFont="1"/>
    <xf numFmtId="165" fontId="96" fillId="0" borderId="10" xfId="51" applyFont="1" applyFill="1" applyBorder="1" applyAlignment="1">
      <alignment horizontal="left" vertical="center" indent="1"/>
    </xf>
    <xf numFmtId="167" fontId="96" fillId="0" borderId="10" xfId="51" applyNumberFormat="1" applyFont="1" applyFill="1" applyBorder="1" applyAlignment="1">
      <alignment horizontal="right" vertical="center"/>
    </xf>
    <xf numFmtId="165" fontId="97" fillId="0" borderId="0" xfId="0" applyNumberFormat="1" applyFont="1" applyBorder="1" applyAlignment="1">
      <alignment horizontal="right" vertical="center"/>
    </xf>
    <xf numFmtId="0" fontId="96" fillId="0" borderId="10" xfId="0" applyFont="1" applyBorder="1" applyAlignment="1">
      <alignment horizontal="left" vertical="center" indent="1"/>
    </xf>
    <xf numFmtId="167" fontId="97" fillId="0" borderId="10" xfId="0" applyNumberFormat="1" applyFont="1" applyBorder="1" applyAlignment="1">
      <alignment horizontal="right" vertical="center"/>
    </xf>
    <xf numFmtId="0" fontId="104" fillId="0" borderId="0" xfId="0" applyFont="1" applyAlignment="1">
      <alignment vertical="top"/>
    </xf>
    <xf numFmtId="173" fontId="92" fillId="0" borderId="0" xfId="50" applyNumberFormat="1" applyFont="1"/>
    <xf numFmtId="0" fontId="92" fillId="0" borderId="0" xfId="0" applyFont="1" applyAlignment="1">
      <alignment vertical="top"/>
    </xf>
    <xf numFmtId="173" fontId="96" fillId="0" borderId="0" xfId="0" applyNumberFormat="1" applyFont="1"/>
    <xf numFmtId="170" fontId="104" fillId="0" borderId="0" xfId="1" applyNumberFormat="1" applyFont="1"/>
    <xf numFmtId="0" fontId="97" fillId="0" borderId="0" xfId="0" applyFont="1" applyAlignment="1">
      <alignment horizontal="justify" vertical="center"/>
    </xf>
    <xf numFmtId="0" fontId="112" fillId="0" borderId="13" xfId="0" applyFont="1" applyBorder="1" applyAlignment="1">
      <alignment vertical="center"/>
    </xf>
    <xf numFmtId="165" fontId="96" fillId="0" borderId="13" xfId="51" applyFont="1" applyBorder="1"/>
    <xf numFmtId="165" fontId="96" fillId="0" borderId="13" xfId="51" applyFont="1" applyBorder="1" applyAlignment="1">
      <alignment horizontal="right" vertical="center"/>
    </xf>
    <xf numFmtId="0" fontId="96" fillId="0" borderId="15" xfId="0" applyFont="1" applyBorder="1" applyAlignment="1">
      <alignment horizontal="left" vertical="center" indent="4"/>
    </xf>
    <xf numFmtId="165" fontId="96" fillId="0" borderId="15" xfId="51" applyFont="1" applyBorder="1" applyAlignment="1">
      <alignment horizontal="right" vertical="center"/>
    </xf>
    <xf numFmtId="170" fontId="104" fillId="0" borderId="0" xfId="49" applyNumberFormat="1" applyFont="1"/>
    <xf numFmtId="0" fontId="96" fillId="0" borderId="0" xfId="0" applyFont="1" applyAlignment="1">
      <alignment horizontal="right" vertical="center"/>
    </xf>
    <xf numFmtId="14" fontId="104" fillId="0" borderId="0" xfId="49" applyNumberFormat="1" applyFont="1"/>
    <xf numFmtId="165" fontId="104" fillId="0" borderId="10" xfId="51" applyFont="1" applyBorder="1" applyAlignment="1">
      <alignment vertical="top"/>
    </xf>
    <xf numFmtId="165" fontId="92" fillId="0" borderId="10" xfId="51" applyFont="1" applyBorder="1"/>
    <xf numFmtId="165" fontId="92" fillId="0" borderId="10" xfId="51" applyFont="1" applyBorder="1" applyAlignment="1">
      <alignment vertical="top"/>
    </xf>
    <xf numFmtId="174" fontId="92" fillId="0" borderId="0" xfId="49" applyNumberFormat="1" applyFont="1"/>
    <xf numFmtId="165" fontId="96" fillId="0" borderId="10" xfId="51" applyFont="1" applyBorder="1" applyAlignment="1">
      <alignment horizontal="right" vertical="center" indent="1"/>
    </xf>
    <xf numFmtId="165" fontId="97" fillId="0" borderId="10" xfId="51" applyFont="1" applyBorder="1" applyAlignment="1">
      <alignment horizontal="right" vertical="center" indent="1"/>
    </xf>
    <xf numFmtId="165" fontId="96" fillId="0" borderId="10" xfId="51" applyFont="1" applyBorder="1" applyAlignment="1">
      <alignment horizontal="center" vertical="center"/>
    </xf>
    <xf numFmtId="179" fontId="105" fillId="0" borderId="0" xfId="49" applyNumberFormat="1" applyFont="1"/>
    <xf numFmtId="14" fontId="96" fillId="0" borderId="10" xfId="0" applyNumberFormat="1" applyFont="1" applyBorder="1" applyAlignment="1">
      <alignment horizontal="center" vertical="center" wrapText="1"/>
    </xf>
    <xf numFmtId="0" fontId="96" fillId="0" borderId="10" xfId="0" applyFont="1" applyBorder="1" applyAlignment="1">
      <alignment horizontal="right" vertical="center"/>
    </xf>
    <xf numFmtId="165" fontId="97" fillId="0" borderId="10" xfId="51" applyFont="1" applyBorder="1" applyAlignment="1">
      <alignment horizontal="center" vertical="center"/>
    </xf>
    <xf numFmtId="0" fontId="121" fillId="0" borderId="0" xfId="0" applyFont="1" applyAlignment="1">
      <alignment horizontal="left" vertical="center"/>
    </xf>
    <xf numFmtId="165" fontId="96" fillId="0" borderId="10" xfId="51" applyFont="1" applyBorder="1" applyAlignment="1">
      <alignment vertical="center"/>
    </xf>
    <xf numFmtId="165" fontId="97" fillId="0" borderId="10" xfId="51" applyFont="1" applyBorder="1" applyAlignment="1">
      <alignment vertical="center"/>
    </xf>
    <xf numFmtId="167" fontId="92" fillId="0" borderId="0" xfId="45" applyFont="1" applyAlignment="1">
      <alignment vertical="top"/>
    </xf>
    <xf numFmtId="0" fontId="115" fillId="0" borderId="0" xfId="49" applyFont="1"/>
    <xf numFmtId="167" fontId="96" fillId="0" borderId="10" xfId="1" applyNumberFormat="1" applyFont="1" applyBorder="1" applyAlignment="1">
      <alignment horizontal="right" vertical="center"/>
    </xf>
    <xf numFmtId="0" fontId="105" fillId="0" borderId="0" xfId="49" applyFont="1"/>
    <xf numFmtId="167" fontId="96" fillId="0" borderId="10" xfId="1" applyNumberFormat="1" applyFont="1" applyFill="1" applyBorder="1" applyAlignment="1">
      <alignment horizontal="right" vertical="center"/>
    </xf>
    <xf numFmtId="0" fontId="102" fillId="0" borderId="0" xfId="49" applyFont="1"/>
    <xf numFmtId="0" fontId="97" fillId="0" borderId="10" xfId="0" applyFont="1" applyBorder="1" applyAlignment="1">
      <alignment vertical="center" wrapText="1"/>
    </xf>
    <xf numFmtId="0" fontId="96" fillId="0" borderId="10" xfId="0" applyFont="1" applyBorder="1" applyAlignment="1">
      <alignment vertical="top" wrapText="1"/>
    </xf>
    <xf numFmtId="0" fontId="120" fillId="0" borderId="0" xfId="0" applyFont="1" applyAlignment="1">
      <alignment horizontal="center" vertical="center"/>
    </xf>
    <xf numFmtId="0" fontId="120" fillId="0" borderId="0" xfId="0" applyFont="1" applyAlignment="1">
      <alignment horizontal="center" vertical="center" wrapText="1"/>
    </xf>
    <xf numFmtId="0" fontId="120" fillId="0" borderId="0" xfId="0" applyFont="1" applyFill="1" applyAlignment="1">
      <alignment horizontal="left" vertical="center"/>
    </xf>
    <xf numFmtId="0" fontId="120" fillId="0" borderId="0" xfId="0" applyFont="1" applyFill="1" applyAlignment="1">
      <alignment horizontal="center" vertical="center" wrapText="1"/>
    </xf>
    <xf numFmtId="0" fontId="104" fillId="0" borderId="0" xfId="0" applyFont="1" applyFill="1" applyBorder="1" applyAlignment="1"/>
    <xf numFmtId="0" fontId="104" fillId="0" borderId="0" xfId="49" applyNumberFormat="1" applyFont="1" applyFill="1" applyBorder="1" applyAlignment="1"/>
    <xf numFmtId="179" fontId="104" fillId="0" borderId="0" xfId="49" applyNumberFormat="1" applyFont="1" applyFill="1" applyBorder="1" applyAlignment="1"/>
    <xf numFmtId="0" fontId="104" fillId="0" borderId="0" xfId="0" applyFont="1" applyBorder="1" applyAlignment="1"/>
    <xf numFmtId="0" fontId="104" fillId="0" borderId="0" xfId="0" applyNumberFormat="1" applyFont="1" applyBorder="1" applyAlignment="1"/>
    <xf numFmtId="179" fontId="104" fillId="0" borderId="0" xfId="0" applyNumberFormat="1" applyFont="1" applyBorder="1" applyAlignment="1"/>
    <xf numFmtId="0" fontId="111" fillId="44" borderId="11" xfId="0" applyFont="1" applyFill="1" applyBorder="1" applyAlignment="1">
      <alignment vertical="center" wrapText="1"/>
    </xf>
    <xf numFmtId="0" fontId="120" fillId="0" borderId="11" xfId="0" applyFont="1" applyBorder="1" applyAlignment="1">
      <alignment horizontal="left" vertical="center" wrapText="1" indent="1"/>
    </xf>
    <xf numFmtId="0" fontId="120" fillId="0" borderId="11" xfId="0" applyFont="1" applyBorder="1" applyAlignment="1">
      <alignment horizontal="left" vertical="center" indent="1"/>
    </xf>
    <xf numFmtId="165" fontId="104" fillId="0" borderId="0" xfId="51" applyFont="1" applyBorder="1" applyAlignment="1"/>
    <xf numFmtId="165" fontId="104" fillId="0" borderId="0" xfId="0" applyNumberFormat="1" applyFont="1" applyBorder="1" applyAlignment="1"/>
    <xf numFmtId="167" fontId="104" fillId="0" borderId="0" xfId="45" applyFont="1"/>
    <xf numFmtId="0" fontId="92" fillId="0" borderId="0" xfId="49" applyFont="1" applyBorder="1"/>
    <xf numFmtId="0" fontId="106" fillId="43" borderId="10" xfId="49" applyFont="1" applyFill="1" applyBorder="1" applyAlignment="1">
      <alignment horizontal="center" vertical="center" wrapText="1"/>
    </xf>
    <xf numFmtId="165" fontId="104" fillId="0" borderId="10" xfId="51" applyFont="1" applyFill="1" applyBorder="1"/>
    <xf numFmtId="0" fontId="92" fillId="0" borderId="10" xfId="49" applyFont="1" applyBorder="1"/>
    <xf numFmtId="165" fontId="92" fillId="0" borderId="10" xfId="51" applyFont="1" applyFill="1" applyBorder="1"/>
    <xf numFmtId="173" fontId="104" fillId="0" borderId="0" xfId="49" applyNumberFormat="1" applyFont="1"/>
    <xf numFmtId="0" fontId="122" fillId="0" borderId="0" xfId="49" applyFont="1" applyBorder="1"/>
    <xf numFmtId="165" fontId="92" fillId="0" borderId="0" xfId="51" applyFont="1" applyFill="1" applyBorder="1"/>
    <xf numFmtId="175" fontId="104" fillId="0" borderId="10" xfId="49" applyNumberFormat="1" applyFont="1" applyBorder="1"/>
    <xf numFmtId="170" fontId="104" fillId="0" borderId="0" xfId="49" applyNumberFormat="1" applyFont="1" applyFill="1"/>
    <xf numFmtId="0" fontId="97" fillId="0" borderId="17" xfId="0" applyFont="1" applyBorder="1"/>
    <xf numFmtId="170" fontId="104" fillId="0" borderId="14" xfId="1" applyNumberFormat="1" applyFont="1" applyFill="1" applyBorder="1"/>
    <xf numFmtId="170" fontId="104" fillId="0" borderId="14" xfId="1" applyNumberFormat="1" applyFont="1" applyBorder="1"/>
    <xf numFmtId="0" fontId="96" fillId="0" borderId="17" xfId="0" applyFont="1" applyBorder="1"/>
    <xf numFmtId="0" fontId="96" fillId="0" borderId="17" xfId="0" applyFont="1" applyFill="1" applyBorder="1"/>
    <xf numFmtId="0" fontId="97" fillId="0" borderId="11" xfId="0" applyFont="1" applyBorder="1"/>
    <xf numFmtId="165" fontId="104" fillId="0" borderId="0" xfId="49" applyNumberFormat="1" applyFont="1" applyFill="1"/>
    <xf numFmtId="0" fontId="97" fillId="0" borderId="23" xfId="0" applyFont="1" applyBorder="1"/>
    <xf numFmtId="165" fontId="104" fillId="0" borderId="13" xfId="51" applyFont="1" applyFill="1" applyBorder="1"/>
    <xf numFmtId="165" fontId="97" fillId="0" borderId="14" xfId="51" applyFont="1" applyFill="1" applyBorder="1"/>
    <xf numFmtId="165" fontId="96" fillId="0" borderId="14" xfId="51" applyFont="1" applyFill="1" applyBorder="1"/>
    <xf numFmtId="165" fontId="96" fillId="0" borderId="17" xfId="0" applyNumberFormat="1" applyFont="1" applyFill="1" applyBorder="1"/>
    <xf numFmtId="0" fontId="110" fillId="0" borderId="0" xfId="0" applyFont="1" applyBorder="1"/>
    <xf numFmtId="0" fontId="96" fillId="0" borderId="0" xfId="0" applyFont="1" applyFill="1" applyBorder="1"/>
    <xf numFmtId="0" fontId="111" fillId="0" borderId="10" xfId="0" applyFont="1" applyBorder="1" applyAlignment="1">
      <alignment vertical="center"/>
    </xf>
    <xf numFmtId="0" fontId="96" fillId="0" borderId="10" xfId="0" applyFont="1" applyFill="1" applyBorder="1" applyAlignment="1">
      <alignment vertical="center"/>
    </xf>
    <xf numFmtId="167" fontId="104" fillId="0" borderId="10" xfId="51" applyNumberFormat="1" applyFont="1" applyFill="1" applyBorder="1"/>
    <xf numFmtId="167" fontId="97" fillId="0" borderId="10" xfId="51" applyNumberFormat="1" applyFont="1" applyFill="1" applyBorder="1" applyAlignment="1">
      <alignment horizontal="right" vertical="center"/>
    </xf>
    <xf numFmtId="167" fontId="96" fillId="0" borderId="10" xfId="0" applyNumberFormat="1" applyFont="1" applyFill="1" applyBorder="1" applyAlignment="1">
      <alignment vertical="center"/>
    </xf>
    <xf numFmtId="167" fontId="96" fillId="0" borderId="10" xfId="0" applyNumberFormat="1" applyFont="1" applyBorder="1" applyAlignment="1">
      <alignment vertical="center"/>
    </xf>
    <xf numFmtId="175" fontId="92" fillId="0" borderId="0" xfId="45" applyNumberFormat="1" applyFont="1"/>
    <xf numFmtId="0" fontId="97" fillId="0" borderId="0" xfId="0" applyFont="1"/>
    <xf numFmtId="0" fontId="96" fillId="0" borderId="10" xfId="0" applyFont="1" applyBorder="1"/>
    <xf numFmtId="167" fontId="104" fillId="0" borderId="10" xfId="45" applyFont="1" applyFill="1" applyBorder="1"/>
    <xf numFmtId="175" fontId="104" fillId="0" borderId="10" xfId="54" applyNumberFormat="1" applyFont="1" applyFill="1" applyBorder="1"/>
    <xf numFmtId="0" fontId="97" fillId="0" borderId="10" xfId="0" applyFont="1" applyBorder="1"/>
    <xf numFmtId="167" fontId="92" fillId="0" borderId="10" xfId="45" applyFont="1" applyFill="1" applyBorder="1"/>
    <xf numFmtId="175" fontId="92" fillId="0" borderId="20" xfId="45" applyNumberFormat="1" applyFont="1" applyFill="1" applyBorder="1"/>
    <xf numFmtId="165" fontId="92" fillId="0" borderId="12" xfId="51" applyFont="1" applyBorder="1"/>
    <xf numFmtId="0" fontId="104" fillId="0" borderId="10" xfId="49" applyFont="1" applyFill="1" applyBorder="1"/>
    <xf numFmtId="0" fontId="92" fillId="0" borderId="10" xfId="49" applyFont="1" applyFill="1" applyBorder="1"/>
    <xf numFmtId="175" fontId="92" fillId="0" borderId="0" xfId="49" applyNumberFormat="1" applyFont="1"/>
    <xf numFmtId="169" fontId="92" fillId="0" borderId="0" xfId="49" applyNumberFormat="1" applyFont="1"/>
    <xf numFmtId="0" fontId="104" fillId="0" borderId="17" xfId="49" applyFont="1" applyFill="1" applyBorder="1"/>
    <xf numFmtId="0" fontId="92" fillId="0" borderId="0" xfId="49" applyFont="1" applyFill="1" applyBorder="1"/>
    <xf numFmtId="175" fontId="92" fillId="0" borderId="0" xfId="49" applyNumberFormat="1" applyFont="1" applyFill="1" applyBorder="1"/>
    <xf numFmtId="169" fontId="92" fillId="0" borderId="0" xfId="49" applyNumberFormat="1" applyFont="1" applyFill="1" applyBorder="1"/>
    <xf numFmtId="170" fontId="104" fillId="0" borderId="0" xfId="1" applyNumberFormat="1" applyFont="1" applyFill="1" applyBorder="1"/>
    <xf numFmtId="0" fontId="90" fillId="0" borderId="0" xfId="49" applyFont="1" applyBorder="1"/>
    <xf numFmtId="0" fontId="76" fillId="0" borderId="0" xfId="49" applyFont="1"/>
    <xf numFmtId="0" fontId="90" fillId="0" borderId="0" xfId="49" applyFont="1"/>
    <xf numFmtId="179" fontId="90" fillId="0" borderId="0" xfId="49" applyNumberFormat="1" applyFont="1"/>
    <xf numFmtId="0" fontId="90" fillId="0" borderId="0" xfId="49" applyFont="1" applyFill="1"/>
    <xf numFmtId="0" fontId="104" fillId="0" borderId="0" xfId="49" applyFont="1" applyFill="1" applyAlignment="1">
      <alignment wrapText="1"/>
    </xf>
    <xf numFmtId="0" fontId="104" fillId="0" borderId="0" xfId="49" applyFont="1" applyFill="1" applyAlignment="1">
      <alignment horizontal="center" vertical="center" wrapText="1"/>
    </xf>
    <xf numFmtId="0" fontId="92" fillId="0" borderId="0" xfId="49" applyFont="1" applyFill="1" applyAlignment="1">
      <alignment horizontal="center" vertical="center"/>
    </xf>
    <xf numFmtId="0" fontId="92" fillId="0" borderId="0" xfId="49" applyFont="1" applyFill="1" applyAlignment="1">
      <alignment horizontal="center" vertical="center" wrapText="1"/>
    </xf>
    <xf numFmtId="175" fontId="104" fillId="0" borderId="0" xfId="51" applyNumberFormat="1" applyFont="1" applyFill="1"/>
    <xf numFmtId="167" fontId="92" fillId="0" borderId="10" xfId="51" applyNumberFormat="1" applyFont="1" applyFill="1" applyBorder="1"/>
    <xf numFmtId="175" fontId="92" fillId="0" borderId="0" xfId="51" applyNumberFormat="1" applyFont="1" applyFill="1"/>
    <xf numFmtId="186" fontId="104" fillId="44" borderId="10" xfId="51" applyNumberFormat="1" applyFont="1" applyFill="1" applyBorder="1" applyAlignment="1">
      <alignment horizontal="center" vertical="center"/>
    </xf>
    <xf numFmtId="0" fontId="104" fillId="0" borderId="0" xfId="49" applyFont="1" applyAlignment="1">
      <alignment horizontal="center"/>
    </xf>
    <xf numFmtId="0" fontId="96" fillId="0" borderId="0" xfId="0" applyFont="1" applyBorder="1" applyAlignment="1">
      <alignment horizontal="left" vertical="center"/>
    </xf>
    <xf numFmtId="186" fontId="92" fillId="44" borderId="10" xfId="49" applyNumberFormat="1" applyFont="1" applyFill="1" applyBorder="1" applyAlignment="1">
      <alignment horizontal="center" vertical="center" wrapText="1"/>
    </xf>
    <xf numFmtId="179" fontId="104" fillId="44" borderId="10" xfId="49" applyNumberFormat="1" applyFont="1" applyFill="1" applyBorder="1"/>
    <xf numFmtId="172" fontId="97" fillId="44" borderId="10" xfId="0" applyNumberFormat="1" applyFont="1" applyFill="1" applyBorder="1" applyAlignment="1">
      <alignment horizontal="left" vertical="center" indent="1"/>
    </xf>
    <xf numFmtId="165" fontId="21" fillId="0" borderId="0" xfId="321" applyNumberFormat="1" applyAlignment="1">
      <alignment horizontal="center" vertical="center"/>
    </xf>
    <xf numFmtId="165" fontId="21" fillId="0" borderId="0" xfId="51" applyFont="1" applyAlignment="1">
      <alignment horizontal="center" vertical="center"/>
    </xf>
    <xf numFmtId="0" fontId="25" fillId="0" borderId="0" xfId="321" applyFont="1" applyAlignment="1">
      <alignment horizontal="center" vertical="center"/>
    </xf>
    <xf numFmtId="0" fontId="97" fillId="0" borderId="10" xfId="0" applyFont="1" applyFill="1" applyBorder="1" applyAlignment="1">
      <alignment horizontal="left" vertical="center" indent="1"/>
    </xf>
    <xf numFmtId="172" fontId="97" fillId="0" borderId="10" xfId="51" applyNumberFormat="1" applyFont="1" applyFill="1" applyBorder="1" applyAlignment="1">
      <alignment horizontal="right" vertical="center"/>
    </xf>
    <xf numFmtId="169" fontId="96" fillId="0" borderId="10" xfId="1" applyFont="1" applyFill="1" applyBorder="1" applyAlignment="1">
      <alignment horizontal="right" vertical="center"/>
    </xf>
    <xf numFmtId="165" fontId="97" fillId="0" borderId="10" xfId="51" applyFont="1" applyFill="1" applyBorder="1" applyAlignment="1">
      <alignment horizontal="right" vertical="center"/>
    </xf>
    <xf numFmtId="4" fontId="96" fillId="0" borderId="10" xfId="0" applyNumberFormat="1" applyFont="1" applyFill="1" applyBorder="1" applyAlignment="1">
      <alignment horizontal="right" vertical="center"/>
    </xf>
    <xf numFmtId="0" fontId="104" fillId="0" borderId="0" xfId="49" applyFont="1" applyBorder="1" applyAlignment="1">
      <alignment vertical="center"/>
    </xf>
    <xf numFmtId="0" fontId="104" fillId="0" borderId="0" xfId="49" applyFont="1" applyAlignment="1">
      <alignment vertical="center"/>
    </xf>
    <xf numFmtId="3" fontId="104" fillId="0" borderId="0" xfId="49" applyNumberFormat="1" applyFont="1" applyAlignment="1">
      <alignment vertical="center"/>
    </xf>
    <xf numFmtId="2" fontId="104" fillId="0" borderId="0" xfId="49" applyNumberFormat="1" applyFont="1" applyAlignment="1">
      <alignment vertical="center"/>
    </xf>
    <xf numFmtId="174" fontId="104" fillId="0" borderId="0" xfId="49" applyNumberFormat="1" applyFont="1" applyAlignment="1">
      <alignment vertical="center"/>
    </xf>
    <xf numFmtId="0" fontId="104" fillId="0" borderId="0" xfId="49" applyFont="1" applyFill="1" applyAlignment="1">
      <alignment vertical="center"/>
    </xf>
    <xf numFmtId="0" fontId="104" fillId="0" borderId="10" xfId="49" applyFont="1" applyBorder="1" applyAlignment="1">
      <alignment horizontal="left" indent="1"/>
    </xf>
    <xf numFmtId="0" fontId="123" fillId="0" borderId="0" xfId="0" applyFont="1" applyBorder="1"/>
    <xf numFmtId="165" fontId="92" fillId="0" borderId="10" xfId="51" applyFont="1" applyFill="1" applyBorder="1" applyAlignment="1">
      <alignment horizontal="left" indent="1"/>
    </xf>
    <xf numFmtId="179" fontId="92" fillId="0" borderId="0" xfId="49" applyNumberFormat="1" applyFont="1"/>
    <xf numFmtId="0" fontId="104" fillId="0" borderId="10" xfId="49" applyFont="1" applyBorder="1" applyAlignment="1">
      <alignment horizontal="center"/>
    </xf>
    <xf numFmtId="0" fontId="92" fillId="0" borderId="10" xfId="49" applyFont="1" applyBorder="1" applyAlignment="1">
      <alignment horizontal="center"/>
    </xf>
    <xf numFmtId="0" fontId="97" fillId="44" borderId="10" xfId="0" applyFont="1" applyFill="1" applyBorder="1" applyAlignment="1">
      <alignment horizontal="center"/>
    </xf>
    <xf numFmtId="49" fontId="38" fillId="50" borderId="0" xfId="0" applyNumberFormat="1" applyFont="1" applyFill="1" applyAlignment="1">
      <alignment horizontal="left" vertical="top" wrapText="1"/>
    </xf>
    <xf numFmtId="184" fontId="21" fillId="50" borderId="0" xfId="51" applyNumberFormat="1" applyFont="1" applyFill="1" applyAlignment="1">
      <alignment horizontal="center" vertical="center"/>
    </xf>
    <xf numFmtId="0" fontId="38" fillId="50" borderId="0" xfId="0" applyFont="1" applyFill="1" applyAlignment="1">
      <alignment horizontal="left" vertical="top" wrapText="1" indent="2"/>
    </xf>
    <xf numFmtId="3" fontId="38" fillId="50" borderId="0" xfId="0" applyNumberFormat="1" applyFont="1" applyFill="1" applyAlignment="1">
      <alignment horizontal="right" vertical="top"/>
    </xf>
    <xf numFmtId="177" fontId="38" fillId="50" borderId="0" xfId="51" applyNumberFormat="1" applyFont="1" applyFill="1" applyAlignment="1">
      <alignment horizontal="right" vertical="center"/>
    </xf>
    <xf numFmtId="165" fontId="21" fillId="50" borderId="0" xfId="51" applyFont="1" applyFill="1" applyAlignment="1">
      <alignment vertical="center"/>
    </xf>
    <xf numFmtId="165" fontId="25" fillId="50" borderId="0" xfId="51" applyFont="1" applyFill="1" applyAlignment="1">
      <alignment vertical="center"/>
    </xf>
    <xf numFmtId="165" fontId="104" fillId="0" borderId="17" xfId="51" applyFont="1" applyFill="1" applyBorder="1" applyAlignment="1">
      <alignment horizontal="center"/>
    </xf>
    <xf numFmtId="165" fontId="104" fillId="0" borderId="14" xfId="51" applyFont="1" applyFill="1" applyBorder="1" applyAlignment="1">
      <alignment horizontal="center"/>
    </xf>
    <xf numFmtId="165" fontId="104" fillId="0" borderId="18" xfId="51" applyFont="1" applyFill="1" applyBorder="1" applyAlignment="1">
      <alignment horizontal="center"/>
    </xf>
    <xf numFmtId="0" fontId="81" fillId="0" borderId="0" xfId="0" applyFont="1" applyAlignment="1">
      <alignment horizontal="center" vertical="center"/>
    </xf>
    <xf numFmtId="0" fontId="84" fillId="0" borderId="0" xfId="0" applyFont="1" applyAlignment="1">
      <alignment vertical="center"/>
    </xf>
    <xf numFmtId="0" fontId="81" fillId="0" borderId="0" xfId="0" applyFont="1" applyAlignment="1">
      <alignment vertical="center"/>
    </xf>
    <xf numFmtId="14" fontId="84" fillId="0" borderId="0" xfId="0" applyNumberFormat="1" applyFont="1" applyAlignment="1">
      <alignment vertical="center"/>
    </xf>
    <xf numFmtId="0" fontId="125" fillId="41" borderId="38" xfId="0" applyFont="1" applyFill="1" applyBorder="1" applyAlignment="1">
      <alignment horizontal="center" vertical="center" wrapText="1"/>
    </xf>
    <xf numFmtId="0" fontId="125" fillId="51" borderId="38" xfId="0" applyFont="1" applyFill="1" applyBorder="1" applyAlignment="1">
      <alignment horizontal="center" vertical="center" wrapText="1"/>
    </xf>
    <xf numFmtId="165" fontId="84" fillId="0" borderId="0" xfId="51" applyFont="1" applyAlignment="1">
      <alignment vertical="center"/>
    </xf>
    <xf numFmtId="0" fontId="81" fillId="52" borderId="11" xfId="0" applyFont="1" applyFill="1" applyBorder="1" applyAlignment="1">
      <alignment vertical="center"/>
    </xf>
    <xf numFmtId="0" fontId="84" fillId="52" borderId="20" xfId="0" applyFont="1" applyFill="1" applyBorder="1" applyAlignment="1">
      <alignment vertical="center"/>
    </xf>
    <xf numFmtId="165" fontId="84" fillId="52" borderId="20" xfId="51" applyFont="1" applyFill="1" applyBorder="1" applyAlignment="1">
      <alignment vertical="center"/>
    </xf>
    <xf numFmtId="0" fontId="84" fillId="52" borderId="10" xfId="0" applyFont="1" applyFill="1" applyBorder="1" applyAlignment="1">
      <alignment vertical="center"/>
    </xf>
    <xf numFmtId="0" fontId="84" fillId="0" borderId="10" xfId="0" applyFont="1" applyBorder="1" applyAlignment="1">
      <alignment vertical="center"/>
    </xf>
    <xf numFmtId="0" fontId="84" fillId="0" borderId="10" xfId="0" applyFont="1" applyBorder="1" applyAlignment="1">
      <alignment horizontal="center" vertical="center"/>
    </xf>
    <xf numFmtId="165" fontId="84" fillId="0" borderId="10" xfId="0" applyNumberFormat="1" applyFont="1" applyBorder="1" applyAlignment="1">
      <alignment horizontal="center" vertical="center"/>
    </xf>
    <xf numFmtId="179" fontId="84" fillId="0" borderId="10" xfId="0" applyNumberFormat="1" applyFont="1" applyBorder="1" applyAlignment="1">
      <alignment horizontal="center" vertical="center"/>
    </xf>
    <xf numFmtId="10" fontId="84" fillId="0" borderId="10" xfId="0" applyNumberFormat="1" applyFont="1" applyBorder="1" applyAlignment="1">
      <alignment horizontal="center" vertical="center"/>
    </xf>
    <xf numFmtId="185" fontId="84" fillId="0" borderId="15" xfId="51" applyNumberFormat="1" applyFont="1" applyFill="1" applyBorder="1" applyAlignment="1">
      <alignment horizontal="center" vertical="center"/>
    </xf>
    <xf numFmtId="165" fontId="84" fillId="0" borderId="15" xfId="51" applyFont="1" applyFill="1" applyBorder="1" applyAlignment="1">
      <alignment horizontal="center" vertical="center"/>
    </xf>
    <xf numFmtId="0" fontId="74" fillId="0" borderId="0" xfId="0" applyFont="1" applyAlignment="1">
      <alignment vertical="center"/>
    </xf>
    <xf numFmtId="165" fontId="81" fillId="0" borderId="37" xfId="51" applyFont="1" applyFill="1" applyBorder="1" applyAlignment="1">
      <alignment horizontal="center" vertical="center"/>
    </xf>
    <xf numFmtId="165" fontId="81" fillId="0" borderId="21" xfId="51" applyFont="1" applyFill="1" applyBorder="1" applyAlignment="1">
      <alignment horizontal="center" vertical="center"/>
    </xf>
    <xf numFmtId="0" fontId="84" fillId="0" borderId="0" xfId="0" applyFont="1" applyAlignment="1">
      <alignment horizontal="center" vertical="center"/>
    </xf>
    <xf numFmtId="165" fontId="84" fillId="0" borderId="0" xfId="51" applyFont="1" applyFill="1" applyAlignment="1">
      <alignment horizontal="center" vertical="center"/>
    </xf>
    <xf numFmtId="0" fontId="81" fillId="0" borderId="0" xfId="0" applyFont="1" applyAlignment="1">
      <alignment horizontal="right" vertical="center"/>
    </xf>
    <xf numFmtId="167" fontId="81" fillId="0" borderId="0" xfId="0" applyNumberFormat="1" applyFont="1" applyAlignment="1">
      <alignment horizontal="center" vertical="center"/>
    </xf>
    <xf numFmtId="177" fontId="84" fillId="52" borderId="12" xfId="51" applyNumberFormat="1" applyFont="1" applyFill="1" applyBorder="1" applyAlignment="1">
      <alignment vertical="center"/>
    </xf>
    <xf numFmtId="0" fontId="84" fillId="0" borderId="15" xfId="0" applyFont="1" applyBorder="1" applyAlignment="1">
      <alignment horizontal="center" vertical="center"/>
    </xf>
    <xf numFmtId="177" fontId="84" fillId="0" borderId="10" xfId="0" applyNumberFormat="1" applyFont="1" applyBorder="1" applyAlignment="1">
      <alignment horizontal="center" vertical="center"/>
    </xf>
    <xf numFmtId="177" fontId="84" fillId="0" borderId="15" xfId="51" applyNumberFormat="1" applyFont="1" applyFill="1" applyBorder="1" applyAlignment="1">
      <alignment horizontal="center" vertical="center"/>
    </xf>
    <xf numFmtId="177" fontId="81" fillId="0" borderId="37" xfId="51" applyNumberFormat="1" applyFont="1" applyFill="1" applyBorder="1" applyAlignment="1">
      <alignment horizontal="center" vertical="center"/>
    </xf>
    <xf numFmtId="177" fontId="81" fillId="0" borderId="0" xfId="51" applyNumberFormat="1" applyFont="1" applyFill="1" applyAlignment="1">
      <alignment horizontal="center" vertical="center"/>
    </xf>
    <xf numFmtId="165" fontId="84" fillId="0" borderId="10" xfId="51" applyFont="1" applyFill="1" applyBorder="1" applyAlignment="1">
      <alignment horizontal="center" vertical="center"/>
    </xf>
    <xf numFmtId="10" fontId="84" fillId="0" borderId="10" xfId="57" applyNumberFormat="1" applyFont="1" applyFill="1" applyBorder="1" applyAlignment="1">
      <alignment horizontal="center" vertical="center"/>
    </xf>
    <xf numFmtId="165" fontId="84" fillId="0" borderId="0" xfId="51" applyFont="1" applyFill="1" applyBorder="1" applyAlignment="1">
      <alignment horizontal="center" vertical="center"/>
    </xf>
    <xf numFmtId="179" fontId="84" fillId="0" borderId="0" xfId="0" applyNumberFormat="1" applyFont="1" applyAlignment="1">
      <alignment horizontal="center" vertical="center"/>
    </xf>
    <xf numFmtId="10" fontId="84" fillId="0" borderId="0" xfId="57" applyNumberFormat="1" applyFont="1" applyFill="1" applyBorder="1" applyAlignment="1">
      <alignment horizontal="center" vertical="center"/>
    </xf>
    <xf numFmtId="172" fontId="81" fillId="0" borderId="0" xfId="51" applyNumberFormat="1" applyFont="1" applyFill="1" applyBorder="1" applyAlignment="1">
      <alignment horizontal="center" vertical="center"/>
    </xf>
    <xf numFmtId="177" fontId="81" fillId="0" borderId="0" xfId="51" applyNumberFormat="1" applyFont="1" applyFill="1" applyBorder="1" applyAlignment="1">
      <alignment horizontal="center" vertical="center"/>
    </xf>
    <xf numFmtId="177" fontId="84" fillId="0" borderId="0" xfId="0" applyNumberFormat="1" applyFont="1" applyAlignment="1">
      <alignment vertical="center"/>
    </xf>
    <xf numFmtId="165" fontId="74" fillId="0" borderId="0" xfId="0" applyNumberFormat="1" applyFont="1" applyAlignment="1">
      <alignment horizontal="center" vertical="center"/>
    </xf>
    <xf numFmtId="10" fontId="74" fillId="0" borderId="0" xfId="0" applyNumberFormat="1" applyFont="1" applyAlignment="1">
      <alignment horizontal="center" vertical="center"/>
    </xf>
    <xf numFmtId="172" fontId="81" fillId="0" borderId="0" xfId="0" applyNumberFormat="1" applyFont="1" applyAlignment="1">
      <alignment horizontal="center" vertical="center"/>
    </xf>
    <xf numFmtId="0" fontId="84" fillId="0" borderId="15" xfId="0" applyFont="1" applyBorder="1" applyAlignment="1">
      <alignment vertical="center"/>
    </xf>
    <xf numFmtId="174" fontId="84" fillId="0" borderId="10" xfId="51" applyNumberFormat="1" applyFont="1" applyFill="1" applyBorder="1" applyAlignment="1">
      <alignment vertical="center"/>
    </xf>
    <xf numFmtId="180" fontId="84" fillId="0" borderId="15" xfId="61" applyNumberFormat="1" applyFont="1" applyFill="1" applyBorder="1" applyAlignment="1">
      <alignment horizontal="center" vertical="center"/>
    </xf>
    <xf numFmtId="3" fontId="84" fillId="0" borderId="0" xfId="0" applyNumberFormat="1" applyFont="1" applyAlignment="1">
      <alignment vertical="center"/>
    </xf>
    <xf numFmtId="165" fontId="81" fillId="0" borderId="0" xfId="51" applyFont="1" applyFill="1" applyBorder="1" applyAlignment="1">
      <alignment horizontal="center" vertical="center"/>
    </xf>
    <xf numFmtId="0" fontId="84" fillId="53" borderId="10" xfId="0" applyFont="1" applyFill="1" applyBorder="1" applyAlignment="1">
      <alignment vertical="center"/>
    </xf>
    <xf numFmtId="0" fontId="84" fillId="53" borderId="10" xfId="0" applyFont="1" applyFill="1" applyBorder="1" applyAlignment="1">
      <alignment horizontal="center" vertical="center"/>
    </xf>
    <xf numFmtId="165" fontId="84" fillId="53" borderId="10" xfId="51" applyFont="1" applyFill="1" applyBorder="1" applyAlignment="1">
      <alignment horizontal="center" vertical="center"/>
    </xf>
    <xf numFmtId="179" fontId="84" fillId="53" borderId="10" xfId="0" applyNumberFormat="1" applyFont="1" applyFill="1" applyBorder="1" applyAlignment="1">
      <alignment horizontal="center" vertical="center"/>
    </xf>
    <xf numFmtId="10" fontId="84" fillId="53" borderId="10" xfId="57" applyNumberFormat="1" applyFont="1" applyFill="1" applyBorder="1" applyAlignment="1">
      <alignment horizontal="center" vertical="center"/>
    </xf>
    <xf numFmtId="0" fontId="84" fillId="53" borderId="0" xfId="0" applyFont="1" applyFill="1" applyAlignment="1">
      <alignment vertical="center"/>
    </xf>
    <xf numFmtId="0" fontId="74" fillId="53" borderId="10" xfId="51" applyNumberFormat="1" applyFont="1" applyFill="1" applyBorder="1" applyAlignment="1">
      <alignment horizontal="center" vertical="center"/>
    </xf>
    <xf numFmtId="0" fontId="84" fillId="53" borderId="15" xfId="0" applyFont="1" applyFill="1" applyBorder="1" applyAlignment="1">
      <alignment vertical="center"/>
    </xf>
    <xf numFmtId="0" fontId="84" fillId="53" borderId="15" xfId="0" applyFont="1" applyFill="1" applyBorder="1" applyAlignment="1">
      <alignment horizontal="center" vertical="center"/>
    </xf>
    <xf numFmtId="165" fontId="84" fillId="53" borderId="15" xfId="51" applyFont="1" applyFill="1" applyBorder="1" applyAlignment="1">
      <alignment horizontal="center" vertical="center"/>
    </xf>
    <xf numFmtId="179" fontId="84" fillId="53" borderId="15" xfId="0" applyNumberFormat="1" applyFont="1" applyFill="1" applyBorder="1" applyAlignment="1">
      <alignment horizontal="center" vertical="center"/>
    </xf>
    <xf numFmtId="10" fontId="84" fillId="53" borderId="15" xfId="57" applyNumberFormat="1" applyFont="1" applyFill="1" applyBorder="1" applyAlignment="1">
      <alignment horizontal="center" vertical="center"/>
    </xf>
    <xf numFmtId="172" fontId="84" fillId="53" borderId="15" xfId="51" applyNumberFormat="1" applyFont="1" applyFill="1" applyBorder="1" applyAlignment="1">
      <alignment horizontal="center" vertical="center"/>
    </xf>
    <xf numFmtId="177" fontId="84" fillId="53" borderId="15" xfId="51" applyNumberFormat="1" applyFont="1" applyFill="1" applyBorder="1" applyAlignment="1">
      <alignment horizontal="center" vertical="center"/>
    </xf>
    <xf numFmtId="172" fontId="81" fillId="0" borderId="37" xfId="51" applyNumberFormat="1" applyFont="1" applyFill="1" applyBorder="1" applyAlignment="1">
      <alignment horizontal="center" vertical="center"/>
    </xf>
    <xf numFmtId="0" fontId="118" fillId="0" borderId="10" xfId="0" applyFont="1" applyFill="1" applyBorder="1" applyAlignment="1">
      <alignment vertical="center"/>
    </xf>
    <xf numFmtId="167" fontId="120" fillId="0" borderId="10" xfId="51" applyNumberFormat="1" applyFont="1" applyBorder="1" applyAlignment="1">
      <alignment horizontal="right" vertical="center"/>
    </xf>
    <xf numFmtId="167" fontId="111" fillId="0" borderId="10" xfId="51" applyNumberFormat="1" applyFont="1" applyFill="1" applyBorder="1" applyAlignment="1">
      <alignment horizontal="right" vertical="center"/>
    </xf>
    <xf numFmtId="179" fontId="105" fillId="0" borderId="0" xfId="49" applyNumberFormat="1" applyFont="1" applyAlignment="1">
      <alignment vertical="center"/>
    </xf>
    <xf numFmtId="179" fontId="104" fillId="0" borderId="0" xfId="49" applyNumberFormat="1" applyFont="1" applyAlignment="1">
      <alignment vertical="center"/>
    </xf>
    <xf numFmtId="167" fontId="104" fillId="0" borderId="10" xfId="1" applyNumberFormat="1" applyFont="1" applyBorder="1" applyAlignment="1">
      <alignment vertical="center"/>
    </xf>
    <xf numFmtId="0" fontId="105" fillId="0" borderId="0" xfId="49" applyFont="1" applyAlignment="1">
      <alignment vertical="center"/>
    </xf>
    <xf numFmtId="165" fontId="102" fillId="0" borderId="0" xfId="49" applyNumberFormat="1" applyFont="1" applyAlignment="1">
      <alignment vertical="center"/>
    </xf>
    <xf numFmtId="0" fontId="102" fillId="0" borderId="0" xfId="49" applyFont="1" applyAlignment="1">
      <alignment vertical="center"/>
    </xf>
    <xf numFmtId="0" fontId="111" fillId="0" borderId="11" xfId="0" applyFont="1" applyBorder="1" applyAlignment="1">
      <alignment horizontal="left" vertical="center" wrapText="1" indent="1"/>
    </xf>
    <xf numFmtId="170" fontId="120" fillId="0" borderId="10" xfId="1" applyNumberFormat="1" applyFont="1" applyFill="1" applyBorder="1" applyAlignment="1">
      <alignment horizontal="right" vertical="center" wrapText="1"/>
    </xf>
    <xf numFmtId="170" fontId="111" fillId="0" borderId="10" xfId="1" applyNumberFormat="1" applyFont="1" applyFill="1" applyBorder="1" applyAlignment="1">
      <alignment horizontal="right" vertical="center" wrapText="1"/>
    </xf>
    <xf numFmtId="173" fontId="120" fillId="0" borderId="10" xfId="1" applyNumberFormat="1" applyFont="1" applyFill="1" applyBorder="1" applyAlignment="1">
      <alignment horizontal="right" vertical="center" wrapText="1"/>
    </xf>
    <xf numFmtId="165" fontId="96" fillId="0" borderId="14" xfId="51" applyFont="1" applyBorder="1" applyAlignment="1">
      <alignment horizontal="right" vertical="center"/>
    </xf>
    <xf numFmtId="0" fontId="84" fillId="0" borderId="17" xfId="49" applyFont="1" applyFill="1" applyBorder="1"/>
    <xf numFmtId="0" fontId="84" fillId="0" borderId="0" xfId="49" applyFont="1" applyFill="1" applyBorder="1"/>
    <xf numFmtId="175" fontId="81" fillId="0" borderId="0" xfId="49" applyNumberFormat="1" applyFont="1" applyFill="1" applyBorder="1"/>
    <xf numFmtId="169" fontId="81" fillId="0" borderId="0" xfId="49" applyNumberFormat="1" applyFont="1" applyFill="1" applyBorder="1"/>
    <xf numFmtId="170" fontId="84" fillId="0" borderId="0" xfId="1" applyNumberFormat="1" applyFont="1" applyFill="1" applyBorder="1"/>
    <xf numFmtId="0" fontId="84" fillId="0" borderId="0" xfId="49" applyFont="1"/>
    <xf numFmtId="0" fontId="84" fillId="0" borderId="0" xfId="49" applyFont="1" applyBorder="1"/>
    <xf numFmtId="0" fontId="81" fillId="0" borderId="0" xfId="49" applyFont="1"/>
    <xf numFmtId="179" fontId="84" fillId="0" borderId="0" xfId="49" applyNumberFormat="1" applyFont="1"/>
    <xf numFmtId="0" fontId="93" fillId="0" borderId="0" xfId="0" applyFont="1" applyAlignment="1">
      <alignment horizontal="justify" vertical="center"/>
    </xf>
    <xf numFmtId="0" fontId="126" fillId="0" borderId="0" xfId="0" applyFont="1" applyBorder="1" applyAlignment="1">
      <alignment vertical="center" wrapText="1"/>
    </xf>
    <xf numFmtId="0" fontId="81" fillId="0" borderId="0" xfId="49" applyFont="1" applyFill="1"/>
    <xf numFmtId="0" fontId="74" fillId="0" borderId="0" xfId="0" applyFont="1" applyFill="1" applyAlignment="1">
      <alignment horizontal="left" vertical="center" wrapText="1"/>
    </xf>
    <xf numFmtId="0" fontId="84" fillId="0" borderId="0" xfId="49" applyFont="1" applyFill="1"/>
    <xf numFmtId="0" fontId="81" fillId="0" borderId="0" xfId="49" applyFont="1" applyAlignment="1">
      <alignment vertical="top"/>
    </xf>
    <xf numFmtId="0" fontId="81" fillId="0" borderId="0" xfId="49" applyFont="1" applyAlignment="1">
      <alignment horizontal="center"/>
    </xf>
    <xf numFmtId="0" fontId="81" fillId="0" borderId="0" xfId="49" quotePrefix="1" applyFont="1" applyAlignment="1">
      <alignment horizontal="center"/>
    </xf>
    <xf numFmtId="0" fontId="93" fillId="0" borderId="0" xfId="0" applyFont="1"/>
    <xf numFmtId="0" fontId="93" fillId="0" borderId="0" xfId="0" applyFont="1" applyAlignment="1">
      <alignment horizontal="center"/>
    </xf>
    <xf numFmtId="0" fontId="84" fillId="0" borderId="0" xfId="49" applyFont="1" applyAlignment="1">
      <alignment horizontal="center"/>
    </xf>
    <xf numFmtId="0" fontId="84" fillId="0" borderId="0" xfId="49" quotePrefix="1" applyFont="1" applyAlignment="1">
      <alignment horizontal="center"/>
    </xf>
    <xf numFmtId="0" fontId="84" fillId="0" borderId="0" xfId="49" quotePrefix="1" applyFont="1"/>
    <xf numFmtId="0" fontId="81" fillId="0" borderId="0" xfId="49" quotePrefix="1" applyFont="1" applyAlignment="1">
      <alignment horizontal="left"/>
    </xf>
    <xf numFmtId="179" fontId="81" fillId="0" borderId="0" xfId="49" quotePrefix="1" applyNumberFormat="1" applyFont="1" applyAlignment="1">
      <alignment horizontal="left"/>
    </xf>
    <xf numFmtId="0" fontId="84" fillId="0" borderId="0" xfId="49" quotePrefix="1" applyFont="1" applyAlignment="1"/>
    <xf numFmtId="0" fontId="84" fillId="0" borderId="0" xfId="49" quotePrefix="1" applyFont="1" applyAlignment="1">
      <alignment horizontal="left"/>
    </xf>
    <xf numFmtId="179" fontId="84" fillId="0" borderId="0" xfId="49" quotePrefix="1" applyNumberFormat="1" applyFont="1" applyAlignment="1">
      <alignment horizontal="left"/>
    </xf>
    <xf numFmtId="179" fontId="84" fillId="0" borderId="0" xfId="49" applyNumberFormat="1" applyFont="1" applyBorder="1"/>
    <xf numFmtId="0" fontId="92" fillId="0" borderId="0" xfId="49" applyFont="1" applyAlignment="1">
      <alignment horizontal="center"/>
    </xf>
    <xf numFmtId="0" fontId="92" fillId="0" borderId="0" xfId="49" quotePrefix="1" applyFont="1" applyAlignment="1">
      <alignment horizontal="center"/>
    </xf>
    <xf numFmtId="0" fontId="97" fillId="0" borderId="0" xfId="0" applyFont="1" applyAlignment="1">
      <alignment horizontal="center"/>
    </xf>
    <xf numFmtId="0" fontId="104" fillId="0" borderId="0" xfId="49" quotePrefix="1" applyFont="1" applyAlignment="1">
      <alignment horizontal="center"/>
    </xf>
    <xf numFmtId="0" fontId="104" fillId="0" borderId="0" xfId="49" quotePrefix="1" applyFont="1"/>
    <xf numFmtId="0" fontId="76" fillId="54" borderId="0" xfId="0" applyFont="1" applyFill="1" applyBorder="1" applyAlignment="1">
      <alignment vertical="center"/>
    </xf>
    <xf numFmtId="0" fontId="75" fillId="54" borderId="0" xfId="0" applyFont="1" applyFill="1" applyBorder="1" applyAlignment="1">
      <alignment horizontal="centerContinuous" vertical="center"/>
    </xf>
    <xf numFmtId="0" fontId="63" fillId="0" borderId="0" xfId="46" applyFont="1"/>
    <xf numFmtId="0" fontId="65" fillId="0" borderId="0" xfId="0" applyFont="1" applyAlignment="1">
      <alignment horizontal="justify" vertical="center"/>
    </xf>
    <xf numFmtId="0" fontId="65" fillId="0" borderId="0" xfId="0" applyFont="1" applyAlignment="1">
      <alignment horizontal="left" vertical="center"/>
    </xf>
    <xf numFmtId="0" fontId="65" fillId="0" borderId="0" xfId="0" applyFont="1" applyAlignment="1">
      <alignment vertical="center"/>
    </xf>
    <xf numFmtId="0" fontId="64" fillId="0" borderId="0" xfId="0" applyFont="1" applyAlignment="1">
      <alignment vertical="center"/>
    </xf>
    <xf numFmtId="0" fontId="64" fillId="0" borderId="0" xfId="0" applyFont="1" applyAlignment="1">
      <alignment horizontal="left" vertical="center"/>
    </xf>
    <xf numFmtId="0" fontId="87" fillId="0" borderId="0" xfId="59" applyFont="1" applyAlignment="1">
      <alignment vertical="center"/>
    </xf>
    <xf numFmtId="0" fontId="128" fillId="0" borderId="0" xfId="0" applyFont="1" applyAlignment="1">
      <alignment horizontal="justify" vertical="center"/>
    </xf>
    <xf numFmtId="0" fontId="62" fillId="0" borderId="0" xfId="46" applyFont="1" applyFill="1"/>
    <xf numFmtId="0" fontId="129" fillId="0" borderId="0" xfId="0" applyFont="1" applyAlignment="1">
      <alignment horizontal="left" vertical="center"/>
    </xf>
    <xf numFmtId="0" fontId="129" fillId="0" borderId="0" xfId="0" applyFont="1" applyAlignment="1">
      <alignment horizontal="justify" vertical="center"/>
    </xf>
    <xf numFmtId="0" fontId="64" fillId="0" borderId="0" xfId="0" applyFont="1" applyFill="1" applyAlignment="1">
      <alignment horizontal="left" vertical="center"/>
    </xf>
    <xf numFmtId="0" fontId="63" fillId="0" borderId="0" xfId="46" applyFont="1" applyFill="1"/>
    <xf numFmtId="0" fontId="133" fillId="0" borderId="0" xfId="0" applyFont="1" applyAlignment="1">
      <alignment vertical="center"/>
    </xf>
    <xf numFmtId="164" fontId="133" fillId="0" borderId="0" xfId="0" applyNumberFormat="1" applyFont="1" applyAlignment="1">
      <alignment vertical="center"/>
    </xf>
    <xf numFmtId="165" fontId="85" fillId="0" borderId="0" xfId="51" applyFont="1"/>
    <xf numFmtId="165" fontId="63" fillId="0" borderId="0" xfId="51" applyFont="1"/>
    <xf numFmtId="3" fontId="131" fillId="44" borderId="13" xfId="0" applyNumberFormat="1" applyFont="1" applyFill="1" applyBorder="1" applyAlignment="1">
      <alignment horizontal="center" vertical="center"/>
    </xf>
    <xf numFmtId="3" fontId="131" fillId="44" borderId="15" xfId="0" applyNumberFormat="1" applyFont="1" applyFill="1" applyBorder="1" applyAlignment="1">
      <alignment horizontal="center" vertical="center"/>
    </xf>
    <xf numFmtId="0" fontId="131" fillId="44" borderId="10" xfId="0" applyFont="1" applyFill="1" applyBorder="1" applyAlignment="1">
      <alignment horizontal="center" vertical="center"/>
    </xf>
    <xf numFmtId="3" fontId="131" fillId="44" borderId="10" xfId="0" applyNumberFormat="1" applyFont="1" applyFill="1" applyBorder="1" applyAlignment="1">
      <alignment horizontal="right" vertical="center"/>
    </xf>
    <xf numFmtId="0" fontId="129" fillId="0" borderId="0" xfId="0" applyFont="1" applyAlignment="1">
      <alignment vertical="center"/>
    </xf>
    <xf numFmtId="0" fontId="133" fillId="44" borderId="10" xfId="0" applyFont="1" applyFill="1" applyBorder="1" applyAlignment="1">
      <alignment horizontal="left" vertical="center" indent="1"/>
    </xf>
    <xf numFmtId="0" fontId="133" fillId="44" borderId="11" xfId="0" applyFont="1" applyFill="1" applyBorder="1" applyAlignment="1">
      <alignment horizontal="left" vertical="center" wrapText="1" indent="1"/>
    </xf>
    <xf numFmtId="0" fontId="133" fillId="44" borderId="12" xfId="0" applyFont="1" applyFill="1" applyBorder="1" applyAlignment="1">
      <alignment horizontal="left" vertical="center" wrapText="1" indent="1"/>
    </xf>
    <xf numFmtId="0" fontId="133" fillId="44" borderId="11" xfId="0" applyFont="1" applyFill="1" applyBorder="1" applyAlignment="1">
      <alignment horizontal="left" vertical="center" indent="1"/>
    </xf>
    <xf numFmtId="0" fontId="133" fillId="44" borderId="12" xfId="0" applyFont="1" applyFill="1" applyBorder="1" applyAlignment="1">
      <alignment horizontal="left" vertical="center" indent="1"/>
    </xf>
    <xf numFmtId="0" fontId="130" fillId="0" borderId="0" xfId="0" applyFont="1" applyAlignment="1">
      <alignment vertical="center"/>
    </xf>
    <xf numFmtId="0" fontId="91" fillId="44" borderId="0" xfId="0" applyFont="1" applyFill="1" applyBorder="1" applyAlignment="1">
      <alignment vertical="center"/>
    </xf>
    <xf numFmtId="0" fontId="89" fillId="44" borderId="0" xfId="0" applyFont="1" applyFill="1" applyBorder="1" applyAlignment="1"/>
    <xf numFmtId="0" fontId="91" fillId="44" borderId="0" xfId="0" applyFont="1" applyFill="1" applyBorder="1" applyAlignment="1"/>
    <xf numFmtId="0" fontId="91" fillId="44" borderId="0" xfId="0" applyFont="1" applyFill="1" applyBorder="1" applyAlignment="1">
      <alignment vertical="center" wrapText="1"/>
    </xf>
    <xf numFmtId="0" fontId="76" fillId="44" borderId="0" xfId="0" applyFont="1" applyFill="1" applyBorder="1" applyAlignment="1">
      <alignment vertical="center"/>
    </xf>
    <xf numFmtId="0" fontId="90" fillId="44" borderId="0" xfId="0" quotePrefix="1" applyFont="1" applyFill="1" applyBorder="1" applyAlignment="1"/>
    <xf numFmtId="0" fontId="90" fillId="44" borderId="0" xfId="0" applyFont="1" applyFill="1" applyBorder="1" applyAlignment="1"/>
    <xf numFmtId="0" fontId="90" fillId="44" borderId="0" xfId="0" applyFont="1" applyFill="1" applyAlignment="1"/>
    <xf numFmtId="0" fontId="90" fillId="44" borderId="0" xfId="0" applyFont="1" applyFill="1" applyBorder="1" applyAlignment="1">
      <alignment vertical="center"/>
    </xf>
    <xf numFmtId="0" fontId="76" fillId="44" borderId="0" xfId="0" applyFont="1" applyFill="1" applyBorder="1" applyAlignment="1"/>
    <xf numFmtId="0" fontId="90" fillId="44" borderId="0" xfId="0" applyFont="1" applyFill="1" applyBorder="1" applyAlignment="1">
      <alignment wrapText="1"/>
    </xf>
    <xf numFmtId="0" fontId="90" fillId="44" borderId="0" xfId="0" applyFont="1" applyFill="1" applyBorder="1" applyAlignment="1">
      <alignment vertical="center" wrapText="1"/>
    </xf>
    <xf numFmtId="0" fontId="90" fillId="44" borderId="0" xfId="0" quotePrefix="1" applyFont="1" applyFill="1" applyBorder="1" applyAlignment="1">
      <alignment horizontal="left"/>
    </xf>
    <xf numFmtId="0" fontId="90" fillId="44" borderId="0" xfId="0" applyFont="1" applyFill="1" applyAlignment="1">
      <alignment horizontal="left"/>
    </xf>
    <xf numFmtId="0" fontId="90" fillId="44" borderId="0" xfId="0" applyFont="1" applyFill="1" applyBorder="1" applyAlignment="1">
      <alignment horizontal="left"/>
    </xf>
    <xf numFmtId="3" fontId="131" fillId="44" borderId="10" xfId="0" applyNumberFormat="1" applyFont="1" applyFill="1" applyBorder="1" applyAlignment="1">
      <alignment horizontal="center" vertical="center"/>
    </xf>
    <xf numFmtId="0" fontId="135" fillId="0" borderId="0" xfId="46" applyFont="1"/>
    <xf numFmtId="0" fontId="96" fillId="0" borderId="10" xfId="0" applyFont="1" applyBorder="1" applyAlignment="1">
      <alignment horizontal="center" vertical="center" wrapText="1"/>
    </xf>
    <xf numFmtId="0" fontId="21" fillId="0" borderId="0" xfId="321" applyFont="1" applyAlignment="1">
      <alignment vertical="center"/>
    </xf>
    <xf numFmtId="0" fontId="21" fillId="0" borderId="0" xfId="321" applyFont="1" applyAlignment="1">
      <alignment horizontal="center" vertical="center"/>
    </xf>
    <xf numFmtId="3" fontId="25" fillId="0" borderId="0" xfId="321" applyNumberFormat="1" applyFont="1" applyAlignment="1">
      <alignment vertical="center"/>
    </xf>
    <xf numFmtId="4" fontId="25" fillId="0" borderId="0" xfId="321" applyNumberFormat="1" applyFont="1" applyAlignment="1">
      <alignment vertical="center"/>
    </xf>
    <xf numFmtId="0" fontId="21" fillId="0" borderId="0" xfId="321" applyNumberFormat="1" applyFont="1" applyAlignment="1">
      <alignment vertical="center"/>
    </xf>
    <xf numFmtId="177" fontId="38" fillId="0" borderId="0" xfId="51" applyNumberFormat="1" applyFont="1" applyAlignment="1">
      <alignment vertical="center"/>
    </xf>
    <xf numFmtId="165" fontId="21" fillId="0" borderId="0" xfId="321" applyNumberFormat="1" applyFont="1" applyAlignment="1">
      <alignment horizontal="center" vertical="center"/>
    </xf>
    <xf numFmtId="0" fontId="84" fillId="0" borderId="0" xfId="46" applyFont="1"/>
    <xf numFmtId="0" fontId="136" fillId="0" borderId="0" xfId="46" applyFont="1"/>
    <xf numFmtId="165" fontId="84" fillId="0" borderId="0" xfId="46" applyNumberFormat="1" applyFont="1"/>
    <xf numFmtId="0" fontId="104" fillId="0" borderId="14" xfId="0" applyFont="1" applyBorder="1" applyAlignment="1">
      <alignment vertical="center"/>
    </xf>
    <xf numFmtId="0" fontId="96" fillId="0" borderId="14" xfId="0" applyFont="1" applyBorder="1" applyAlignment="1">
      <alignment horizontal="center" vertical="center"/>
    </xf>
    <xf numFmtId="0" fontId="120" fillId="0" borderId="14" xfId="0" applyFont="1" applyBorder="1" applyAlignment="1">
      <alignment vertical="center"/>
    </xf>
    <xf numFmtId="179" fontId="63" fillId="0" borderId="0" xfId="46" applyNumberFormat="1" applyFont="1"/>
    <xf numFmtId="0" fontId="137" fillId="0" borderId="0" xfId="46" applyFont="1"/>
    <xf numFmtId="0" fontId="118" fillId="0" borderId="10" xfId="0" applyFont="1" applyBorder="1" applyAlignment="1">
      <alignment vertical="center"/>
    </xf>
    <xf numFmtId="0" fontId="104" fillId="0" borderId="10" xfId="0" applyFont="1" applyBorder="1" applyAlignment="1">
      <alignment vertical="center"/>
    </xf>
    <xf numFmtId="0" fontId="62" fillId="0" borderId="32" xfId="46" applyFont="1" applyBorder="1" applyAlignment="1">
      <alignment vertical="center"/>
    </xf>
    <xf numFmtId="10" fontId="63" fillId="0" borderId="32" xfId="46" applyNumberFormat="1" applyFont="1" applyBorder="1" applyAlignment="1">
      <alignment horizontal="center" vertical="center"/>
    </xf>
    <xf numFmtId="10" fontId="63" fillId="0" borderId="32" xfId="46" applyNumberFormat="1" applyFont="1" applyBorder="1" applyAlignment="1">
      <alignment horizontal="center" vertical="center" wrapText="1"/>
    </xf>
    <xf numFmtId="172" fontId="104" fillId="0" borderId="0" xfId="49" applyNumberFormat="1" applyFont="1"/>
    <xf numFmtId="0" fontId="38" fillId="46" borderId="0" xfId="321" applyNumberFormat="1" applyFont="1" applyFill="1" applyAlignment="1">
      <alignment horizontal="left" vertical="center"/>
    </xf>
    <xf numFmtId="165" fontId="38" fillId="46" borderId="0" xfId="51" applyFont="1" applyFill="1" applyAlignment="1">
      <alignment vertical="center"/>
    </xf>
    <xf numFmtId="177" fontId="21" fillId="46" borderId="0" xfId="51" applyNumberFormat="1" applyFont="1" applyFill="1" applyAlignment="1">
      <alignment vertical="center"/>
    </xf>
    <xf numFmtId="0" fontId="21" fillId="46" borderId="0" xfId="321" applyFill="1" applyAlignment="1">
      <alignment vertical="center"/>
    </xf>
    <xf numFmtId="0" fontId="21" fillId="46" borderId="0" xfId="321" applyFill="1" applyAlignment="1">
      <alignment horizontal="center" vertical="center"/>
    </xf>
    <xf numFmtId="187" fontId="131" fillId="44" borderId="10" xfId="0" applyNumberFormat="1" applyFont="1" applyFill="1" applyBorder="1" applyAlignment="1">
      <alignment horizontal="right" vertical="center"/>
    </xf>
    <xf numFmtId="0" fontId="133" fillId="0" borderId="0" xfId="0" applyFont="1" applyFill="1" applyAlignment="1">
      <alignment vertical="center"/>
    </xf>
    <xf numFmtId="164" fontId="133" fillId="0" borderId="0" xfId="0" applyNumberFormat="1" applyFont="1" applyFill="1" applyAlignment="1">
      <alignment vertical="center"/>
    </xf>
    <xf numFmtId="0" fontId="26" fillId="46" borderId="10" xfId="0" applyFont="1" applyFill="1" applyBorder="1" applyAlignment="1">
      <alignment horizontal="left" vertical="center"/>
    </xf>
    <xf numFmtId="165" fontId="26" fillId="46" borderId="10" xfId="51" applyFont="1" applyFill="1" applyBorder="1" applyAlignment="1">
      <alignment horizontal="center" vertical="center"/>
    </xf>
    <xf numFmtId="165" fontId="27" fillId="46" borderId="10" xfId="51" applyFont="1" applyFill="1" applyBorder="1" applyAlignment="1">
      <alignment horizontal="center" vertical="center"/>
    </xf>
    <xf numFmtId="0" fontId="37" fillId="41" borderId="10" xfId="0" applyFont="1" applyFill="1" applyBorder="1" applyAlignment="1">
      <alignment horizontal="center" vertical="center" wrapText="1"/>
    </xf>
    <xf numFmtId="0" fontId="96" fillId="0" borderId="0" xfId="0" applyFont="1" applyFill="1" applyBorder="1" applyAlignment="1">
      <alignment horizontal="left" vertical="center" wrapText="1"/>
    </xf>
    <xf numFmtId="0" fontId="96" fillId="0" borderId="0" xfId="0" applyFont="1" applyBorder="1" applyAlignment="1">
      <alignment horizontal="left" wrapText="1"/>
    </xf>
    <xf numFmtId="167" fontId="90" fillId="0" borderId="0" xfId="0" applyNumberFormat="1" applyFont="1" applyAlignment="1">
      <alignment vertical="center"/>
    </xf>
    <xf numFmtId="167" fontId="90" fillId="0" borderId="0" xfId="0" applyNumberFormat="1" applyFont="1" applyFill="1" applyAlignment="1">
      <alignment vertical="center"/>
    </xf>
    <xf numFmtId="0" fontId="120" fillId="0" borderId="11" xfId="0" applyFont="1" applyFill="1" applyBorder="1" applyAlignment="1">
      <alignment horizontal="left" vertical="center" wrapText="1" indent="1"/>
    </xf>
    <xf numFmtId="0" fontId="83" fillId="0" borderId="0" xfId="49" applyFont="1"/>
    <xf numFmtId="0" fontId="138" fillId="0" borderId="0" xfId="49" quotePrefix="1" applyFont="1" applyAlignment="1">
      <alignment horizontal="center"/>
    </xf>
    <xf numFmtId="0" fontId="23" fillId="0" borderId="0" xfId="49" quotePrefix="1" applyFont="1" applyAlignment="1">
      <alignment horizontal="center"/>
    </xf>
    <xf numFmtId="0" fontId="139" fillId="0" borderId="0" xfId="0" applyFont="1" applyAlignment="1">
      <alignment horizontal="center"/>
    </xf>
    <xf numFmtId="0" fontId="73" fillId="0" borderId="0" xfId="0" applyFont="1" applyFill="1" applyBorder="1" applyAlignment="1">
      <alignment horizontal="center"/>
    </xf>
    <xf numFmtId="0" fontId="72" fillId="43" borderId="0" xfId="0" applyFont="1" applyFill="1" applyBorder="1" applyAlignment="1">
      <alignment horizontal="center" vertical="center"/>
    </xf>
    <xf numFmtId="0" fontId="63" fillId="0" borderId="31" xfId="46" applyFont="1" applyBorder="1" applyAlignment="1">
      <alignment horizontal="center" vertical="center" wrapText="1"/>
    </xf>
    <xf numFmtId="0" fontId="63" fillId="0" borderId="32" xfId="46" applyFont="1" applyBorder="1" applyAlignment="1">
      <alignment horizontal="center" vertical="center" wrapText="1"/>
    </xf>
    <xf numFmtId="0" fontId="63" fillId="0" borderId="32" xfId="46" applyFont="1" applyBorder="1" applyAlignment="1">
      <alignment horizontal="left" vertical="top" wrapText="1"/>
    </xf>
    <xf numFmtId="0" fontId="63" fillId="0" borderId="33" xfId="46" applyFont="1" applyBorder="1" applyAlignment="1">
      <alignment horizontal="left" vertical="top" wrapText="1"/>
    </xf>
    <xf numFmtId="0" fontId="76" fillId="0" borderId="0" xfId="0" applyFont="1" applyFill="1" applyBorder="1" applyAlignment="1">
      <alignment horizontal="center" vertical="center"/>
    </xf>
    <xf numFmtId="0" fontId="131" fillId="44" borderId="10" xfId="0" applyFont="1" applyFill="1" applyBorder="1" applyAlignment="1">
      <alignment horizontal="left" vertical="center" indent="1"/>
    </xf>
    <xf numFmtId="0" fontId="132" fillId="43" borderId="10" xfId="0" applyFont="1" applyFill="1" applyBorder="1" applyAlignment="1">
      <alignment horizontal="center" vertical="center"/>
    </xf>
    <xf numFmtId="0" fontId="133" fillId="44" borderId="11" xfId="0" applyFont="1" applyFill="1" applyBorder="1" applyAlignment="1">
      <alignment horizontal="left" vertical="center" wrapText="1" indent="1"/>
    </xf>
    <xf numFmtId="0" fontId="133" fillId="44" borderId="12" xfId="0" applyFont="1" applyFill="1" applyBorder="1" applyAlignment="1">
      <alignment horizontal="left" vertical="center" wrapText="1" indent="1"/>
    </xf>
    <xf numFmtId="0" fontId="134" fillId="43" borderId="10" xfId="0" applyFont="1" applyFill="1" applyBorder="1" applyAlignment="1">
      <alignment horizontal="center" vertical="center"/>
    </xf>
    <xf numFmtId="0" fontId="134" fillId="43" borderId="10" xfId="0" applyFont="1" applyFill="1" applyBorder="1" applyAlignment="1">
      <alignment horizontal="center" vertical="center" wrapText="1"/>
    </xf>
    <xf numFmtId="0" fontId="78" fillId="0" borderId="0" xfId="0" applyFont="1" applyAlignment="1">
      <alignment horizontal="center" vertical="center"/>
    </xf>
    <xf numFmtId="0" fontId="127" fillId="0" borderId="0" xfId="0" applyFont="1" applyAlignment="1">
      <alignment horizontal="center" vertical="center"/>
    </xf>
    <xf numFmtId="0" fontId="74" fillId="0" borderId="0" xfId="0" applyFont="1" applyAlignment="1">
      <alignment horizontal="center" vertical="center"/>
    </xf>
    <xf numFmtId="0" fontId="109" fillId="43" borderId="10" xfId="0" applyFont="1" applyFill="1" applyBorder="1" applyAlignment="1">
      <alignment horizontal="center" vertical="center"/>
    </xf>
    <xf numFmtId="0" fontId="130" fillId="44" borderId="10" xfId="0" applyFont="1" applyFill="1" applyBorder="1" applyAlignment="1">
      <alignment horizontal="center" vertical="center"/>
    </xf>
    <xf numFmtId="0" fontId="130" fillId="44" borderId="10" xfId="0" applyFont="1" applyFill="1" applyBorder="1" applyAlignment="1">
      <alignment horizontal="left" vertical="center" indent="1"/>
    </xf>
    <xf numFmtId="0" fontId="65" fillId="0" borderId="0" xfId="0" applyFont="1" applyAlignment="1">
      <alignment horizontal="left" vertical="center"/>
    </xf>
    <xf numFmtId="3" fontId="131" fillId="44" borderId="13" xfId="0" applyNumberFormat="1" applyFont="1" applyFill="1" applyBorder="1" applyAlignment="1">
      <alignment horizontal="center" vertical="center"/>
    </xf>
    <xf numFmtId="3" fontId="131" fillId="44" borderId="15" xfId="0" applyNumberFormat="1" applyFont="1" applyFill="1" applyBorder="1" applyAlignment="1">
      <alignment horizontal="center" vertical="center"/>
    </xf>
    <xf numFmtId="0" fontId="133" fillId="44" borderId="10" xfId="0" applyFont="1" applyFill="1" applyBorder="1" applyAlignment="1">
      <alignment horizontal="left" vertical="center" indent="1"/>
    </xf>
    <xf numFmtId="3" fontId="131" fillId="44" borderId="13" xfId="0" applyNumberFormat="1" applyFont="1" applyFill="1" applyBorder="1" applyAlignment="1">
      <alignment horizontal="right" vertical="center"/>
    </xf>
    <xf numFmtId="3" fontId="131" fillId="44" borderId="15" xfId="0" applyNumberFormat="1" applyFont="1" applyFill="1" applyBorder="1" applyAlignment="1">
      <alignment horizontal="right" vertical="center"/>
    </xf>
    <xf numFmtId="187" fontId="131" fillId="44" borderId="13" xfId="0" applyNumberFormat="1" applyFont="1" applyFill="1" applyBorder="1" applyAlignment="1">
      <alignment horizontal="right" vertical="center"/>
    </xf>
    <xf numFmtId="187" fontId="131" fillId="44" borderId="15" xfId="0" applyNumberFormat="1" applyFont="1" applyFill="1" applyBorder="1" applyAlignment="1">
      <alignment horizontal="right" vertical="center"/>
    </xf>
    <xf numFmtId="0" fontId="131" fillId="44" borderId="13" xfId="0" applyFont="1" applyFill="1" applyBorder="1" applyAlignment="1">
      <alignment horizontal="center" vertical="center"/>
    </xf>
    <xf numFmtId="0" fontId="131" fillId="44" borderId="15" xfId="0" applyFont="1" applyFill="1" applyBorder="1" applyAlignment="1">
      <alignment horizontal="center" vertical="center"/>
    </xf>
    <xf numFmtId="0" fontId="62" fillId="0" borderId="39" xfId="46" applyFont="1" applyBorder="1" applyAlignment="1">
      <alignment horizontal="center" vertical="center"/>
    </xf>
    <xf numFmtId="0" fontId="62" fillId="0" borderId="40" xfId="46" applyFont="1" applyBorder="1" applyAlignment="1">
      <alignment horizontal="center" vertical="center"/>
    </xf>
    <xf numFmtId="0" fontId="62" fillId="0" borderId="41" xfId="46" applyFont="1" applyBorder="1" applyAlignment="1">
      <alignment horizontal="center" vertical="center"/>
    </xf>
    <xf numFmtId="0" fontId="62" fillId="0" borderId="31" xfId="46" applyFont="1" applyBorder="1" applyAlignment="1">
      <alignment horizontal="center" vertical="center"/>
    </xf>
    <xf numFmtId="0" fontId="62" fillId="0" borderId="32" xfId="46" applyFont="1" applyBorder="1" applyAlignment="1">
      <alignment horizontal="center" vertical="center"/>
    </xf>
    <xf numFmtId="0" fontId="62" fillId="0" borderId="33" xfId="46" applyFont="1" applyBorder="1" applyAlignment="1">
      <alignment horizontal="center" vertical="center"/>
    </xf>
    <xf numFmtId="0" fontId="63" fillId="0" borderId="31" xfId="46" applyFont="1" applyBorder="1" applyAlignment="1">
      <alignment horizontal="center" vertical="center"/>
    </xf>
    <xf numFmtId="0" fontId="63" fillId="0" borderId="32" xfId="46" applyFont="1" applyBorder="1" applyAlignment="1">
      <alignment horizontal="center" vertical="center"/>
    </xf>
    <xf numFmtId="0" fontId="63" fillId="0" borderId="42" xfId="46" applyFont="1" applyBorder="1" applyAlignment="1">
      <alignment horizontal="left" vertical="center"/>
    </xf>
    <xf numFmtId="0" fontId="63" fillId="0" borderId="40" xfId="46" applyFont="1" applyBorder="1" applyAlignment="1">
      <alignment horizontal="left" vertical="center"/>
    </xf>
    <xf numFmtId="0" fontId="63" fillId="0" borderId="41" xfId="46" applyFont="1" applyBorder="1" applyAlignment="1">
      <alignment horizontal="left" vertical="center"/>
    </xf>
    <xf numFmtId="0" fontId="90" fillId="0" borderId="0" xfId="0" applyFont="1" applyAlignment="1">
      <alignment horizontal="left"/>
    </xf>
    <xf numFmtId="0" fontId="96" fillId="0" borderId="0" xfId="0" applyFont="1" applyFill="1" applyAlignment="1">
      <alignment horizontal="left" indent="1"/>
    </xf>
    <xf numFmtId="0" fontId="106" fillId="43" borderId="38" xfId="0" applyFont="1" applyFill="1" applyBorder="1" applyAlignment="1">
      <alignment horizontal="center" vertical="center" wrapText="1"/>
    </xf>
    <xf numFmtId="171" fontId="82" fillId="0" borderId="0" xfId="44" applyNumberFormat="1" applyFont="1" applyFill="1" applyBorder="1" applyAlignment="1" applyProtection="1">
      <alignment horizontal="left"/>
    </xf>
    <xf numFmtId="171" fontId="92" fillId="0" borderId="0" xfId="44" applyFont="1" applyAlignment="1">
      <alignment horizontal="left"/>
    </xf>
    <xf numFmtId="0" fontId="97" fillId="0" borderId="0" xfId="0" applyFont="1" applyAlignment="1">
      <alignment horizontal="left"/>
    </xf>
    <xf numFmtId="0" fontId="97" fillId="0" borderId="0" xfId="0" applyFont="1" applyAlignment="1">
      <alignment horizontal="left" vertical="center" wrapText="1"/>
    </xf>
    <xf numFmtId="0" fontId="97" fillId="0" borderId="0" xfId="0" applyFont="1" applyAlignment="1">
      <alignment horizontal="left" vertical="center"/>
    </xf>
    <xf numFmtId="0" fontId="106" fillId="43" borderId="38" xfId="0" applyFont="1" applyFill="1" applyBorder="1" applyAlignment="1">
      <alignment horizontal="center" vertical="center"/>
    </xf>
    <xf numFmtId="171" fontId="76" fillId="0" borderId="0" xfId="44" applyNumberFormat="1" applyFont="1" applyFill="1" applyBorder="1" applyAlignment="1" applyProtection="1">
      <alignment horizontal="left"/>
    </xf>
    <xf numFmtId="171" fontId="98" fillId="0" borderId="0" xfId="44" applyNumberFormat="1" applyFont="1" applyFill="1" applyBorder="1" applyAlignment="1" applyProtection="1">
      <alignment horizontal="left"/>
    </xf>
    <xf numFmtId="0" fontId="107" fillId="44" borderId="0" xfId="0" applyFont="1" applyFill="1" applyBorder="1" applyAlignment="1">
      <alignment horizontal="left" vertical="center" wrapText="1"/>
    </xf>
    <xf numFmtId="0" fontId="107" fillId="44" borderId="0" xfId="0" applyFont="1" applyFill="1" applyBorder="1" applyAlignment="1">
      <alignment horizontal="center" vertical="center" wrapText="1"/>
    </xf>
    <xf numFmtId="0" fontId="94" fillId="0" borderId="0" xfId="0" applyFont="1" applyFill="1" applyAlignment="1">
      <alignment horizontal="left"/>
    </xf>
    <xf numFmtId="0" fontId="94" fillId="44"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106" fillId="43" borderId="10" xfId="0" applyFont="1" applyFill="1" applyBorder="1" applyAlignment="1">
      <alignment horizontal="center" vertical="center" wrapText="1"/>
    </xf>
    <xf numFmtId="0" fontId="96" fillId="0" borderId="10" xfId="0" applyFont="1" applyBorder="1" applyAlignment="1">
      <alignment horizontal="center" vertical="center" wrapText="1"/>
    </xf>
    <xf numFmtId="0" fontId="96" fillId="0" borderId="0" xfId="0" applyFont="1" applyBorder="1" applyAlignment="1">
      <alignment horizontal="left" vertical="center" wrapText="1"/>
    </xf>
    <xf numFmtId="0" fontId="92" fillId="0" borderId="0" xfId="0" applyFont="1" applyFill="1" applyBorder="1" applyAlignment="1">
      <alignment horizontal="center" vertical="center"/>
    </xf>
    <xf numFmtId="0" fontId="96" fillId="0" borderId="0" xfId="0" applyFont="1" applyBorder="1" applyAlignment="1">
      <alignment horizontal="left" wrapText="1"/>
    </xf>
    <xf numFmtId="0" fontId="107" fillId="0" borderId="0" xfId="0" applyFont="1" applyFill="1" applyBorder="1" applyAlignment="1">
      <alignment horizontal="center"/>
    </xf>
    <xf numFmtId="0" fontId="110" fillId="0" borderId="0" xfId="0" applyFont="1" applyFill="1" applyBorder="1" applyAlignment="1">
      <alignment horizontal="center"/>
    </xf>
    <xf numFmtId="0" fontId="97" fillId="0" borderId="0" xfId="0" applyFont="1" applyBorder="1" applyAlignment="1">
      <alignment horizontal="left" vertical="center" wrapText="1"/>
    </xf>
    <xf numFmtId="0" fontId="126" fillId="0" borderId="0" xfId="0" applyFont="1" applyBorder="1" applyAlignment="1">
      <alignment horizontal="left" vertical="center" wrapText="1"/>
    </xf>
    <xf numFmtId="0" fontId="74" fillId="0" borderId="0" xfId="0" applyFont="1" applyAlignment="1">
      <alignment horizontal="left" vertical="center" wrapText="1"/>
    </xf>
    <xf numFmtId="0" fontId="74" fillId="0" borderId="0" xfId="0" applyFont="1" applyFill="1" applyAlignment="1">
      <alignment horizontal="left" vertical="center" wrapText="1"/>
    </xf>
    <xf numFmtId="0" fontId="106" fillId="43" borderId="13" xfId="0" applyFont="1" applyFill="1" applyBorder="1" applyAlignment="1">
      <alignment horizontal="center" vertical="center" wrapText="1"/>
    </xf>
    <xf numFmtId="0" fontId="106" fillId="43" borderId="15" xfId="0" applyFont="1" applyFill="1" applyBorder="1" applyAlignment="1">
      <alignment horizontal="center" vertical="center" wrapText="1"/>
    </xf>
    <xf numFmtId="0" fontId="111" fillId="0" borderId="10" xfId="0" applyFont="1" applyBorder="1" applyAlignment="1">
      <alignment vertical="center" wrapText="1"/>
    </xf>
    <xf numFmtId="0" fontId="92" fillId="0" borderId="10" xfId="0" applyFont="1" applyFill="1" applyBorder="1" applyAlignment="1">
      <alignment vertical="center" wrapText="1"/>
    </xf>
    <xf numFmtId="0" fontId="104" fillId="0" borderId="0" xfId="49" applyFont="1" applyAlignment="1">
      <alignment horizontal="left" wrapText="1"/>
    </xf>
    <xf numFmtId="0" fontId="96" fillId="0" borderId="0" xfId="0" applyFont="1" applyAlignment="1">
      <alignment horizontal="left" vertical="center"/>
    </xf>
    <xf numFmtId="0" fontId="112" fillId="0" borderId="0" xfId="0" applyFont="1" applyAlignment="1">
      <alignment horizontal="left" vertical="center"/>
    </xf>
    <xf numFmtId="0" fontId="106" fillId="43" borderId="19" xfId="0" applyFont="1" applyFill="1" applyBorder="1" applyAlignment="1">
      <alignment horizontal="center" vertical="center" wrapText="1"/>
    </xf>
    <xf numFmtId="0" fontId="106" fillId="43" borderId="16" xfId="0" applyFont="1" applyFill="1" applyBorder="1" applyAlignment="1">
      <alignment horizontal="center" vertical="center" wrapText="1"/>
    </xf>
    <xf numFmtId="0" fontId="96" fillId="0" borderId="0" xfId="0" applyFont="1" applyBorder="1" applyAlignment="1">
      <alignment horizontal="left" vertical="center"/>
    </xf>
    <xf numFmtId="0" fontId="106" fillId="43" borderId="10" xfId="0" applyFont="1" applyFill="1" applyBorder="1" applyAlignment="1">
      <alignment horizontal="center" vertical="center"/>
    </xf>
    <xf numFmtId="0" fontId="37" fillId="41" borderId="10" xfId="0" applyFont="1" applyFill="1" applyBorder="1" applyAlignment="1">
      <alignment horizontal="center" vertical="center" wrapText="1"/>
    </xf>
    <xf numFmtId="165" fontId="27" fillId="37" borderId="12" xfId="51" applyFont="1" applyFill="1" applyBorder="1" applyAlignment="1">
      <alignment horizontal="center" vertical="center" wrapText="1"/>
    </xf>
    <xf numFmtId="0" fontId="27" fillId="42" borderId="27" xfId="0" applyFont="1" applyFill="1" applyBorder="1" applyAlignment="1">
      <alignment horizontal="center" vertical="center" wrapText="1"/>
    </xf>
    <xf numFmtId="0" fontId="27" fillId="42" borderId="34" xfId="0" applyFont="1" applyFill="1" applyBorder="1" applyAlignment="1">
      <alignment horizontal="center" vertical="center" wrapText="1"/>
    </xf>
    <xf numFmtId="0" fontId="27" fillId="42" borderId="35"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27" fillId="34" borderId="34" xfId="0" applyFont="1" applyFill="1" applyBorder="1" applyAlignment="1">
      <alignment horizontal="center" vertical="center" wrapText="1"/>
    </xf>
    <xf numFmtId="0" fontId="27" fillId="34" borderId="35" xfId="0" applyFont="1" applyFill="1" applyBorder="1" applyAlignment="1">
      <alignment horizontal="center" vertical="center" wrapText="1"/>
    </xf>
    <xf numFmtId="0" fontId="27" fillId="36" borderId="26"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24" xfId="0" applyFont="1" applyFill="1" applyBorder="1" applyAlignment="1">
      <alignment horizontal="center" vertical="center" wrapText="1"/>
    </xf>
    <xf numFmtId="165" fontId="52" fillId="45" borderId="16" xfId="51" applyFont="1" applyFill="1" applyBorder="1" applyAlignment="1">
      <alignment horizontal="center" vertical="center"/>
    </xf>
  </cellXfs>
  <cellStyles count="322">
    <cellStyle name="          _x000d__x000a_386grabber=VGA.3GR_x000d__x000a_" xfId="62" xr:uid="{00000000-0005-0000-0000-000000000000}"/>
    <cellStyle name="          _x000d__x000a_386grabber=VGA.3GR_x000d__x000a_ 2" xfId="317"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0" xr:uid="{D8F6C0B4-9C5B-4537-A1C8-06590BE6AA67}"/>
    <cellStyle name="Comma [0] 2 2 2 3" xfId="152" xr:uid="{00000000-0005-0000-0000-000022000000}"/>
    <cellStyle name="Comma [0] 2 2 2 3 2" xfId="258" xr:uid="{9B1BCA4F-96FD-4B8F-B317-562B521C2DDD}"/>
    <cellStyle name="Comma [0] 2 2 2 4" xfId="231" xr:uid="{F066D948-6A0F-429C-AB0D-8E1770CEA983}"/>
    <cellStyle name="Comma [0] 2 2 3" xfId="186" xr:uid="{00000000-0005-0000-0000-000023000000}"/>
    <cellStyle name="Comma [0] 2 2 3 2" xfId="290" xr:uid="{3A501BA3-6825-4719-815A-395A2FD1CB1A}"/>
    <cellStyle name="Comma [0] 2 2 4" xfId="174" xr:uid="{00000000-0005-0000-0000-000024000000}"/>
    <cellStyle name="Comma [0] 2 2 4 2" xfId="279" xr:uid="{09BFC246-2339-4B89-9EED-F38E0841659A}"/>
    <cellStyle name="Comma [0] 2 2 5" xfId="142" xr:uid="{00000000-0005-0000-0000-000025000000}"/>
    <cellStyle name="Comma [0] 2 2 5 2" xfId="248" xr:uid="{0E500BFA-C849-483D-ABC3-8025FF0BB617}"/>
    <cellStyle name="Comma [0] 2 2 6" xfId="219" xr:uid="{ECD128BB-7222-4380-8604-CEB8A0769ED2}"/>
    <cellStyle name="Comma [0] 2 3" xfId="103" xr:uid="{00000000-0005-0000-0000-000026000000}"/>
    <cellStyle name="Comma [0] 2 3 2" xfId="198" xr:uid="{00000000-0005-0000-0000-000027000000}"/>
    <cellStyle name="Comma [0] 2 3 2 2" xfId="299" xr:uid="{ED87595D-ECDA-4D5F-81DC-E2CD59867816}"/>
    <cellStyle name="Comma [0] 2 3 3" xfId="151" xr:uid="{00000000-0005-0000-0000-000028000000}"/>
    <cellStyle name="Comma [0] 2 3 3 2" xfId="257" xr:uid="{7925824C-D3E1-470F-BC8E-A6790C61565E}"/>
    <cellStyle name="Comma [0] 2 3 4" xfId="230" xr:uid="{EFB7DE92-37A6-4636-B5C0-D2C013FBE23E}"/>
    <cellStyle name="Comma [0] 2 4" xfId="139" xr:uid="{00000000-0005-0000-0000-000029000000}"/>
    <cellStyle name="Comma [0] 2 5" xfId="173" xr:uid="{00000000-0005-0000-0000-00002A000000}"/>
    <cellStyle name="Comma [0] 2 5 2" xfId="278" xr:uid="{4DB4F7EE-34BC-4FC4-BDBC-B245E4E4549D}"/>
    <cellStyle name="Comma [0] 2 6" xfId="218" xr:uid="{917A1EE9-6939-4D6B-A745-C3AE2EEE79F7}"/>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2 2" xfId="305" xr:uid="{6E8A8A3D-F157-46C2-916D-24DBAAF01B84}"/>
    <cellStyle name="Comma 2 2 2 2 3" xfId="157" xr:uid="{00000000-0005-0000-0000-000030000000}"/>
    <cellStyle name="Comma 2 2 2 2 3 2" xfId="263" xr:uid="{A3C5FAF5-2D05-46D6-AFCE-FE8F827E5962}"/>
    <cellStyle name="Comma 2 2 2 2 4" xfId="236" xr:uid="{1F671366-614E-455C-8E17-1BFC3186D9B1}"/>
    <cellStyle name="Comma 2 2 2 3" xfId="190" xr:uid="{00000000-0005-0000-0000-000031000000}"/>
    <cellStyle name="Comma 2 2 2 3 2" xfId="294" xr:uid="{0835710B-1A99-45BB-B9A3-68DE662F48C7}"/>
    <cellStyle name="Comma 2 2 2 4" xfId="179" xr:uid="{00000000-0005-0000-0000-000032000000}"/>
    <cellStyle name="Comma 2 2 2 4 2" xfId="284" xr:uid="{381B7AEF-CEA2-4C2F-B700-17402A0F9697}"/>
    <cellStyle name="Comma 2 2 2 5" xfId="146" xr:uid="{00000000-0005-0000-0000-000033000000}"/>
    <cellStyle name="Comma 2 2 2 5 2" xfId="252" xr:uid="{C732E66D-9B1E-44B4-8F8C-E2619BDD4099}"/>
    <cellStyle name="Comma 2 2 2 6" xfId="225" xr:uid="{790C724F-81EC-4743-AB1C-21C60608CC12}"/>
    <cellStyle name="Comma 2 2 3" xfId="107" xr:uid="{00000000-0005-0000-0000-000034000000}"/>
    <cellStyle name="Comma 2 2 3 2" xfId="202" xr:uid="{00000000-0005-0000-0000-000035000000}"/>
    <cellStyle name="Comma 2 2 3 2 2" xfId="303" xr:uid="{F8A2D356-2276-4CA2-93A7-627C08AE7B53}"/>
    <cellStyle name="Comma 2 2 3 3" xfId="155" xr:uid="{00000000-0005-0000-0000-000036000000}"/>
    <cellStyle name="Comma 2 2 3 3 2" xfId="261" xr:uid="{EEF25294-3626-4291-919A-A90AC4FE8A3E}"/>
    <cellStyle name="Comma 2 2 3 4" xfId="234" xr:uid="{94928F37-0B7B-46F1-9F75-A620CE028794}"/>
    <cellStyle name="Comma 2 2 4" xfId="135" xr:uid="{00000000-0005-0000-0000-000037000000}"/>
    <cellStyle name="Comma 2 2 5" xfId="177" xr:uid="{00000000-0005-0000-0000-000038000000}"/>
    <cellStyle name="Comma 2 2 5 2" xfId="282" xr:uid="{16E31B89-5A0C-4FF2-9A54-BAA345A95CE3}"/>
    <cellStyle name="Comma 2 2 6" xfId="88" xr:uid="{00000000-0005-0000-0000-000039000000}"/>
    <cellStyle name="Comma 2 2 7" xfId="222" xr:uid="{3DAFF674-6BE6-4772-90CC-CD8C02E8A18E}"/>
    <cellStyle name="Comma 2 3" xfId="105" xr:uid="{00000000-0005-0000-0000-00003A000000}"/>
    <cellStyle name="Comma 2 3 2" xfId="200" xr:uid="{00000000-0005-0000-0000-00003B000000}"/>
    <cellStyle name="Comma 2 3 2 2" xfId="301" xr:uid="{4AA95F65-297A-4935-8C2A-A805018B3938}"/>
    <cellStyle name="Comma 2 3 3" xfId="153" xr:uid="{00000000-0005-0000-0000-00003C000000}"/>
    <cellStyle name="Comma 2 3 3 2" xfId="259" xr:uid="{AB7B6F1B-84A4-426F-B603-9A80383FEE29}"/>
    <cellStyle name="Comma 2 3 4" xfId="232" xr:uid="{AF2F59B7-431E-40E9-89D3-37D13C72D58D}"/>
    <cellStyle name="Comma 2 4" xfId="187" xr:uid="{00000000-0005-0000-0000-00003D000000}"/>
    <cellStyle name="Comma 2 4 2" xfId="291" xr:uid="{9331C7CA-F45C-467A-A3FA-6940B8C4EB27}"/>
    <cellStyle name="Comma 2 5" xfId="175" xr:uid="{00000000-0005-0000-0000-00003E000000}"/>
    <cellStyle name="Comma 2 5 2" xfId="280" xr:uid="{969A4956-9778-4630-ADB2-454BEE43BF5D}"/>
    <cellStyle name="Comma 2 6" xfId="143" xr:uid="{00000000-0005-0000-0000-00003F000000}"/>
    <cellStyle name="Comma 2 6 2" xfId="249" xr:uid="{862F28BD-7468-44D4-92B2-74A29FF719F5}"/>
    <cellStyle name="Comma 2 7" xfId="74" xr:uid="{00000000-0005-0000-0000-000040000000}"/>
    <cellStyle name="Comma 2 7 2" xfId="220" xr:uid="{DBD63FDB-4388-4CD5-AD87-AD7F1277B2F8}"/>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0 2" xfId="223" xr:uid="{D26917C6-9E9F-487B-B43C-671930108E7D}"/>
    <cellStyle name="Millares [0] 11" xfId="60" xr:uid="{00000000-0005-0000-0000-000057000000}"/>
    <cellStyle name="Millares [0] 12" xfId="216" xr:uid="{99344394-E4E7-4DB0-9F6A-C6C0FE62949D}"/>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8" xr:uid="{BAA4827E-8E00-4153-A088-A691BF2DE3C0}"/>
    <cellStyle name="Millares [0] 2 2 2 3" xfId="160" xr:uid="{00000000-0005-0000-0000-00005C000000}"/>
    <cellStyle name="Millares [0] 2 2 2 3 2" xfId="266" xr:uid="{89CAC1EB-003D-4F65-ADB6-7F917F6C634C}"/>
    <cellStyle name="Millares [0] 2 2 2 4" xfId="239" xr:uid="{1BE74BEE-5B2A-4399-8DFE-AA22C78F9040}"/>
    <cellStyle name="Millares [0] 2 2 3" xfId="195" xr:uid="{00000000-0005-0000-0000-00005D000000}"/>
    <cellStyle name="Millares [0] 2 2 3 2" xfId="297" xr:uid="{3243552F-421E-4891-B15E-F1371332458A}"/>
    <cellStyle name="Millares [0] 2 2 4" xfId="149" xr:uid="{00000000-0005-0000-0000-00005E000000}"/>
    <cellStyle name="Millares [0] 2 2 4 2" xfId="255" xr:uid="{72256022-002E-437C-879F-133CF81BA4B4}"/>
    <cellStyle name="Millares [0] 2 2 5" xfId="101" xr:uid="{00000000-0005-0000-0000-00005F000000}"/>
    <cellStyle name="Millares [0] 2 2 6" xfId="228" xr:uid="{5A2EF6ED-0B1B-462E-88ED-47D0683229CB}"/>
    <cellStyle name="Millares [0] 2 3" xfId="136" xr:uid="{00000000-0005-0000-0000-000060000000}"/>
    <cellStyle name="Millares [0] 2 4" xfId="169" xr:uid="{00000000-0005-0000-0000-000061000000}"/>
    <cellStyle name="Millares [0] 2 4 2" xfId="275" xr:uid="{ABF5FD1D-0102-46D1-A8E9-903ECEB1FABD}"/>
    <cellStyle name="Millares [0] 2 5" xfId="90" xr:uid="{00000000-0005-0000-0000-000062000000}"/>
    <cellStyle name="Millares [0] 2 5 2" xfId="224" xr:uid="{DC6D671B-811A-4B6A-B998-52890DD3D46E}"/>
    <cellStyle name="Millares [0] 3" xfId="56" xr:uid="{00000000-0005-0000-0000-000063000000}"/>
    <cellStyle name="Millares [0] 3 2" xfId="111" xr:uid="{00000000-0005-0000-0000-000064000000}"/>
    <cellStyle name="Millares [0] 3 2 2" xfId="206" xr:uid="{00000000-0005-0000-0000-000065000000}"/>
    <cellStyle name="Millares [0] 3 2 2 2" xfId="307" xr:uid="{92113C0B-4D84-4E4B-9F7D-6EA914308309}"/>
    <cellStyle name="Millares [0] 3 2 3" xfId="159" xr:uid="{00000000-0005-0000-0000-000066000000}"/>
    <cellStyle name="Millares [0] 3 2 3 2" xfId="265" xr:uid="{7C3D65A8-74EC-48A0-B097-29CAF2830D16}"/>
    <cellStyle name="Millares [0] 3 2 4" xfId="238" xr:uid="{1D198660-229B-40CA-AD12-C060DD8C9484}"/>
    <cellStyle name="Millares [0] 3 3" xfId="194" xr:uid="{00000000-0005-0000-0000-000067000000}"/>
    <cellStyle name="Millares [0] 3 3 2" xfId="296" xr:uid="{E45D31E0-03D9-493A-88AF-0187002C16DA}"/>
    <cellStyle name="Millares [0] 3 4" xfId="178" xr:uid="{00000000-0005-0000-0000-000068000000}"/>
    <cellStyle name="Millares [0] 3 4 2" xfId="283" xr:uid="{F763AF13-1DCA-4B23-AF9E-222979589A99}"/>
    <cellStyle name="Millares [0] 3 5" xfId="148" xr:uid="{00000000-0005-0000-0000-000069000000}"/>
    <cellStyle name="Millares [0] 3 5 2" xfId="254" xr:uid="{621B4A90-BD23-4898-906F-AC5C5545EF4E}"/>
    <cellStyle name="Millares [0] 3 6" xfId="99" xr:uid="{00000000-0005-0000-0000-00006A000000}"/>
    <cellStyle name="Millares [0] 3 6 2" xfId="227" xr:uid="{84BAAFB0-2368-456B-8C29-DF1782874EC0}"/>
    <cellStyle name="Millares [0] 3 7" xfId="63" xr:uid="{00000000-0005-0000-0000-00006B000000}"/>
    <cellStyle name="Millares [0] 4" xfId="108" xr:uid="{00000000-0005-0000-0000-00006C000000}"/>
    <cellStyle name="Millares [0] 4 2" xfId="203" xr:uid="{00000000-0005-0000-0000-00006D000000}"/>
    <cellStyle name="Millares [0] 4 2 2" xfId="304" xr:uid="{F3BB06CE-A283-49C5-B211-EDAE32D9703A}"/>
    <cellStyle name="Millares [0] 4 3" xfId="182" xr:uid="{00000000-0005-0000-0000-00006E000000}"/>
    <cellStyle name="Millares [0] 4 3 2" xfId="287" xr:uid="{881E4D3E-2260-476E-ADE0-A469D533E62D}"/>
    <cellStyle name="Millares [0] 4 4" xfId="156" xr:uid="{00000000-0005-0000-0000-00006F000000}"/>
    <cellStyle name="Millares [0] 4 4 2" xfId="262" xr:uid="{9D4EF0BE-589E-4CA2-9F78-D021BD1E2C05}"/>
    <cellStyle name="Millares [0] 4 5" xfId="235" xr:uid="{290E8CDC-207D-42BB-9D4D-AEA96795A77B}"/>
    <cellStyle name="Millares [0] 5" xfId="118" xr:uid="{00000000-0005-0000-0000-000070000000}"/>
    <cellStyle name="Millares [0] 5 2" xfId="208" xr:uid="{00000000-0005-0000-0000-000071000000}"/>
    <cellStyle name="Millares [0] 5 2 2" xfId="309" xr:uid="{0B4DC058-B150-4B56-90B1-4966E14FA256}"/>
    <cellStyle name="Millares [0] 5 3" xfId="170" xr:uid="{00000000-0005-0000-0000-000072000000}"/>
    <cellStyle name="Millares [0] 5 3 2" xfId="276" xr:uid="{8E80F9FB-88FD-449A-B819-3DDB028E0587}"/>
    <cellStyle name="Millares [0] 5 4" xfId="162" xr:uid="{00000000-0005-0000-0000-000073000000}"/>
    <cellStyle name="Millares [0] 5 4 2" xfId="268" xr:uid="{79D71F3D-B5EF-413C-B4FD-7A19A3A6F0A6}"/>
    <cellStyle name="Millares [0] 5 5" xfId="240" xr:uid="{1F31BEE9-2713-45CD-AA35-B3A0EA72585C}"/>
    <cellStyle name="Millares [0] 6" xfId="131" xr:uid="{00000000-0005-0000-0000-000074000000}"/>
    <cellStyle name="Millares [0] 6 2" xfId="213" xr:uid="{00000000-0005-0000-0000-000075000000}"/>
    <cellStyle name="Millares [0] 6 2 2" xfId="314" xr:uid="{090297E3-7FEE-4B23-9BCB-B3DE2DDF20D2}"/>
    <cellStyle name="Millares [0] 6 3" xfId="183" xr:uid="{00000000-0005-0000-0000-000076000000}"/>
    <cellStyle name="Millares [0] 6 3 2" xfId="288" xr:uid="{04ECDC5D-973C-4C21-A1BA-3D4ED9D8C501}"/>
    <cellStyle name="Millares [0] 6 4" xfId="167" xr:uid="{00000000-0005-0000-0000-000077000000}"/>
    <cellStyle name="Millares [0] 6 4 2" xfId="273" xr:uid="{AB008AA4-B55A-42E8-998A-57C88D1FB186}"/>
    <cellStyle name="Millares [0] 6 5" xfId="245" xr:uid="{52EE4DD8-85AD-453B-872B-EDDC1B78A872}"/>
    <cellStyle name="Millares [0] 7" xfId="117" xr:uid="{00000000-0005-0000-0000-000078000000}"/>
    <cellStyle name="Millares [0] 8" xfId="189" xr:uid="{00000000-0005-0000-0000-000079000000}"/>
    <cellStyle name="Millares [0] 8 2" xfId="293" xr:uid="{B5036CDC-6C17-44A0-8B65-075010CF6C22}"/>
    <cellStyle name="Millares [0] 9" xfId="145" xr:uid="{00000000-0005-0000-0000-00007A000000}"/>
    <cellStyle name="Millares [0] 9 2" xfId="251" xr:uid="{5377506E-34B3-4EFC-8FA9-CC6C146EABA7}"/>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2 2" xfId="315" xr:uid="{4F38B849-0E5F-409A-BBAB-7820CA440260}"/>
    <cellStyle name="Millares 11 3" xfId="168" xr:uid="{00000000-0005-0000-0000-00007F000000}"/>
    <cellStyle name="Millares 11 3 2" xfId="274" xr:uid="{F725AF24-7E5E-45AB-ADBF-07D11C5FF8C5}"/>
    <cellStyle name="Millares 11 4" xfId="246" xr:uid="{B15448DF-1713-4408-885E-D0AA43FEE305}"/>
    <cellStyle name="Millares 12" xfId="115" xr:uid="{00000000-0005-0000-0000-000080000000}"/>
    <cellStyle name="Millares 13" xfId="185" xr:uid="{00000000-0005-0000-0000-000081000000}"/>
    <cellStyle name="Millares 13 2" xfId="289" xr:uid="{18D9E2C7-3F5D-4181-B2A5-E6D54720CB85}"/>
    <cellStyle name="Millares 14" xfId="184" xr:uid="{00000000-0005-0000-0000-000082000000}"/>
    <cellStyle name="Millares 15" xfId="171" xr:uid="{00000000-0005-0000-0000-000083000000}"/>
    <cellStyle name="Millares 16" xfId="141" xr:uid="{00000000-0005-0000-0000-000084000000}"/>
    <cellStyle name="Millares 16 2" xfId="247" xr:uid="{15314830-31D1-467E-86E5-DDBA0EA20003}"/>
    <cellStyle name="Millares 17" xfId="161" xr:uid="{00000000-0005-0000-0000-000085000000}"/>
    <cellStyle name="Millares 17 2" xfId="267" xr:uid="{6F072DDD-93CD-4C61-A6A6-A7090DA12463}"/>
    <cellStyle name="Millares 18" xfId="70" xr:uid="{00000000-0005-0000-0000-000086000000}"/>
    <cellStyle name="Millares 18 2" xfId="217" xr:uid="{446282E4-7708-487D-93EF-593C6016615C}"/>
    <cellStyle name="Millares 19" xfId="316"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6" xr:uid="{3464422F-87C3-438F-A963-7E7B009B8337}"/>
    <cellStyle name="Millares 19 2 2 3" xfId="158" xr:uid="{00000000-0005-0000-0000-00008A000000}"/>
    <cellStyle name="Millares 19 2 2 3 2" xfId="264" xr:uid="{D7DFCB55-A299-43BC-9FBD-8D2BB8210CD2}"/>
    <cellStyle name="Millares 19 2 2 4" xfId="237" xr:uid="{163EC14B-2B56-4A0F-B53D-13D47BEA2F31}"/>
    <cellStyle name="Millares 19 2 3" xfId="193" xr:uid="{00000000-0005-0000-0000-00008B000000}"/>
    <cellStyle name="Millares 19 2 3 2" xfId="295" xr:uid="{37A4362C-7C32-47F1-845D-09EBF48418CC}"/>
    <cellStyle name="Millares 19 2 4" xfId="147" xr:uid="{00000000-0005-0000-0000-00008C000000}"/>
    <cellStyle name="Millares 19 2 4 2" xfId="253" xr:uid="{648FDB2E-97C5-42BF-BFB9-6A62A37547AF}"/>
    <cellStyle name="Millares 19 2 5" xfId="226" xr:uid="{E892BF56-2B2F-46E5-8B1E-B0F2002F33CB}"/>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2" xr:uid="{F382E3AB-51B4-4A7D-99EC-5E7BDE403BF9}"/>
    <cellStyle name="Millares 2 2 2 3" xfId="154" xr:uid="{00000000-0005-0000-0000-000091000000}"/>
    <cellStyle name="Millares 2 2 2 3 2" xfId="260" xr:uid="{BF6FE3C6-9F3B-4BD9-AB01-E72A029BFCE3}"/>
    <cellStyle name="Millares 2 2 2 4" xfId="233" xr:uid="{72BAADC7-F76E-4C34-BC11-3CA83BCE95B1}"/>
    <cellStyle name="Millares 2 2 3" xfId="188" xr:uid="{00000000-0005-0000-0000-000092000000}"/>
    <cellStyle name="Millares 2 2 3 2" xfId="292" xr:uid="{5D9FC505-53DF-44C3-998D-B843CD3F77D8}"/>
    <cellStyle name="Millares 2 2 4" xfId="176" xr:uid="{00000000-0005-0000-0000-000093000000}"/>
    <cellStyle name="Millares 2 2 4 2" xfId="281" xr:uid="{EF4548F4-02DA-44E6-8036-0FC0B83048AD}"/>
    <cellStyle name="Millares 2 2 5" xfId="144" xr:uid="{00000000-0005-0000-0000-000094000000}"/>
    <cellStyle name="Millares 2 2 5 2" xfId="250" xr:uid="{B836873C-43C2-4559-82C8-17A741E3B6FB}"/>
    <cellStyle name="Millares 2 2 6" xfId="221" xr:uid="{A7B0CB49-B2EB-447D-BB3C-671D002634A1}"/>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20" xfId="318" xr:uid="{2EAC8086-A52E-4E07-B9A6-8505D2953035}"/>
    <cellStyle name="Millares 21" xfId="320" xr:uid="{B0950C5D-A6C9-4FD1-AB5B-4BFD70F57DFA}"/>
    <cellStyle name="Millares 3" xfId="65" xr:uid="{00000000-0005-0000-0000-00009A000000}"/>
    <cellStyle name="Millares 3 2" xfId="77" xr:uid="{00000000-0005-0000-0000-00009B000000}"/>
    <cellStyle name="Millares 4" xfId="64" xr:uid="{00000000-0005-0000-0000-00009C000000}"/>
    <cellStyle name="Millares 4 2" xfId="133" xr:uid="{00000000-0005-0000-0000-00009D000000}"/>
    <cellStyle name="Millares 4 3" xfId="121" xr:uid="{00000000-0005-0000-0000-00009E000000}"/>
    <cellStyle name="Millares 4 3 2" xfId="210" xr:uid="{00000000-0005-0000-0000-00009F000000}"/>
    <cellStyle name="Millares 4 3 2 2" xfId="311" xr:uid="{16877C51-6622-4719-9528-31D256BDE17F}"/>
    <cellStyle name="Millares 4 3 3" xfId="164" xr:uid="{00000000-0005-0000-0000-0000A0000000}"/>
    <cellStyle name="Millares 4 3 3 2" xfId="270" xr:uid="{F8D317CD-4650-46A6-972F-53C9027E8AE1}"/>
    <cellStyle name="Millares 4 3 4" xfId="242" xr:uid="{98C14EFB-84AF-4C9D-BBEC-E50691005703}"/>
    <cellStyle name="Millares 4 4" xfId="192" xr:uid="{00000000-0005-0000-0000-0000A1000000}"/>
    <cellStyle name="Millares 4 5" xfId="172" xr:uid="{00000000-0005-0000-0000-0000A2000000}"/>
    <cellStyle name="Millares 4 5 2" xfId="277" xr:uid="{B2D657AB-6D27-4C38-AE66-75230FD8AAF8}"/>
    <cellStyle name="Millares 5" xfId="67" xr:uid="{00000000-0005-0000-0000-0000A3000000}"/>
    <cellStyle name="Millares 5 2" xfId="137" xr:uid="{00000000-0005-0000-0000-0000A4000000}"/>
    <cellStyle name="Millares 5 3" xfId="129" xr:uid="{00000000-0005-0000-0000-0000A5000000}"/>
    <cellStyle name="Millares 5 3 2" xfId="211" xr:uid="{00000000-0005-0000-0000-0000A6000000}"/>
    <cellStyle name="Millares 5 3 2 2" xfId="312" xr:uid="{4B6B9331-7887-442E-952F-45B10A13037E}"/>
    <cellStyle name="Millares 5 3 3" xfId="165" xr:uid="{00000000-0005-0000-0000-0000A7000000}"/>
    <cellStyle name="Millares 5 3 3 2" xfId="271" xr:uid="{10AFC5D7-FECD-441F-B830-661980E926A8}"/>
    <cellStyle name="Millares 5 3 4" xfId="243" xr:uid="{FE68CEBC-1119-47E9-9CB5-F6BFC970DC83}"/>
    <cellStyle name="Millares 5 4" xfId="191" xr:uid="{00000000-0005-0000-0000-0000A8000000}"/>
    <cellStyle name="Millares 5 5" xfId="180" xr:uid="{00000000-0005-0000-0000-0000A9000000}"/>
    <cellStyle name="Millares 5 5 2" xfId="285" xr:uid="{E17EA94A-D7CE-4718-82B5-C2DCF9229307}"/>
    <cellStyle name="Millares 6" xfId="68" xr:uid="{00000000-0005-0000-0000-0000AA000000}"/>
    <cellStyle name="Millares 6 2" xfId="120" xr:uid="{00000000-0005-0000-0000-0000AB000000}"/>
    <cellStyle name="Millares 6 3" xfId="130" xr:uid="{00000000-0005-0000-0000-0000AC000000}"/>
    <cellStyle name="Millares 6 3 2" xfId="212" xr:uid="{00000000-0005-0000-0000-0000AD000000}"/>
    <cellStyle name="Millares 6 3 2 2" xfId="313" xr:uid="{BB46958F-4100-4B25-8B33-A8C8636CF657}"/>
    <cellStyle name="Millares 6 3 3" xfId="166" xr:uid="{00000000-0005-0000-0000-0000AE000000}"/>
    <cellStyle name="Millares 6 3 3 2" xfId="272" xr:uid="{EBC0F28F-0ED4-4F06-887F-15215519E3A4}"/>
    <cellStyle name="Millares 6 3 4" xfId="244" xr:uid="{50F69E58-F614-4357-AA89-9CB24F10423D}"/>
    <cellStyle name="Millares 6 4" xfId="196" xr:uid="{00000000-0005-0000-0000-0000AF000000}"/>
    <cellStyle name="Millares 6 5" xfId="181" xr:uid="{00000000-0005-0000-0000-0000B0000000}"/>
    <cellStyle name="Millares 6 5 2" xfId="286" xr:uid="{704E4021-3E62-4250-9540-45B2B2420E2C}"/>
    <cellStyle name="Millares 7" xfId="66" xr:uid="{00000000-0005-0000-0000-0000B1000000}"/>
    <cellStyle name="Millares 7 2" xfId="119" xr:uid="{00000000-0005-0000-0000-0000B2000000}"/>
    <cellStyle name="Millares 7 2 2" xfId="209" xr:uid="{00000000-0005-0000-0000-0000B3000000}"/>
    <cellStyle name="Millares 7 2 2 2" xfId="310" xr:uid="{41736706-4A19-49F1-A19E-F9D76F13E2EA}"/>
    <cellStyle name="Millares 7 2 3" xfId="163" xr:uid="{00000000-0005-0000-0000-0000B4000000}"/>
    <cellStyle name="Millares 7 2 3 2" xfId="269" xr:uid="{F2069326-5EFA-4E63-9CEB-13F0056BC2E5}"/>
    <cellStyle name="Millares 7 2 4" xfId="241" xr:uid="{C0F02893-5BB1-42DB-8C9D-C5B92831E1BE}"/>
    <cellStyle name="Millares 7 3" xfId="132" xr:uid="{00000000-0005-0000-0000-0000B5000000}"/>
    <cellStyle name="Millares 7 4" xfId="197" xr:uid="{00000000-0005-0000-0000-0000B6000000}"/>
    <cellStyle name="Millares 7 4 2" xfId="298" xr:uid="{208EDCB0-F30B-4E1A-9469-4FE8AC795009}"/>
    <cellStyle name="Millares 7 5" xfId="150" xr:uid="{00000000-0005-0000-0000-0000B7000000}"/>
    <cellStyle name="Millares 7 5 2" xfId="256" xr:uid="{03C37BB0-74DA-48DF-9CEE-4A98134A05EF}"/>
    <cellStyle name="Millares 7 6" xfId="102" xr:uid="{00000000-0005-0000-0000-0000B8000000}"/>
    <cellStyle name="Millares 7 6 2" xfId="229" xr:uid="{30A918DB-6FD9-487B-99B1-FED8EECD13A5}"/>
    <cellStyle name="Millares 8" xfId="69" xr:uid="{00000000-0005-0000-0000-0000B9000000}"/>
    <cellStyle name="Millares 8 2" xfId="138" xr:uid="{00000000-0005-0000-0000-0000BA000000}"/>
    <cellStyle name="Millares 8 3" xfId="113" xr:uid="{00000000-0005-0000-0000-0000BB000000}"/>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4" xfId="215" xr:uid="{E5E81AFE-87E3-4F31-BE7A-EC914E991975}"/>
    <cellStyle name="Normal 4 2" xfId="321" xr:uid="{DEDE2EAF-4059-477E-B665-1C821F45AFF5}"/>
    <cellStyle name="Normal 5" xfId="83" xr:uid="{00000000-0005-0000-0000-0000CD000000}"/>
    <cellStyle name="Normal_Estados Fiscal 1999" xfId="44" xr:uid="{00000000-0005-0000-0000-0000CE000000}"/>
    <cellStyle name="Notas" xfId="15" builtinId="10" customBuiltin="1"/>
    <cellStyle name="Porcentaje" xfId="57" builtinId="5"/>
    <cellStyle name="Porcentaje 2" xfId="319" xr:uid="{1CE59DF6-A467-4A1E-897A-B166F6E878AB}"/>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66FFCC"/>
      <color rgb="FF006699"/>
      <color rgb="FF336699"/>
      <color rgb="FF000066"/>
      <color rgb="FF3333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3</xdr:row>
      <xdr:rowOff>1063</xdr:rowOff>
    </xdr:from>
    <xdr:to>
      <xdr:col>3</xdr:col>
      <xdr:colOff>190869</xdr:colOff>
      <xdr:row>9</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409575" y="54398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665241</xdr:colOff>
      <xdr:row>1</xdr:row>
      <xdr:rowOff>228478</xdr:rowOff>
    </xdr:from>
    <xdr:to>
      <xdr:col>8</xdr:col>
      <xdr:colOff>112987</xdr:colOff>
      <xdr:row>5</xdr:row>
      <xdr:rowOff>22858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566508" y="355478"/>
          <a:ext cx="1389152" cy="7511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435426</xdr:colOff>
      <xdr:row>2</xdr:row>
      <xdr:rowOff>10886</xdr:rowOff>
    </xdr:from>
    <xdr:to>
      <xdr:col>7</xdr:col>
      <xdr:colOff>2104434</xdr:colOff>
      <xdr:row>5</xdr:row>
      <xdr:rowOff>206827</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556169" y="402772"/>
          <a:ext cx="1669008" cy="881741"/>
        </a:xfrm>
        <a:prstGeom prst="rect">
          <a:avLst/>
        </a:prstGeom>
      </xdr:spPr>
    </xdr:pic>
    <xdr:clientData/>
  </xdr:twoCellAnchor>
  <xdr:twoCellAnchor>
    <xdr:from>
      <xdr:col>1</xdr:col>
      <xdr:colOff>0</xdr:colOff>
      <xdr:row>97</xdr:row>
      <xdr:rowOff>0</xdr:rowOff>
    </xdr:from>
    <xdr:to>
      <xdr:col>1</xdr:col>
      <xdr:colOff>3344333</xdr:colOff>
      <xdr:row>101</xdr:row>
      <xdr:rowOff>6049</xdr:rowOff>
    </xdr:to>
    <xdr:sp macro="" textlink="">
      <xdr:nvSpPr>
        <xdr:cNvPr id="3" name="Rectangle 2">
          <a:extLst>
            <a:ext uri="{FF2B5EF4-FFF2-40B4-BE49-F238E27FC236}">
              <a16:creationId xmlns:a16="http://schemas.microsoft.com/office/drawing/2014/main" id="{82137FC4-A011-4357-8E42-75A60EBD8A44}"/>
            </a:ext>
          </a:extLst>
        </xdr:cNvPr>
        <xdr:cNvSpPr/>
      </xdr:nvSpPr>
      <xdr:spPr>
        <a:xfrm>
          <a:off x="99786" y="21707929"/>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587828</xdr:colOff>
      <xdr:row>2</xdr:row>
      <xdr:rowOff>21774</xdr:rowOff>
    </xdr:from>
    <xdr:to>
      <xdr:col>7</xdr:col>
      <xdr:colOff>968829</xdr:colOff>
      <xdr:row>5</xdr:row>
      <xdr:rowOff>211090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882742" y="337460"/>
          <a:ext cx="1665516" cy="875116"/>
        </a:xfrm>
        <a:prstGeom prst="rect">
          <a:avLst/>
        </a:prstGeom>
      </xdr:spPr>
    </xdr:pic>
    <xdr:clientData/>
  </xdr:twoCellAnchor>
  <xdr:twoCellAnchor>
    <xdr:from>
      <xdr:col>1</xdr:col>
      <xdr:colOff>0</xdr:colOff>
      <xdr:row>101</xdr:row>
      <xdr:rowOff>0</xdr:rowOff>
    </xdr:from>
    <xdr:to>
      <xdr:col>1</xdr:col>
      <xdr:colOff>3344333</xdr:colOff>
      <xdr:row>104</xdr:row>
      <xdr:rowOff>123976</xdr:rowOff>
    </xdr:to>
    <xdr:sp macro="" textlink="">
      <xdr:nvSpPr>
        <xdr:cNvPr id="3" name="Rectangle 2">
          <a:extLst>
            <a:ext uri="{FF2B5EF4-FFF2-40B4-BE49-F238E27FC236}">
              <a16:creationId xmlns:a16="http://schemas.microsoft.com/office/drawing/2014/main" id="{EC5A7243-D8DF-4DD0-B00B-8EFC69F1C792}"/>
            </a:ext>
          </a:extLst>
        </xdr:cNvPr>
        <xdr:cNvSpPr/>
      </xdr:nvSpPr>
      <xdr:spPr>
        <a:xfrm>
          <a:off x="181429" y="19694071"/>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827316</xdr:colOff>
      <xdr:row>1</xdr:row>
      <xdr:rowOff>195944</xdr:rowOff>
    </xdr:from>
    <xdr:to>
      <xdr:col>8</xdr:col>
      <xdr:colOff>186420</xdr:colOff>
      <xdr:row>5</xdr:row>
      <xdr:rowOff>225816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207830" y="326573"/>
          <a:ext cx="1645104" cy="944272"/>
        </a:xfrm>
        <a:prstGeom prst="rect">
          <a:avLst/>
        </a:prstGeom>
      </xdr:spPr>
    </xdr:pic>
    <xdr:clientData/>
  </xdr:twoCellAnchor>
  <xdr:twoCellAnchor>
    <xdr:from>
      <xdr:col>1</xdr:col>
      <xdr:colOff>0</xdr:colOff>
      <xdr:row>37</xdr:row>
      <xdr:rowOff>0</xdr:rowOff>
    </xdr:from>
    <xdr:to>
      <xdr:col>2</xdr:col>
      <xdr:colOff>713618</xdr:colOff>
      <xdr:row>41</xdr:row>
      <xdr:rowOff>6048</xdr:rowOff>
    </xdr:to>
    <xdr:sp macro="" textlink="">
      <xdr:nvSpPr>
        <xdr:cNvPr id="3" name="Rectangle 2">
          <a:extLst>
            <a:ext uri="{FF2B5EF4-FFF2-40B4-BE49-F238E27FC236}">
              <a16:creationId xmlns:a16="http://schemas.microsoft.com/office/drawing/2014/main" id="{BC00A1A8-D93B-4937-B12A-EB68994FC842}"/>
            </a:ext>
          </a:extLst>
        </xdr:cNvPr>
        <xdr:cNvSpPr/>
      </xdr:nvSpPr>
      <xdr:spPr>
        <a:xfrm>
          <a:off x="136071" y="9461500"/>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21772</xdr:colOff>
      <xdr:row>2</xdr:row>
      <xdr:rowOff>10888</xdr:rowOff>
    </xdr:from>
    <xdr:to>
      <xdr:col>10</xdr:col>
      <xdr:colOff>54429</xdr:colOff>
      <xdr:row>5</xdr:row>
      <xdr:rowOff>211385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708572" y="370117"/>
          <a:ext cx="1719943" cy="886297"/>
        </a:xfrm>
        <a:prstGeom prst="rect">
          <a:avLst/>
        </a:prstGeom>
      </xdr:spPr>
    </xdr:pic>
    <xdr:clientData/>
  </xdr:twoCellAnchor>
  <xdr:twoCellAnchor>
    <xdr:from>
      <xdr:col>1</xdr:col>
      <xdr:colOff>0</xdr:colOff>
      <xdr:row>62</xdr:row>
      <xdr:rowOff>0</xdr:rowOff>
    </xdr:from>
    <xdr:to>
      <xdr:col>1</xdr:col>
      <xdr:colOff>3344333</xdr:colOff>
      <xdr:row>65</xdr:row>
      <xdr:rowOff>123977</xdr:rowOff>
    </xdr:to>
    <xdr:sp macro="" textlink="">
      <xdr:nvSpPr>
        <xdr:cNvPr id="3" name="Rectangle 2">
          <a:extLst>
            <a:ext uri="{FF2B5EF4-FFF2-40B4-BE49-F238E27FC236}">
              <a16:creationId xmlns:a16="http://schemas.microsoft.com/office/drawing/2014/main" id="{8478F100-9EF3-4AB1-9C9E-6D2C0155A034}"/>
            </a:ext>
          </a:extLst>
        </xdr:cNvPr>
        <xdr:cNvSpPr/>
      </xdr:nvSpPr>
      <xdr:spPr>
        <a:xfrm>
          <a:off x="136071" y="14387286"/>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555173</xdr:colOff>
      <xdr:row>2</xdr:row>
      <xdr:rowOff>6807</xdr:rowOff>
    </xdr:from>
    <xdr:to>
      <xdr:col>10</xdr:col>
      <xdr:colOff>676681</xdr:colOff>
      <xdr:row>5</xdr:row>
      <xdr:rowOff>209551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813223" y="368757"/>
          <a:ext cx="1683608" cy="8885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152400</xdr:colOff>
      <xdr:row>8</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755198</xdr:colOff>
      <xdr:row>1</xdr:row>
      <xdr:rowOff>206831</xdr:rowOff>
    </xdr:from>
    <xdr:to>
      <xdr:col>6</xdr:col>
      <xdr:colOff>133350</xdr:colOff>
      <xdr:row>5</xdr:row>
      <xdr:rowOff>167069</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7375073" y="340181"/>
          <a:ext cx="1597477" cy="874638"/>
        </a:xfrm>
        <a:prstGeom prst="rect">
          <a:avLst/>
        </a:prstGeom>
      </xdr:spPr>
    </xdr:pic>
    <xdr:clientData/>
  </xdr:twoCellAnchor>
  <xdr:twoCellAnchor>
    <xdr:from>
      <xdr:col>1</xdr:col>
      <xdr:colOff>103188</xdr:colOff>
      <xdr:row>46</xdr:row>
      <xdr:rowOff>158750</xdr:rowOff>
    </xdr:from>
    <xdr:to>
      <xdr:col>1</xdr:col>
      <xdr:colOff>3447521</xdr:colOff>
      <xdr:row>51</xdr:row>
      <xdr:rowOff>89959</xdr:rowOff>
    </xdr:to>
    <xdr:sp macro="" textlink="">
      <xdr:nvSpPr>
        <xdr:cNvPr id="5" name="Rectangle 4">
          <a:extLst>
            <a:ext uri="{FF2B5EF4-FFF2-40B4-BE49-F238E27FC236}">
              <a16:creationId xmlns:a16="http://schemas.microsoft.com/office/drawing/2014/main" id="{30325C54-1A89-45BE-B545-BE05331D65DB}"/>
            </a:ext>
          </a:extLst>
        </xdr:cNvPr>
        <xdr:cNvSpPr/>
      </xdr:nvSpPr>
      <xdr:spPr>
        <a:xfrm>
          <a:off x="404813" y="9501188"/>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152401</xdr:colOff>
      <xdr:row>1</xdr:row>
      <xdr:rowOff>206831</xdr:rowOff>
    </xdr:from>
    <xdr:to>
      <xdr:col>7</xdr:col>
      <xdr:colOff>707572</xdr:colOff>
      <xdr:row>6</xdr:row>
      <xdr:rowOff>2000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013372" y="337460"/>
          <a:ext cx="1785257" cy="938169"/>
        </a:xfrm>
        <a:prstGeom prst="rect">
          <a:avLst/>
        </a:prstGeom>
      </xdr:spPr>
    </xdr:pic>
    <xdr:clientData/>
  </xdr:twoCellAnchor>
  <xdr:twoCellAnchor>
    <xdr:from>
      <xdr:col>1</xdr:col>
      <xdr:colOff>0</xdr:colOff>
      <xdr:row>964</xdr:row>
      <xdr:rowOff>0</xdr:rowOff>
    </xdr:from>
    <xdr:to>
      <xdr:col>1</xdr:col>
      <xdr:colOff>3344333</xdr:colOff>
      <xdr:row>967</xdr:row>
      <xdr:rowOff>178406</xdr:rowOff>
    </xdr:to>
    <xdr:sp macro="" textlink="">
      <xdr:nvSpPr>
        <xdr:cNvPr id="4" name="Rectangle 3">
          <a:extLst>
            <a:ext uri="{FF2B5EF4-FFF2-40B4-BE49-F238E27FC236}">
              <a16:creationId xmlns:a16="http://schemas.microsoft.com/office/drawing/2014/main" id="{E613361D-324A-4759-829C-41DD34E233EC}"/>
            </a:ext>
          </a:extLst>
        </xdr:cNvPr>
        <xdr:cNvSpPr/>
      </xdr:nvSpPr>
      <xdr:spPr>
        <a:xfrm>
          <a:off x="217714" y="210094286"/>
          <a:ext cx="3344333" cy="804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Y" sz="1400">
              <a:solidFill>
                <a:sysClr val="windowText" lastClr="000000"/>
              </a:solidFill>
            </a:rPr>
            <a:t>Inicialado</a:t>
          </a:r>
          <a:r>
            <a:rPr lang="es-PY" sz="1400" baseline="0">
              <a:solidFill>
                <a:sysClr val="windowText" lastClr="000000"/>
              </a:solidFill>
            </a:rPr>
            <a:t> al sólo efecto de su identificación con nuestro dictamen de fecha 31/03/2022</a:t>
          </a:r>
        </a:p>
        <a:p>
          <a:pPr algn="ctr"/>
          <a:r>
            <a:rPr lang="es-PY" sz="1400" b="1" baseline="0">
              <a:solidFill>
                <a:sysClr val="windowText" lastClr="000000"/>
              </a:solidFill>
            </a:rPr>
            <a:t>Deloitte S.R.L.</a:t>
          </a:r>
          <a:endParaRPr lang="es-PY" sz="1400" b="1">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9.xml"/><Relationship Id="rId4"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5.x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drawing" Target="../drawings/drawing6.x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4:Q39"/>
  <sheetViews>
    <sheetView showGridLines="0" topLeftCell="A25" zoomScale="80" zoomScaleNormal="80" workbookViewId="0">
      <selection activeCell="B36" sqref="B36"/>
    </sheetView>
  </sheetViews>
  <sheetFormatPr baseColWidth="10" defaultColWidth="11.5546875" defaultRowHeight="14.4"/>
  <cols>
    <col min="1" max="1" width="7.5546875" style="115" customWidth="1"/>
    <col min="2" max="3" width="11.5546875" style="115"/>
    <col min="4" max="4" width="5.109375" style="115" customWidth="1"/>
    <col min="5" max="14" width="11.5546875" style="115"/>
    <col min="15" max="15" width="11.5546875" style="115" customWidth="1"/>
    <col min="16" max="16384" width="11.5546875" style="115"/>
  </cols>
  <sheetData>
    <row r="4" spans="2:17" ht="14.4" customHeight="1">
      <c r="B4" s="123"/>
      <c r="C4" s="932" t="s">
        <v>1257</v>
      </c>
      <c r="D4" s="932"/>
      <c r="E4" s="932"/>
      <c r="F4" s="932"/>
      <c r="G4" s="932"/>
      <c r="H4" s="932"/>
      <c r="I4" s="932"/>
      <c r="J4" s="932"/>
      <c r="K4" s="932"/>
      <c r="L4" s="932"/>
      <c r="M4" s="932"/>
      <c r="N4" s="932"/>
      <c r="O4" s="932"/>
      <c r="P4" s="116"/>
      <c r="Q4" s="116"/>
    </row>
    <row r="5" spans="2:17" ht="13.95" customHeight="1">
      <c r="B5" s="123"/>
      <c r="C5" s="932"/>
      <c r="D5" s="932"/>
      <c r="E5" s="932"/>
      <c r="F5" s="932"/>
      <c r="G5" s="932"/>
      <c r="H5" s="932"/>
      <c r="I5" s="932"/>
      <c r="J5" s="932"/>
      <c r="K5" s="932"/>
      <c r="L5" s="932"/>
      <c r="M5" s="932"/>
      <c r="N5" s="932"/>
      <c r="O5" s="932"/>
      <c r="P5" s="117"/>
      <c r="Q5" s="117"/>
    </row>
    <row r="6" spans="2:17" ht="3.6" customHeight="1">
      <c r="B6" s="123"/>
      <c r="C6" s="932"/>
      <c r="D6" s="932"/>
      <c r="E6" s="932"/>
      <c r="F6" s="932"/>
      <c r="G6" s="932"/>
      <c r="H6" s="932"/>
      <c r="I6" s="932"/>
      <c r="J6" s="932"/>
      <c r="K6" s="932"/>
      <c r="L6" s="932"/>
      <c r="M6" s="932"/>
      <c r="N6" s="932"/>
      <c r="O6" s="932"/>
      <c r="P6" s="117"/>
      <c r="Q6" s="117"/>
    </row>
    <row r="7" spans="2:17" ht="14.4" customHeight="1">
      <c r="B7" s="123"/>
      <c r="C7" s="932"/>
      <c r="D7" s="932"/>
      <c r="E7" s="932"/>
      <c r="F7" s="932"/>
      <c r="G7" s="932"/>
      <c r="H7" s="932"/>
      <c r="I7" s="932"/>
      <c r="J7" s="932"/>
      <c r="K7" s="932"/>
      <c r="L7" s="932"/>
      <c r="M7" s="932"/>
      <c r="N7" s="932"/>
      <c r="O7" s="932"/>
      <c r="P7" s="117"/>
      <c r="Q7" s="117"/>
    </row>
    <row r="8" spans="2:17" ht="16.95" customHeight="1">
      <c r="B8" s="123"/>
      <c r="C8" s="932"/>
      <c r="D8" s="932"/>
      <c r="E8" s="932"/>
      <c r="F8" s="932"/>
      <c r="G8" s="932"/>
      <c r="H8" s="932"/>
      <c r="I8" s="932"/>
      <c r="J8" s="932"/>
      <c r="K8" s="932"/>
      <c r="L8" s="932"/>
      <c r="M8" s="932"/>
      <c r="N8" s="932"/>
      <c r="O8" s="932"/>
      <c r="P8" s="117"/>
      <c r="Q8" s="117"/>
    </row>
    <row r="9" spans="2:17" ht="20.399999999999999" customHeight="1">
      <c r="B9" s="123"/>
      <c r="C9" s="932"/>
      <c r="D9" s="932"/>
      <c r="E9" s="932"/>
      <c r="F9" s="932"/>
      <c r="G9" s="932"/>
      <c r="H9" s="932"/>
      <c r="I9" s="932"/>
      <c r="J9" s="932"/>
      <c r="K9" s="932"/>
      <c r="L9" s="932"/>
      <c r="M9" s="932"/>
      <c r="N9" s="932"/>
      <c r="O9" s="932"/>
      <c r="P9" s="117"/>
      <c r="Q9" s="117"/>
    </row>
    <row r="10" spans="2:17" s="121" customFormat="1" ht="15.6">
      <c r="B10" s="118"/>
      <c r="C10" s="118"/>
      <c r="D10" s="119"/>
      <c r="E10" s="118"/>
      <c r="F10" s="118"/>
      <c r="G10" s="118"/>
      <c r="H10" s="118"/>
      <c r="I10" s="118"/>
      <c r="J10" s="118"/>
      <c r="K10" s="118"/>
      <c r="L10" s="120"/>
      <c r="M10" s="120"/>
      <c r="N10" s="120"/>
      <c r="O10" s="120"/>
      <c r="P10" s="120"/>
      <c r="Q10" s="120"/>
    </row>
    <row r="11" spans="2:17" s="121" customFormat="1" ht="15.6" customHeight="1">
      <c r="B11" s="118"/>
      <c r="C11" s="122"/>
      <c r="D11" s="122"/>
      <c r="E11" s="122"/>
      <c r="F11" s="122"/>
      <c r="G11" s="122"/>
      <c r="H11" s="122"/>
      <c r="I11" s="122"/>
      <c r="J11" s="122"/>
      <c r="K11" s="122"/>
      <c r="L11" s="122"/>
      <c r="M11" s="122"/>
      <c r="N11" s="122"/>
      <c r="O11" s="122"/>
      <c r="P11" s="122"/>
      <c r="Q11" s="122"/>
    </row>
    <row r="12" spans="2:17" s="121" customFormat="1" ht="18" customHeight="1">
      <c r="B12" s="931" t="s">
        <v>1413</v>
      </c>
      <c r="C12" s="931"/>
      <c r="D12" s="931"/>
      <c r="E12" s="931"/>
      <c r="F12" s="931"/>
      <c r="G12" s="931"/>
      <c r="H12" s="931"/>
      <c r="I12" s="931"/>
      <c r="J12" s="931"/>
      <c r="K12" s="931"/>
      <c r="L12" s="931"/>
      <c r="M12" s="931"/>
      <c r="N12" s="931"/>
      <c r="O12" s="931"/>
      <c r="P12" s="122"/>
      <c r="Q12" s="122"/>
    </row>
    <row r="13" spans="2:17" s="121" customFormat="1">
      <c r="B13" s="118"/>
      <c r="C13" s="118"/>
      <c r="D13" s="118"/>
      <c r="E13" s="118"/>
      <c r="F13" s="118"/>
      <c r="G13" s="118"/>
      <c r="H13" s="118"/>
      <c r="I13" s="118"/>
      <c r="J13" s="118"/>
      <c r="K13" s="118"/>
      <c r="L13" s="120"/>
      <c r="M13" s="120"/>
      <c r="N13" s="120"/>
      <c r="O13" s="120"/>
    </row>
    <row r="14" spans="2:17" s="120" customFormat="1">
      <c r="B14" s="118"/>
      <c r="C14" s="118"/>
      <c r="D14" s="118"/>
      <c r="E14" s="118"/>
      <c r="F14" s="118"/>
      <c r="G14" s="118"/>
      <c r="H14" s="118"/>
      <c r="I14" s="118"/>
      <c r="J14" s="118"/>
      <c r="K14" s="118"/>
    </row>
    <row r="15" spans="2:17">
      <c r="B15" s="124"/>
      <c r="C15" s="124"/>
      <c r="D15" s="124"/>
      <c r="E15" s="124"/>
      <c r="F15" s="124"/>
      <c r="G15" s="124"/>
      <c r="H15" s="125"/>
      <c r="I15" s="126"/>
      <c r="J15" s="126"/>
      <c r="K15" s="124"/>
      <c r="L15" s="127"/>
      <c r="M15" s="125"/>
      <c r="N15" s="127"/>
      <c r="O15" s="127"/>
    </row>
    <row r="16" spans="2:17">
      <c r="B16" s="124"/>
      <c r="C16" s="124"/>
      <c r="D16" s="124"/>
      <c r="E16" s="124"/>
      <c r="F16" s="124"/>
      <c r="G16" s="124"/>
      <c r="H16" s="125"/>
      <c r="I16" s="126"/>
      <c r="J16" s="126"/>
      <c r="K16" s="125"/>
      <c r="L16" s="125"/>
      <c r="M16" s="125"/>
      <c r="N16" s="127"/>
      <c r="O16" s="127"/>
    </row>
    <row r="17" spans="2:15" ht="15.6">
      <c r="B17" s="124"/>
      <c r="C17" s="124"/>
      <c r="D17" s="124"/>
      <c r="E17" s="124"/>
      <c r="F17" s="124"/>
      <c r="G17" s="124"/>
      <c r="H17" s="125"/>
      <c r="I17" s="126"/>
      <c r="J17" s="126"/>
      <c r="K17" s="125"/>
      <c r="L17" s="125"/>
      <c r="M17" s="134" t="s">
        <v>1250</v>
      </c>
      <c r="N17" s="127"/>
      <c r="O17" s="127"/>
    </row>
    <row r="18" spans="2:15" ht="15.6">
      <c r="B18" s="124"/>
      <c r="C18" s="66"/>
      <c r="D18" s="66"/>
      <c r="E18" s="66"/>
      <c r="F18" s="66"/>
      <c r="G18" s="66"/>
      <c r="H18" s="125"/>
      <c r="I18" s="126"/>
      <c r="J18" s="126"/>
      <c r="K18" s="125"/>
      <c r="L18" s="127"/>
      <c r="M18" s="127"/>
      <c r="N18" s="127"/>
      <c r="O18" s="127"/>
    </row>
    <row r="19" spans="2:15" ht="16.8">
      <c r="B19" s="124"/>
      <c r="C19" s="128"/>
      <c r="D19" s="128" t="s">
        <v>1251</v>
      </c>
      <c r="E19" s="67"/>
      <c r="F19" s="66"/>
      <c r="G19" s="66"/>
      <c r="H19" s="129"/>
      <c r="I19" s="126"/>
      <c r="J19" s="126"/>
      <c r="K19" s="124"/>
      <c r="L19" s="129"/>
      <c r="M19" s="129" t="s">
        <v>1299</v>
      </c>
      <c r="N19" s="127"/>
      <c r="O19" s="127"/>
    </row>
    <row r="20" spans="2:15" ht="16.8">
      <c r="B20" s="124"/>
      <c r="C20" s="128"/>
      <c r="D20" s="128"/>
      <c r="E20" s="67"/>
      <c r="F20" s="66"/>
      <c r="G20" s="66"/>
      <c r="H20" s="130"/>
      <c r="I20" s="126"/>
      <c r="J20" s="126"/>
      <c r="K20" s="124"/>
      <c r="L20" s="130"/>
      <c r="M20" s="130"/>
      <c r="N20" s="127"/>
      <c r="O20" s="127"/>
    </row>
    <row r="21" spans="2:15" ht="16.8">
      <c r="B21" s="124"/>
      <c r="C21" s="128"/>
      <c r="D21" s="128" t="s">
        <v>1252</v>
      </c>
      <c r="E21" s="67"/>
      <c r="F21" s="66"/>
      <c r="G21" s="66"/>
      <c r="H21" s="129"/>
      <c r="I21" s="126"/>
      <c r="J21" s="126"/>
      <c r="K21" s="124"/>
      <c r="L21" s="129"/>
      <c r="M21" s="129" t="s">
        <v>1301</v>
      </c>
      <c r="N21" s="127"/>
      <c r="O21" s="127"/>
    </row>
    <row r="22" spans="2:15" ht="16.8">
      <c r="B22" s="124"/>
      <c r="C22" s="128"/>
      <c r="D22" s="128"/>
      <c r="E22" s="67"/>
      <c r="F22" s="66"/>
      <c r="G22" s="66"/>
      <c r="H22" s="130"/>
      <c r="I22" s="126"/>
      <c r="J22" s="126"/>
      <c r="K22" s="124"/>
      <c r="L22" s="130"/>
      <c r="M22" s="130"/>
      <c r="N22" s="127"/>
      <c r="O22" s="127"/>
    </row>
    <row r="23" spans="2:15" ht="16.8">
      <c r="B23" s="124"/>
      <c r="C23" s="128"/>
      <c r="D23" s="128" t="s">
        <v>975</v>
      </c>
      <c r="E23" s="67"/>
      <c r="F23" s="66"/>
      <c r="G23" s="66"/>
      <c r="H23" s="129"/>
      <c r="I23" s="126"/>
      <c r="J23" s="126"/>
      <c r="K23" s="124"/>
      <c r="L23" s="129"/>
      <c r="M23" s="129" t="s">
        <v>1302</v>
      </c>
      <c r="N23" s="127"/>
      <c r="O23" s="127"/>
    </row>
    <row r="24" spans="2:15" ht="16.8">
      <c r="B24" s="124"/>
      <c r="C24" s="128"/>
      <c r="D24" s="128"/>
      <c r="E24" s="67"/>
      <c r="F24" s="66"/>
      <c r="G24" s="66"/>
      <c r="H24" s="130"/>
      <c r="I24" s="126"/>
      <c r="J24" s="126"/>
      <c r="K24" s="124"/>
      <c r="L24" s="130"/>
      <c r="M24" s="130"/>
      <c r="N24" s="127"/>
      <c r="O24" s="127"/>
    </row>
    <row r="25" spans="2:15" ht="16.8">
      <c r="B25" s="124"/>
      <c r="C25" s="128"/>
      <c r="D25" s="128" t="s">
        <v>1253</v>
      </c>
      <c r="E25" s="67"/>
      <c r="F25" s="66"/>
      <c r="G25" s="66"/>
      <c r="H25" s="129"/>
      <c r="I25" s="126"/>
      <c r="J25" s="126"/>
      <c r="K25" s="124"/>
      <c r="L25" s="129"/>
      <c r="M25" s="129" t="s">
        <v>1303</v>
      </c>
      <c r="N25" s="127"/>
      <c r="O25" s="127"/>
    </row>
    <row r="26" spans="2:15" ht="16.8">
      <c r="B26" s="124"/>
      <c r="C26" s="128"/>
      <c r="D26" s="128"/>
      <c r="E26" s="67"/>
      <c r="F26" s="66"/>
      <c r="G26" s="66"/>
      <c r="H26" s="130"/>
      <c r="I26" s="126"/>
      <c r="J26" s="126"/>
      <c r="K26" s="124"/>
      <c r="L26" s="130"/>
      <c r="M26" s="130"/>
      <c r="N26" s="127"/>
      <c r="O26" s="127"/>
    </row>
    <row r="27" spans="2:15" ht="16.8">
      <c r="B27" s="124"/>
      <c r="C27" s="128"/>
      <c r="D27" s="128" t="s">
        <v>1254</v>
      </c>
      <c r="E27" s="67"/>
      <c r="F27" s="66"/>
      <c r="G27" s="66"/>
      <c r="H27" s="129"/>
      <c r="I27" s="126"/>
      <c r="J27" s="126"/>
      <c r="K27" s="124"/>
      <c r="L27" s="129"/>
      <c r="M27" s="129" t="s">
        <v>1304</v>
      </c>
      <c r="N27" s="127"/>
      <c r="O27" s="127"/>
    </row>
    <row r="28" spans="2:15" ht="16.8">
      <c r="B28" s="124"/>
      <c r="C28" s="128"/>
      <c r="D28" s="128"/>
      <c r="E28" s="67"/>
      <c r="F28" s="66"/>
      <c r="G28" s="66"/>
      <c r="H28" s="130"/>
      <c r="I28" s="126"/>
      <c r="J28" s="126"/>
      <c r="K28" s="124"/>
      <c r="L28" s="130"/>
      <c r="M28" s="130"/>
      <c r="N28" s="127"/>
      <c r="O28" s="127"/>
    </row>
    <row r="29" spans="2:15" ht="16.8">
      <c r="B29" s="124"/>
      <c r="C29" s="128"/>
      <c r="D29" s="128" t="s">
        <v>1255</v>
      </c>
      <c r="E29" s="67"/>
      <c r="F29" s="66"/>
      <c r="G29" s="66"/>
      <c r="H29" s="129"/>
      <c r="I29" s="126"/>
      <c r="J29" s="126"/>
      <c r="K29" s="124"/>
      <c r="L29" s="131"/>
      <c r="M29" s="131" t="s">
        <v>1306</v>
      </c>
      <c r="N29" s="127"/>
      <c r="O29" s="127"/>
    </row>
    <row r="30" spans="2:15" ht="16.8">
      <c r="B30" s="124"/>
      <c r="C30" s="128"/>
      <c r="D30" s="128"/>
      <c r="E30" s="67"/>
      <c r="F30" s="66"/>
      <c r="G30" s="66"/>
      <c r="H30" s="130"/>
      <c r="I30" s="126"/>
      <c r="J30" s="126"/>
      <c r="K30" s="124"/>
      <c r="L30" s="130"/>
      <c r="M30" s="130"/>
      <c r="N30" s="127"/>
      <c r="O30" s="127"/>
    </row>
    <row r="31" spans="2:15" ht="16.8">
      <c r="B31" s="124"/>
      <c r="C31" s="128"/>
      <c r="D31" s="128" t="s">
        <v>1305</v>
      </c>
      <c r="E31" s="67"/>
      <c r="F31" s="66"/>
      <c r="G31" s="66"/>
      <c r="H31" s="129"/>
      <c r="I31" s="126"/>
      <c r="J31" s="126"/>
      <c r="K31" s="124"/>
      <c r="L31" s="131"/>
      <c r="M31" s="131" t="s">
        <v>1307</v>
      </c>
      <c r="N31" s="127"/>
      <c r="O31" s="127"/>
    </row>
    <row r="32" spans="2:15" ht="16.8">
      <c r="B32" s="124"/>
      <c r="C32" s="128"/>
      <c r="D32" s="128"/>
      <c r="E32" s="67"/>
      <c r="F32" s="66"/>
      <c r="G32" s="66"/>
      <c r="H32" s="130"/>
      <c r="I32" s="126"/>
      <c r="J32" s="126"/>
      <c r="K32" s="124"/>
      <c r="L32" s="130"/>
      <c r="M32" s="130"/>
      <c r="N32" s="127"/>
      <c r="O32" s="127"/>
    </row>
    <row r="33" spans="2:15" ht="16.8">
      <c r="B33" s="124"/>
      <c r="C33" s="128"/>
      <c r="D33" s="128" t="s">
        <v>1256</v>
      </c>
      <c r="E33" s="67"/>
      <c r="F33" s="66"/>
      <c r="G33" s="66"/>
      <c r="H33" s="129"/>
      <c r="I33" s="126"/>
      <c r="J33" s="126"/>
      <c r="K33" s="124"/>
      <c r="L33" s="131"/>
      <c r="M33" s="131" t="s">
        <v>1308</v>
      </c>
      <c r="N33" s="127"/>
      <c r="O33" s="127"/>
    </row>
    <row r="34" spans="2:15" ht="16.8">
      <c r="B34" s="124"/>
      <c r="C34" s="132"/>
      <c r="D34" s="132"/>
      <c r="E34" s="67"/>
      <c r="F34" s="66"/>
      <c r="G34" s="66"/>
      <c r="H34" s="130"/>
      <c r="I34" s="126"/>
      <c r="J34" s="126"/>
      <c r="K34" s="124"/>
      <c r="L34" s="133"/>
      <c r="M34" s="127"/>
      <c r="N34" s="127"/>
      <c r="O34" s="127"/>
    </row>
    <row r="35" spans="2:15" ht="16.8">
      <c r="B35" s="124"/>
      <c r="C35" s="132"/>
      <c r="D35" s="132"/>
      <c r="E35" s="67"/>
      <c r="F35" s="66"/>
      <c r="G35" s="66"/>
      <c r="H35" s="129"/>
      <c r="I35" s="126"/>
      <c r="J35" s="126"/>
      <c r="K35" s="124"/>
      <c r="L35" s="133"/>
      <c r="M35" s="127"/>
      <c r="N35" s="127"/>
      <c r="O35" s="127"/>
    </row>
    <row r="36" spans="2:15" ht="16.8">
      <c r="B36" s="135"/>
      <c r="C36" s="142"/>
      <c r="D36" s="142"/>
      <c r="E36" s="139"/>
      <c r="F36" s="138"/>
      <c r="G36" s="138"/>
      <c r="H36" s="141"/>
      <c r="I36" s="136"/>
      <c r="J36" s="136"/>
      <c r="K36" s="135"/>
      <c r="L36" s="143"/>
      <c r="M36" s="137"/>
      <c r="N36" s="137"/>
      <c r="O36" s="137"/>
    </row>
    <row r="37" spans="2:15" ht="16.8">
      <c r="B37" s="135"/>
      <c r="C37" s="142"/>
      <c r="D37" s="142"/>
      <c r="E37" s="139"/>
      <c r="F37" s="138"/>
      <c r="G37" s="138"/>
      <c r="H37" s="140"/>
      <c r="I37" s="136"/>
      <c r="J37" s="136"/>
      <c r="K37" s="135"/>
      <c r="L37" s="143"/>
      <c r="M37" s="137"/>
      <c r="N37" s="137"/>
      <c r="O37" s="137"/>
    </row>
    <row r="38" spans="2:15" ht="15.6">
      <c r="B38" s="135"/>
      <c r="C38" s="138"/>
      <c r="D38" s="138"/>
      <c r="E38" s="138"/>
      <c r="F38" s="138"/>
      <c r="G38" s="138"/>
      <c r="H38" s="141"/>
      <c r="I38" s="136"/>
      <c r="J38" s="136"/>
      <c r="K38" s="135"/>
      <c r="L38" s="137"/>
      <c r="M38" s="137"/>
      <c r="N38" s="137"/>
      <c r="O38" s="137"/>
    </row>
    <row r="39" spans="2:15">
      <c r="B39" s="135"/>
      <c r="C39" s="135"/>
      <c r="D39" s="135"/>
      <c r="E39" s="135"/>
      <c r="F39" s="135"/>
      <c r="G39" s="135"/>
      <c r="H39" s="141"/>
      <c r="I39" s="136"/>
      <c r="J39" s="136"/>
      <c r="K39" s="135"/>
      <c r="L39" s="137"/>
      <c r="M39" s="137"/>
      <c r="N39" s="137"/>
      <c r="O39" s="137"/>
    </row>
  </sheetData>
  <mergeCells count="2">
    <mergeCell ref="B12:O12"/>
    <mergeCell ref="C4:O9"/>
  </mergeCells>
  <hyperlinks>
    <hyperlink ref="M19" location="IG!A1" display="IG!A1" xr:uid="{460BA053-10BA-404A-A69D-F369201DACF3}"/>
    <hyperlink ref="M21" location="BG!A1" display="BG!A1" xr:uid="{0BDD9F88-EC7D-4D33-A510-704BE499E672}"/>
    <hyperlink ref="M23" location="EERR!A1" display="EERR!A1" xr:uid="{11972342-7129-4E9D-BECC-7E74190A6D13}"/>
    <hyperlink ref="M25" location="EFE!A1" display="EFE!A1" xr:uid="{E4DEEB91-F3D2-43C9-861C-5CEF923B0E09}"/>
    <hyperlink ref="M27" location="VPN!A1" display="VPN!A1" xr:uid="{DE955F0F-9CF4-4DA0-9696-36B5E1A7210A}"/>
    <hyperlink ref="M29" location="'Nota 1 a Nota 4'!A1" display="'Nota 1 a Nota 4'!A1" xr:uid="{E0F3C89E-641D-47F9-B0E2-A69141624F9D}"/>
    <hyperlink ref="M31" location="'Nota 5'!A1" display="'Nota 5'!A1" xr:uid="{74AB37FD-BFCD-40E9-953E-16900D87B23E}"/>
    <hyperlink ref="M33" location="'Nota 6 a Nota 12'!A1" display="'Nota 6 a Nota 12'!A1" xr:uid="{D1AC5528-DEC0-4A67-8F48-C2545912625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P974"/>
  <sheetViews>
    <sheetView showGridLines="0" zoomScale="70" zoomScaleNormal="70" zoomScaleSheetLayoutView="100" workbookViewId="0">
      <pane ySplit="7" topLeftCell="A944" activePane="bottomLeft" state="frozen"/>
      <selection activeCell="D714" sqref="D714"/>
      <selection pane="bottomLeft" activeCell="B952" sqref="B952"/>
    </sheetView>
  </sheetViews>
  <sheetFormatPr baseColWidth="10" defaultColWidth="9.33203125" defaultRowHeight="16.8"/>
  <cols>
    <col min="1" max="1" width="3.109375" style="401" customWidth="1"/>
    <col min="2" max="2" width="52.33203125" style="402" customWidth="1"/>
    <col min="3" max="3" width="20.33203125" style="402" customWidth="1"/>
    <col min="4" max="4" width="19.33203125" style="402" customWidth="1"/>
    <col min="5" max="5" width="16.6640625" style="402" customWidth="1"/>
    <col min="6" max="6" width="17.33203125" style="402" customWidth="1"/>
    <col min="7" max="7" width="17.88671875" style="402" customWidth="1"/>
    <col min="8" max="8" width="19.77734375" style="402" customWidth="1"/>
    <col min="9" max="9" width="19.6640625" style="404" bestFit="1" customWidth="1"/>
    <col min="10" max="10" width="18.6640625" style="402" customWidth="1"/>
    <col min="11" max="11" width="12.6640625" style="402" customWidth="1"/>
    <col min="12" max="12" width="17.6640625" style="417" bestFit="1" customWidth="1"/>
    <col min="13" max="13" width="15.77734375" style="417" customWidth="1"/>
    <col min="14" max="14" width="14.33203125" style="417" bestFit="1" customWidth="1"/>
    <col min="15" max="16384" width="9.33203125" style="402"/>
  </cols>
  <sheetData>
    <row r="1" spans="1:16" s="244" customFormat="1" ht="10.199999999999999" customHeight="1">
      <c r="B1" s="275"/>
      <c r="C1" s="275"/>
      <c r="D1" s="275"/>
      <c r="E1" s="275"/>
      <c r="F1" s="275"/>
      <c r="G1" s="275"/>
      <c r="H1" s="275"/>
      <c r="I1" s="275"/>
      <c r="J1" s="275"/>
      <c r="K1" s="275"/>
      <c r="L1" s="275"/>
    </row>
    <row r="2" spans="1:16" s="244" customFormat="1" ht="18">
      <c r="B2" s="841"/>
      <c r="C2" s="841"/>
      <c r="D2" s="841"/>
      <c r="E2" s="841"/>
      <c r="F2" s="841"/>
      <c r="G2" s="841"/>
      <c r="H2" s="841"/>
      <c r="I2" s="841"/>
      <c r="J2" s="841"/>
      <c r="K2" s="841"/>
      <c r="L2" s="841"/>
      <c r="M2" s="841"/>
      <c r="N2" s="841"/>
      <c r="O2" s="841"/>
      <c r="P2" s="841"/>
    </row>
    <row r="3" spans="1:16" s="244" customFormat="1" ht="18">
      <c r="B3" s="991"/>
      <c r="C3" s="991"/>
      <c r="D3" s="991"/>
      <c r="E3" s="991"/>
      <c r="F3" s="991"/>
      <c r="G3" s="991"/>
      <c r="H3" s="991"/>
      <c r="I3" s="991"/>
      <c r="J3" s="991"/>
      <c r="K3" s="991"/>
      <c r="L3" s="991"/>
      <c r="M3" s="991"/>
    </row>
    <row r="4" spans="1:16" s="244" customFormat="1" ht="18">
      <c r="B4" s="991"/>
      <c r="C4" s="991"/>
      <c r="D4" s="991"/>
      <c r="E4" s="991"/>
      <c r="F4" s="991"/>
      <c r="G4" s="991"/>
      <c r="H4" s="991"/>
      <c r="I4" s="991"/>
      <c r="J4" s="991"/>
      <c r="K4" s="991"/>
      <c r="L4" s="991"/>
      <c r="M4" s="991"/>
    </row>
    <row r="5" spans="1:16" s="244" customFormat="1" ht="18">
      <c r="B5" s="991"/>
      <c r="C5" s="991"/>
      <c r="D5" s="991"/>
      <c r="E5" s="991"/>
      <c r="F5" s="991"/>
      <c r="G5" s="991"/>
      <c r="H5" s="991"/>
      <c r="I5" s="991"/>
      <c r="J5" s="991"/>
      <c r="K5" s="991"/>
      <c r="L5" s="991"/>
      <c r="M5" s="991"/>
    </row>
    <row r="6" spans="1:16" s="244" customFormat="1" ht="18">
      <c r="B6" s="991"/>
      <c r="C6" s="991"/>
      <c r="D6" s="991"/>
      <c r="E6" s="991"/>
      <c r="F6" s="991"/>
      <c r="G6" s="991"/>
      <c r="H6" s="991"/>
      <c r="I6" s="991"/>
      <c r="J6" s="991"/>
      <c r="K6" s="991"/>
      <c r="L6" s="991"/>
      <c r="M6" s="991"/>
    </row>
    <row r="7" spans="1:16" s="244" customFormat="1" ht="20.399999999999999" customHeight="1">
      <c r="B7" s="183"/>
      <c r="C7" s="183"/>
      <c r="D7" s="183"/>
      <c r="E7" s="183"/>
      <c r="F7" s="183"/>
      <c r="G7" s="183"/>
      <c r="H7" s="183"/>
      <c r="I7" s="183"/>
      <c r="J7" s="183"/>
      <c r="K7" s="183"/>
      <c r="L7" s="183"/>
      <c r="M7" s="183"/>
      <c r="N7" s="183"/>
      <c r="O7" s="183"/>
      <c r="P7" s="183"/>
    </row>
    <row r="8" spans="1:16">
      <c r="K8" s="315" t="s">
        <v>1300</v>
      </c>
    </row>
    <row r="9" spans="1:16" s="685" customFormat="1" ht="18">
      <c r="A9" s="683"/>
      <c r="B9" s="684" t="s">
        <v>608</v>
      </c>
      <c r="I9" s="686"/>
      <c r="L9" s="687"/>
      <c r="M9" s="687"/>
      <c r="N9" s="687"/>
    </row>
    <row r="11" spans="1:16">
      <c r="B11" s="403" t="s">
        <v>428</v>
      </c>
    </row>
    <row r="12" spans="1:16" ht="39.6" customHeight="1">
      <c r="B12" s="986" t="s">
        <v>1456</v>
      </c>
      <c r="C12" s="986"/>
      <c r="D12" s="986"/>
      <c r="E12" s="986"/>
      <c r="F12" s="986"/>
      <c r="G12" s="986"/>
      <c r="H12" s="986"/>
      <c r="I12" s="986"/>
      <c r="J12" s="986"/>
      <c r="K12" s="986"/>
    </row>
    <row r="13" spans="1:16">
      <c r="B13" s="403"/>
    </row>
    <row r="14" spans="1:16" s="408" customFormat="1" ht="28.2" customHeight="1">
      <c r="A14" s="405"/>
      <c r="B14" s="406"/>
      <c r="C14" s="407">
        <v>44561</v>
      </c>
      <c r="D14" s="407">
        <v>44196</v>
      </c>
      <c r="E14" s="402"/>
      <c r="F14" s="402"/>
      <c r="G14" s="402"/>
      <c r="I14" s="409"/>
      <c r="L14" s="688"/>
      <c r="M14" s="688"/>
      <c r="N14" s="688"/>
    </row>
    <row r="15" spans="1:16" ht="26.4" customHeight="1">
      <c r="B15" s="698" t="s">
        <v>1459</v>
      </c>
      <c r="C15" s="695">
        <v>6870.81</v>
      </c>
      <c r="D15" s="695">
        <v>6891.96</v>
      </c>
    </row>
    <row r="16" spans="1:16" ht="26.4" customHeight="1">
      <c r="B16" s="698" t="s">
        <v>1460</v>
      </c>
      <c r="C16" s="695">
        <v>6887.4</v>
      </c>
      <c r="D16" s="695">
        <v>6941.65</v>
      </c>
    </row>
    <row r="17" spans="1:14">
      <c r="D17" s="410"/>
    </row>
    <row r="18" spans="1:14">
      <c r="D18" s="410"/>
      <c r="E18" s="410"/>
    </row>
    <row r="19" spans="1:14">
      <c r="B19" s="403" t="s">
        <v>429</v>
      </c>
      <c r="C19" s="411"/>
    </row>
    <row r="20" spans="1:14" ht="16.2" customHeight="1">
      <c r="B20" s="1008" t="s">
        <v>676</v>
      </c>
      <c r="C20" s="1008"/>
      <c r="D20" s="1008"/>
      <c r="E20" s="1008"/>
      <c r="F20" s="1008"/>
      <c r="G20" s="1008"/>
      <c r="H20" s="1008"/>
    </row>
    <row r="21" spans="1:14" ht="16.2" customHeight="1">
      <c r="B21" s="697"/>
      <c r="C21" s="697"/>
      <c r="D21" s="697"/>
      <c r="E21" s="697"/>
      <c r="F21" s="697"/>
      <c r="G21" s="697"/>
      <c r="H21" s="697"/>
    </row>
    <row r="22" spans="1:14" ht="17.399999999999999" customHeight="1">
      <c r="B22" s="400"/>
      <c r="C22" s="400"/>
      <c r="I22" s="402"/>
    </row>
    <row r="23" spans="1:14" s="414" customFormat="1" ht="36" customHeight="1">
      <c r="A23" s="412"/>
      <c r="B23" s="988" t="s">
        <v>430</v>
      </c>
      <c r="C23" s="988" t="s">
        <v>1457</v>
      </c>
      <c r="D23" s="988" t="s">
        <v>1458</v>
      </c>
      <c r="E23" s="988" t="s">
        <v>1461</v>
      </c>
      <c r="F23" s="988" t="s">
        <v>1462</v>
      </c>
      <c r="G23" s="988" t="s">
        <v>1463</v>
      </c>
      <c r="H23" s="988" t="s">
        <v>1464</v>
      </c>
      <c r="J23" s="413"/>
      <c r="L23" s="689"/>
      <c r="M23" s="689"/>
      <c r="N23" s="689"/>
    </row>
    <row r="24" spans="1:14" ht="15.6" customHeight="1">
      <c r="B24" s="988"/>
      <c r="C24" s="988"/>
      <c r="D24" s="988"/>
      <c r="E24" s="988"/>
      <c r="F24" s="988"/>
      <c r="G24" s="988"/>
      <c r="H24" s="988"/>
      <c r="I24" s="402"/>
      <c r="J24" s="404"/>
    </row>
    <row r="25" spans="1:14" s="417" customFormat="1" ht="18.600000000000001" customHeight="1">
      <c r="A25" s="416"/>
      <c r="B25" s="451" t="s">
        <v>3</v>
      </c>
      <c r="C25" s="451"/>
      <c r="D25" s="451"/>
      <c r="E25" s="451"/>
      <c r="F25" s="451"/>
      <c r="G25" s="451"/>
      <c r="H25" s="699"/>
    </row>
    <row r="26" spans="1:14" s="417" customFormat="1" ht="18.600000000000001" customHeight="1">
      <c r="A26" s="416"/>
      <c r="B26" s="451" t="s">
        <v>4</v>
      </c>
      <c r="C26" s="451"/>
      <c r="D26" s="451"/>
      <c r="E26" s="451"/>
      <c r="F26" s="451"/>
      <c r="G26" s="451"/>
      <c r="H26" s="699"/>
    </row>
    <row r="27" spans="1:14" s="417" customFormat="1">
      <c r="A27" s="416"/>
      <c r="B27" s="418" t="s">
        <v>327</v>
      </c>
      <c r="C27" s="418"/>
      <c r="D27" s="418"/>
      <c r="E27" s="418"/>
      <c r="F27" s="418"/>
      <c r="G27" s="418"/>
      <c r="H27" s="419"/>
    </row>
    <row r="28" spans="1:14" s="417" customFormat="1">
      <c r="A28" s="416"/>
      <c r="B28" s="420" t="s">
        <v>17</v>
      </c>
      <c r="C28" s="421" t="s">
        <v>0</v>
      </c>
      <c r="D28" s="422">
        <f>+'BG 2021'!D31</f>
        <v>46726.677000015974</v>
      </c>
      <c r="E28" s="423">
        <f>+$C$15</f>
        <v>6870.81</v>
      </c>
      <c r="F28" s="424">
        <f>++D28*E28</f>
        <v>321050119.59847975</v>
      </c>
      <c r="G28" s="423">
        <f>+$D$15</f>
        <v>6891.96</v>
      </c>
      <c r="H28" s="424">
        <v>266978472.133212</v>
      </c>
      <c r="J28" s="425"/>
      <c r="K28" s="425"/>
      <c r="L28" s="425"/>
    </row>
    <row r="29" spans="1:14" s="417" customFormat="1">
      <c r="A29" s="416"/>
      <c r="B29" s="418" t="s">
        <v>143</v>
      </c>
      <c r="C29" s="418"/>
      <c r="D29" s="426"/>
      <c r="E29" s="427"/>
      <c r="F29" s="418"/>
      <c r="G29" s="427"/>
      <c r="H29" s="419"/>
    </row>
    <row r="30" spans="1:14" s="417" customFormat="1">
      <c r="A30" s="416"/>
      <c r="B30" s="420" t="s">
        <v>1001</v>
      </c>
      <c r="C30" s="421" t="s">
        <v>0</v>
      </c>
      <c r="D30" s="422">
        <f>+'BG 2021'!D57</f>
        <v>10000</v>
      </c>
      <c r="E30" s="423">
        <f t="shared" ref="E30:E35" si="0">+$C$15</f>
        <v>6870.81</v>
      </c>
      <c r="F30" s="424">
        <f>++D30*E30</f>
        <v>68708100</v>
      </c>
      <c r="G30" s="423">
        <f t="shared" ref="G30:G35" si="1">+$D$15</f>
        <v>6891.96</v>
      </c>
      <c r="H30" s="424">
        <v>689196000</v>
      </c>
      <c r="J30" s="425"/>
      <c r="K30" s="425"/>
    </row>
    <row r="31" spans="1:14" s="417" customFormat="1">
      <c r="A31" s="416"/>
      <c r="B31" s="420" t="s">
        <v>433</v>
      </c>
      <c r="C31" s="421" t="s">
        <v>0</v>
      </c>
      <c r="D31" s="422">
        <f>+'BG 2021'!D60</f>
        <v>150000</v>
      </c>
      <c r="E31" s="423">
        <f t="shared" si="0"/>
        <v>6870.81</v>
      </c>
      <c r="F31" s="424">
        <f>++D31*E31</f>
        <v>1030621500.0000001</v>
      </c>
      <c r="G31" s="423">
        <f t="shared" si="1"/>
        <v>6891.96</v>
      </c>
      <c r="H31" s="424">
        <v>2398608838.8000002</v>
      </c>
      <c r="J31" s="425"/>
      <c r="K31" s="425"/>
    </row>
    <row r="32" spans="1:14" s="417" customFormat="1">
      <c r="A32" s="416"/>
      <c r="B32" s="420" t="s">
        <v>1261</v>
      </c>
      <c r="C32" s="421" t="s">
        <v>0</v>
      </c>
      <c r="D32" s="422">
        <f>+'BG 2021'!D70+'BG 2021'!D72+'BG 2021'!D74+'BG 2021'!D76</f>
        <v>646197.97999999986</v>
      </c>
      <c r="E32" s="423">
        <f t="shared" si="0"/>
        <v>6870.81</v>
      </c>
      <c r="F32" s="424">
        <f>++D32*E32</f>
        <v>4439903542.9637995</v>
      </c>
      <c r="G32" s="423">
        <f>+$D$15</f>
        <v>6891.96</v>
      </c>
      <c r="H32" s="424">
        <v>437178457.01168013</v>
      </c>
      <c r="J32" s="425"/>
      <c r="K32" s="425"/>
    </row>
    <row r="33" spans="1:11" s="417" customFormat="1">
      <c r="A33" s="416"/>
      <c r="B33" s="420" t="s">
        <v>350</v>
      </c>
      <c r="C33" s="421" t="s">
        <v>0</v>
      </c>
      <c r="D33" s="422">
        <f>+'BG 2021'!D80+'BG 2021'!D82+'BG 2021'!D84+'BG 2021'!D86</f>
        <v>-375922.45000000019</v>
      </c>
      <c r="E33" s="423">
        <f t="shared" si="0"/>
        <v>6870.81</v>
      </c>
      <c r="F33" s="424">
        <f>++D33*E33</f>
        <v>-2582891728.6845016</v>
      </c>
      <c r="G33" s="423">
        <f>+$D$16</f>
        <v>6941.65</v>
      </c>
      <c r="H33" s="424">
        <v>-422521020</v>
      </c>
      <c r="J33" s="425"/>
      <c r="K33" s="425"/>
    </row>
    <row r="34" spans="1:11" s="417" customFormat="1">
      <c r="A34" s="416"/>
      <c r="B34" s="420" t="s">
        <v>1467</v>
      </c>
      <c r="C34" s="421" t="s">
        <v>0</v>
      </c>
      <c r="D34" s="422">
        <f>+'BG 2021'!D92+'BG 2021'!D94</f>
        <v>3189336</v>
      </c>
      <c r="E34" s="423">
        <f t="shared" si="0"/>
        <v>6870.81</v>
      </c>
      <c r="F34" s="424">
        <f t="shared" ref="F34:F35" si="2">++D34*E34</f>
        <v>21913321682.16</v>
      </c>
      <c r="G34" s="423">
        <f>+$D$15</f>
        <v>6891.96</v>
      </c>
      <c r="H34" s="424">
        <v>5237889600</v>
      </c>
      <c r="J34" s="425"/>
      <c r="K34" s="425"/>
    </row>
    <row r="35" spans="1:11" s="417" customFormat="1">
      <c r="A35" s="416"/>
      <c r="B35" s="420" t="s">
        <v>1466</v>
      </c>
      <c r="C35" s="421" t="s">
        <v>0</v>
      </c>
      <c r="D35" s="422">
        <f>+'BG 2021'!D97+'BG 2021'!D99+'BG 2021'!D101</f>
        <v>9230.4500000000025</v>
      </c>
      <c r="E35" s="423">
        <f t="shared" si="0"/>
        <v>6870.81</v>
      </c>
      <c r="F35" s="424">
        <f t="shared" si="2"/>
        <v>63420668.16450002</v>
      </c>
      <c r="G35" s="423">
        <f t="shared" si="1"/>
        <v>6891.96</v>
      </c>
      <c r="H35" s="424">
        <v>0</v>
      </c>
      <c r="J35" s="425"/>
      <c r="K35" s="425"/>
    </row>
    <row r="36" spans="1:11" s="417" customFormat="1">
      <c r="A36" s="416"/>
      <c r="B36" s="418" t="s">
        <v>351</v>
      </c>
      <c r="C36" s="418"/>
      <c r="D36" s="426"/>
      <c r="E36" s="427"/>
      <c r="F36" s="418"/>
      <c r="G36" s="427"/>
      <c r="H36" s="419"/>
    </row>
    <row r="37" spans="1:11" s="417" customFormat="1">
      <c r="A37" s="416"/>
      <c r="B37" s="420" t="s">
        <v>434</v>
      </c>
      <c r="C37" s="421" t="s">
        <v>0</v>
      </c>
      <c r="D37" s="422">
        <f>+'BG 2021'!D106</f>
        <v>1733.5299999999986</v>
      </c>
      <c r="E37" s="423">
        <f>+$C$15</f>
        <v>6870.81</v>
      </c>
      <c r="F37" s="424">
        <f>++D37*E37</f>
        <v>11910755.259299992</v>
      </c>
      <c r="G37" s="423">
        <v>6891.96</v>
      </c>
      <c r="H37" s="424">
        <v>3987205.6187999919</v>
      </c>
      <c r="J37" s="425"/>
      <c r="K37" s="425"/>
    </row>
    <row r="38" spans="1:11" s="417" customFormat="1">
      <c r="A38" s="416"/>
      <c r="B38" s="420" t="s">
        <v>1468</v>
      </c>
      <c r="C38" s="421" t="s">
        <v>0</v>
      </c>
      <c r="D38" s="422">
        <f>+'BG 2021'!D109</f>
        <v>436.29999999981374</v>
      </c>
      <c r="E38" s="423">
        <f>+$C$15</f>
        <v>6870.81</v>
      </c>
      <c r="F38" s="424">
        <f>++D38*E38</f>
        <v>2997734.4029987203</v>
      </c>
      <c r="G38" s="423">
        <f t="shared" ref="G38:G39" si="3">+$D$15</f>
        <v>6891.96</v>
      </c>
      <c r="H38" s="424">
        <v>0</v>
      </c>
      <c r="J38" s="425"/>
      <c r="K38" s="425"/>
    </row>
    <row r="39" spans="1:11" s="417" customFormat="1">
      <c r="A39" s="416"/>
      <c r="B39" s="420" t="s">
        <v>89</v>
      </c>
      <c r="C39" s="421" t="s">
        <v>0</v>
      </c>
      <c r="D39" s="422">
        <f>+'BG 2021'!D115</f>
        <v>210782.44999999998</v>
      </c>
      <c r="E39" s="423">
        <f>+$C$15</f>
        <v>6870.81</v>
      </c>
      <c r="F39" s="424">
        <f>++D39*E39</f>
        <v>1448246165.2844999</v>
      </c>
      <c r="G39" s="423">
        <f t="shared" si="3"/>
        <v>6891.96</v>
      </c>
      <c r="H39" s="424">
        <v>0</v>
      </c>
      <c r="J39" s="425"/>
      <c r="K39" s="425"/>
    </row>
    <row r="40" spans="1:11">
      <c r="B40" s="704" t="s">
        <v>25</v>
      </c>
      <c r="C40" s="421"/>
      <c r="D40" s="705">
        <f>SUM(D28:D39)</f>
        <v>3888520.9370000158</v>
      </c>
      <c r="E40" s="706"/>
      <c r="F40" s="707">
        <f>SUM(F28:F39)</f>
        <v>26717288539.149078</v>
      </c>
      <c r="G40" s="708"/>
      <c r="H40" s="707">
        <f>SUM(H28:H39)</f>
        <v>8611317553.5636921</v>
      </c>
      <c r="I40" s="402"/>
      <c r="J40" s="404"/>
    </row>
    <row r="41" spans="1:11" s="417" customFormat="1">
      <c r="A41" s="416"/>
      <c r="B41" s="451" t="s">
        <v>8</v>
      </c>
      <c r="C41" s="429"/>
      <c r="D41" s="700"/>
      <c r="E41" s="429"/>
      <c r="F41" s="429"/>
      <c r="G41" s="429"/>
      <c r="H41" s="699"/>
    </row>
    <row r="42" spans="1:11" s="417" customFormat="1">
      <c r="A42" s="416"/>
      <c r="B42" s="451" t="s">
        <v>9</v>
      </c>
      <c r="C42" s="429"/>
      <c r="D42" s="700"/>
      <c r="E42" s="429"/>
      <c r="F42" s="429"/>
      <c r="G42" s="429"/>
      <c r="H42" s="699"/>
    </row>
    <row r="43" spans="1:11" s="417" customFormat="1">
      <c r="A43" s="416"/>
      <c r="B43" s="418" t="s">
        <v>1469</v>
      </c>
      <c r="C43" s="432"/>
      <c r="D43" s="426"/>
      <c r="E43" s="418"/>
      <c r="F43" s="418"/>
      <c r="G43" s="418"/>
      <c r="H43" s="419"/>
    </row>
    <row r="44" spans="1:11" s="417" customFormat="1">
      <c r="A44" s="416"/>
      <c r="B44" s="433" t="s">
        <v>725</v>
      </c>
      <c r="C44" s="421" t="s">
        <v>0</v>
      </c>
      <c r="D44" s="422">
        <f>-'BG 2021'!D173</f>
        <v>-155.82000000029802</v>
      </c>
      <c r="E44" s="423">
        <f>+$C$16</f>
        <v>6887.4</v>
      </c>
      <c r="F44" s="424">
        <f>+D44*E44</f>
        <v>-1073194.6680020525</v>
      </c>
      <c r="G44" s="423">
        <f t="shared" ref="G44:G48" si="4">+$D$16</f>
        <v>6941.65</v>
      </c>
      <c r="H44" s="424">
        <v>-1068597.601</v>
      </c>
      <c r="J44" s="425"/>
      <c r="K44" s="425"/>
    </row>
    <row r="45" spans="1:11" s="417" customFormat="1">
      <c r="A45" s="416"/>
      <c r="B45" s="433" t="s">
        <v>1347</v>
      </c>
      <c r="C45" s="421" t="s">
        <v>0</v>
      </c>
      <c r="D45" s="422">
        <f>-'BG 2021'!D175</f>
        <v>-654.46000000007905</v>
      </c>
      <c r="E45" s="423">
        <f t="shared" ref="E45:E51" si="5">+$C$16</f>
        <v>6887.4</v>
      </c>
      <c r="F45" s="424">
        <f>+D45*E45</f>
        <v>-4507527.8040005444</v>
      </c>
      <c r="G45" s="423">
        <f t="shared" si="4"/>
        <v>6941.65</v>
      </c>
      <c r="H45" s="424">
        <v>0</v>
      </c>
      <c r="J45" s="425"/>
      <c r="K45" s="425"/>
    </row>
    <row r="46" spans="1:11" s="417" customFormat="1">
      <c r="A46" s="416"/>
      <c r="B46" s="433" t="s">
        <v>1471</v>
      </c>
      <c r="C46" s="421" t="s">
        <v>0</v>
      </c>
      <c r="D46" s="422">
        <f>-'BG 2021'!D182-'BG 2021'!D183</f>
        <v>-16234.540000000037</v>
      </c>
      <c r="E46" s="423">
        <f t="shared" si="5"/>
        <v>6887.4</v>
      </c>
      <c r="F46" s="424">
        <f>+D46*E46</f>
        <v>-111813770.79600026</v>
      </c>
      <c r="G46" s="423">
        <f t="shared" si="4"/>
        <v>6941.65</v>
      </c>
      <c r="H46" s="424">
        <v>-3566689.1865001898</v>
      </c>
      <c r="J46" s="425"/>
      <c r="K46" s="425"/>
    </row>
    <row r="47" spans="1:11" s="417" customFormat="1">
      <c r="A47" s="416"/>
      <c r="B47" s="418" t="s">
        <v>435</v>
      </c>
      <c r="C47" s="432"/>
      <c r="D47" s="426"/>
      <c r="E47" s="426"/>
      <c r="F47" s="434"/>
      <c r="G47" s="435"/>
      <c r="H47" s="419"/>
      <c r="J47" s="425"/>
      <c r="K47" s="425"/>
    </row>
    <row r="48" spans="1:11" s="417" customFormat="1">
      <c r="A48" s="416"/>
      <c r="B48" s="420" t="s">
        <v>436</v>
      </c>
      <c r="C48" s="421" t="s">
        <v>0</v>
      </c>
      <c r="D48" s="422">
        <f>-'BG 2021'!D187</f>
        <v>-268323.31999999983</v>
      </c>
      <c r="E48" s="423">
        <f t="shared" si="5"/>
        <v>6887.4</v>
      </c>
      <c r="F48" s="424">
        <f>+D48*E48</f>
        <v>-1848050034.1679988</v>
      </c>
      <c r="G48" s="423">
        <f t="shared" si="4"/>
        <v>6941.65</v>
      </c>
      <c r="H48" s="424">
        <v>-1047146583.5864996</v>
      </c>
      <c r="J48" s="425"/>
      <c r="K48" s="425"/>
    </row>
    <row r="49" spans="1:14" s="417" customFormat="1">
      <c r="A49" s="416"/>
      <c r="B49" s="418" t="s">
        <v>437</v>
      </c>
      <c r="C49" s="432"/>
      <c r="D49" s="426"/>
      <c r="E49" s="426"/>
      <c r="F49" s="434"/>
      <c r="G49" s="435"/>
      <c r="H49" s="419"/>
      <c r="J49" s="425"/>
      <c r="K49" s="425"/>
    </row>
    <row r="50" spans="1:14" s="417" customFormat="1">
      <c r="A50" s="416"/>
      <c r="B50" s="433" t="s">
        <v>438</v>
      </c>
      <c r="C50" s="421" t="s">
        <v>0</v>
      </c>
      <c r="D50" s="422">
        <f>-'BG 2021'!D214-'BG 2021'!D219</f>
        <v>-487.76000000000005</v>
      </c>
      <c r="E50" s="423">
        <f t="shared" si="5"/>
        <v>6887.4</v>
      </c>
      <c r="F50" s="424">
        <f>+D50*E50</f>
        <v>-3359398.2239999999</v>
      </c>
      <c r="G50" s="423">
        <f>+$D$16</f>
        <v>6941.65</v>
      </c>
      <c r="H50" s="424">
        <v>-810646.88699999999</v>
      </c>
      <c r="J50" s="425"/>
      <c r="K50" s="425"/>
    </row>
    <row r="51" spans="1:14" s="417" customFormat="1">
      <c r="A51" s="416"/>
      <c r="B51" s="433" t="s">
        <v>636</v>
      </c>
      <c r="C51" s="421" t="s">
        <v>0</v>
      </c>
      <c r="D51" s="422">
        <f>-'BG 2021'!D191-'BG 2021'!D195-'BG 2021'!D199</f>
        <v>-3335053.5534999985</v>
      </c>
      <c r="E51" s="423">
        <f t="shared" si="5"/>
        <v>6887.4</v>
      </c>
      <c r="F51" s="424">
        <f>+D51*E51</f>
        <v>-22969847844.375889</v>
      </c>
      <c r="G51" s="423">
        <f>+$D$16</f>
        <v>6941.65</v>
      </c>
      <c r="H51" s="424">
        <v>-5275654001</v>
      </c>
      <c r="J51" s="425"/>
      <c r="K51" s="425"/>
    </row>
    <row r="52" spans="1:14">
      <c r="B52" s="429" t="s">
        <v>28</v>
      </c>
      <c r="C52" s="430"/>
      <c r="D52" s="436">
        <f>SUM(D44:D51)</f>
        <v>-3620909.4534999989</v>
      </c>
      <c r="E52" s="437"/>
      <c r="F52" s="438">
        <f>SUM(F44:F51)</f>
        <v>-24938651770.035889</v>
      </c>
      <c r="G52" s="439"/>
      <c r="H52" s="438">
        <f>SUM(H44:H51)</f>
        <v>-6328246518.2609997</v>
      </c>
      <c r="I52" s="402"/>
    </row>
    <row r="53" spans="1:14">
      <c r="D53" s="909"/>
    </row>
    <row r="55" spans="1:14">
      <c r="B55" s="403" t="s">
        <v>439</v>
      </c>
      <c r="H55" s="404"/>
    </row>
    <row r="56" spans="1:14">
      <c r="H56" s="404"/>
    </row>
    <row r="57" spans="1:14" s="441" customFormat="1" ht="20.399999999999999" customHeight="1">
      <c r="A57" s="440"/>
      <c r="B57" s="999" t="s">
        <v>71</v>
      </c>
      <c r="C57" s="999" t="s">
        <v>1472</v>
      </c>
      <c r="D57" s="999" t="s">
        <v>1474</v>
      </c>
      <c r="E57" s="999" t="s">
        <v>1473</v>
      </c>
      <c r="F57" s="999" t="s">
        <v>1475</v>
      </c>
      <c r="H57" s="404"/>
      <c r="I57" s="404"/>
      <c r="L57" s="690"/>
      <c r="M57" s="690"/>
      <c r="N57" s="690"/>
    </row>
    <row r="58" spans="1:14" ht="36.6" customHeight="1">
      <c r="B58" s="1000"/>
      <c r="C58" s="1000"/>
      <c r="D58" s="1000"/>
      <c r="E58" s="1000"/>
      <c r="F58" s="1000"/>
      <c r="G58" s="442"/>
      <c r="H58" s="404"/>
      <c r="J58" s="442"/>
      <c r="K58" s="442"/>
    </row>
    <row r="59" spans="1:14" ht="34.950000000000003" customHeight="1">
      <c r="B59" s="443" t="s">
        <v>440</v>
      </c>
      <c r="C59" s="708">
        <f>+$C$15</f>
        <v>6870.81</v>
      </c>
      <c r="D59" s="444">
        <f>-Clasificaciones!G677</f>
        <v>2354409344</v>
      </c>
      <c r="E59" s="708">
        <f>+$D$15</f>
        <v>6891.96</v>
      </c>
      <c r="F59" s="445">
        <v>1066878151</v>
      </c>
      <c r="H59" s="404"/>
      <c r="J59" s="442"/>
    </row>
    <row r="60" spans="1:14" ht="34.950000000000003" customHeight="1">
      <c r="B60" s="443" t="s">
        <v>441</v>
      </c>
      <c r="C60" s="708">
        <f>+$C$16</f>
        <v>6887.4</v>
      </c>
      <c r="D60" s="444">
        <f>-Clasificaciones!G678</f>
        <v>1195814894</v>
      </c>
      <c r="E60" s="708">
        <f>+$D$16</f>
        <v>6941.65</v>
      </c>
      <c r="F60" s="445">
        <v>221217283</v>
      </c>
      <c r="H60" s="404"/>
      <c r="J60" s="442"/>
    </row>
    <row r="61" spans="1:14" s="710" customFormat="1" ht="20.399999999999999" customHeight="1">
      <c r="A61" s="709"/>
      <c r="B61" s="446" t="s">
        <v>442</v>
      </c>
      <c r="C61" s="447"/>
      <c r="D61" s="447">
        <f>SUM(D59:D60)</f>
        <v>3550224238</v>
      </c>
      <c r="E61" s="447"/>
      <c r="F61" s="447">
        <f>SUM(F59:F60)</f>
        <v>1288095434</v>
      </c>
      <c r="H61" s="711"/>
      <c r="I61" s="712"/>
      <c r="J61" s="713"/>
      <c r="L61" s="714"/>
      <c r="M61" s="714"/>
      <c r="N61" s="714"/>
    </row>
    <row r="62" spans="1:14" ht="34.950000000000003" customHeight="1">
      <c r="B62" s="443" t="s">
        <v>443</v>
      </c>
      <c r="C62" s="708">
        <f>+$C$15</f>
        <v>6870.81</v>
      </c>
      <c r="D62" s="449">
        <f>-Clasificaciones!G854</f>
        <v>-2396651034</v>
      </c>
      <c r="E62" s="708">
        <f>+$D$15</f>
        <v>6891.96</v>
      </c>
      <c r="F62" s="449">
        <v>-529877452</v>
      </c>
      <c r="H62" s="404"/>
      <c r="J62" s="442"/>
    </row>
    <row r="63" spans="1:14" ht="34.950000000000003" customHeight="1">
      <c r="B63" s="443" t="s">
        <v>444</v>
      </c>
      <c r="C63" s="708">
        <f>+$C$16</f>
        <v>6887.4</v>
      </c>
      <c r="D63" s="449">
        <f>-Clasificaciones!G855</f>
        <v>-1184316194</v>
      </c>
      <c r="E63" s="708">
        <f>+$D$16</f>
        <v>6941.65</v>
      </c>
      <c r="F63" s="449">
        <v>-707154405</v>
      </c>
      <c r="H63" s="404"/>
      <c r="J63" s="442"/>
    </row>
    <row r="64" spans="1:14" s="710" customFormat="1" ht="20.399999999999999" customHeight="1">
      <c r="A64" s="709"/>
      <c r="B64" s="446" t="s">
        <v>445</v>
      </c>
      <c r="C64" s="447"/>
      <c r="D64" s="438">
        <f>SUM(D62:D63)</f>
        <v>-3580967228</v>
      </c>
      <c r="E64" s="447"/>
      <c r="F64" s="438">
        <f>SUM(F62:F63)</f>
        <v>-1237031857</v>
      </c>
      <c r="H64" s="711"/>
      <c r="I64" s="712"/>
      <c r="J64" s="713"/>
      <c r="L64" s="714"/>
      <c r="M64" s="714"/>
      <c r="N64" s="714"/>
    </row>
    <row r="65" spans="1:14" s="710" customFormat="1" ht="20.399999999999999" customHeight="1">
      <c r="A65" s="709"/>
      <c r="B65" s="446" t="s">
        <v>1343</v>
      </c>
      <c r="C65" s="447"/>
      <c r="D65" s="438">
        <f>+D61+D64</f>
        <v>-30742990</v>
      </c>
      <c r="E65" s="447"/>
      <c r="F65" s="438">
        <f>+F61+F64</f>
        <v>51063577</v>
      </c>
      <c r="H65" s="711"/>
      <c r="I65" s="712"/>
      <c r="J65" s="713"/>
      <c r="L65" s="714"/>
      <c r="M65" s="714"/>
      <c r="N65" s="714"/>
    </row>
    <row r="66" spans="1:14">
      <c r="D66" s="452"/>
    </row>
    <row r="67" spans="1:14">
      <c r="D67" s="452"/>
    </row>
    <row r="68" spans="1:14">
      <c r="B68" s="403" t="s">
        <v>446</v>
      </c>
      <c r="C68" s="453"/>
      <c r="H68" s="454"/>
      <c r="I68" s="454"/>
    </row>
    <row r="69" spans="1:14">
      <c r="B69" s="402" t="s">
        <v>246</v>
      </c>
      <c r="I69" s="454"/>
    </row>
    <row r="70" spans="1:14" s="417" customFormat="1">
      <c r="A70" s="416"/>
      <c r="B70" s="455"/>
      <c r="C70" s="456"/>
      <c r="D70" s="456"/>
      <c r="I70" s="428"/>
    </row>
    <row r="71" spans="1:14" ht="28.95" customHeight="1">
      <c r="B71" s="457" t="s">
        <v>1</v>
      </c>
      <c r="C71" s="457" t="s">
        <v>1470</v>
      </c>
      <c r="D71" s="407">
        <v>44561</v>
      </c>
      <c r="E71" s="407">
        <v>44196</v>
      </c>
    </row>
    <row r="72" spans="1:14">
      <c r="A72" s="458"/>
      <c r="B72" s="638" t="s">
        <v>365</v>
      </c>
      <c r="C72" s="719" t="s">
        <v>353</v>
      </c>
      <c r="D72" s="460"/>
      <c r="E72" s="460"/>
    </row>
    <row r="73" spans="1:14">
      <c r="A73" s="458"/>
      <c r="B73" s="715" t="s">
        <v>1476</v>
      </c>
      <c r="C73" s="719" t="s">
        <v>1481</v>
      </c>
      <c r="D73" s="460">
        <v>1872447497</v>
      </c>
      <c r="E73" s="460">
        <v>302810046</v>
      </c>
    </row>
    <row r="74" spans="1:14">
      <c r="A74" s="458"/>
      <c r="B74" s="715" t="s">
        <v>1477</v>
      </c>
      <c r="C74" s="719" t="s">
        <v>1480</v>
      </c>
      <c r="D74" s="460">
        <v>121221490</v>
      </c>
      <c r="E74" s="460">
        <v>20227028</v>
      </c>
    </row>
    <row r="75" spans="1:14">
      <c r="A75" s="458"/>
      <c r="B75" s="715" t="s">
        <v>1478</v>
      </c>
      <c r="C75" s="719" t="s">
        <v>1481</v>
      </c>
      <c r="D75" s="460">
        <v>0</v>
      </c>
      <c r="E75" s="460">
        <v>0</v>
      </c>
    </row>
    <row r="76" spans="1:14">
      <c r="A76" s="458"/>
      <c r="B76" s="715" t="s">
        <v>1479</v>
      </c>
      <c r="C76" s="719" t="s">
        <v>1480</v>
      </c>
      <c r="D76" s="460">
        <v>103750</v>
      </c>
      <c r="E76" s="460">
        <v>45627</v>
      </c>
    </row>
    <row r="77" spans="1:14" s="403" customFormat="1">
      <c r="A77" s="716"/>
      <c r="B77" s="638" t="s">
        <v>447</v>
      </c>
      <c r="C77" s="720"/>
      <c r="D77" s="717"/>
      <c r="E77" s="717"/>
      <c r="I77" s="718"/>
      <c r="L77" s="576"/>
      <c r="M77" s="576"/>
      <c r="N77" s="576"/>
    </row>
    <row r="78" spans="1:14" s="403" customFormat="1">
      <c r="A78" s="716"/>
      <c r="B78" s="715" t="s">
        <v>1482</v>
      </c>
      <c r="C78" s="719" t="s">
        <v>1481</v>
      </c>
      <c r="D78" s="460">
        <v>6027989</v>
      </c>
      <c r="E78" s="460">
        <v>6000000</v>
      </c>
      <c r="I78" s="718"/>
      <c r="L78" s="576"/>
      <c r="M78" s="576"/>
      <c r="N78" s="576"/>
    </row>
    <row r="79" spans="1:14" s="403" customFormat="1">
      <c r="A79" s="716"/>
      <c r="B79" s="715" t="s">
        <v>1483</v>
      </c>
      <c r="C79" s="719" t="s">
        <v>1481</v>
      </c>
      <c r="D79" s="460">
        <v>6000000</v>
      </c>
      <c r="E79" s="460">
        <v>6000000</v>
      </c>
      <c r="I79" s="718"/>
      <c r="L79" s="576"/>
      <c r="M79" s="576"/>
      <c r="N79" s="576"/>
    </row>
    <row r="80" spans="1:14" s="403" customFormat="1">
      <c r="A80" s="716"/>
      <c r="B80" s="715" t="s">
        <v>1484</v>
      </c>
      <c r="C80" s="719" t="s">
        <v>1481</v>
      </c>
      <c r="D80" s="460">
        <v>47566618</v>
      </c>
      <c r="E80" s="460">
        <v>41351760</v>
      </c>
      <c r="I80" s="718"/>
      <c r="L80" s="576"/>
      <c r="M80" s="576"/>
      <c r="N80" s="576"/>
    </row>
    <row r="81" spans="1:14" s="403" customFormat="1">
      <c r="A81" s="716"/>
      <c r="B81" s="715" t="s">
        <v>1485</v>
      </c>
      <c r="C81" s="719" t="s">
        <v>1481</v>
      </c>
      <c r="D81" s="460">
        <v>51387132</v>
      </c>
      <c r="E81" s="460">
        <v>41351760</v>
      </c>
      <c r="I81" s="718"/>
      <c r="L81" s="576"/>
      <c r="M81" s="576"/>
      <c r="N81" s="576"/>
    </row>
    <row r="82" spans="1:14">
      <c r="A82" s="458"/>
      <c r="B82" s="638" t="s">
        <v>501</v>
      </c>
      <c r="C82" s="719"/>
      <c r="D82" s="460"/>
      <c r="E82" s="460"/>
    </row>
    <row r="83" spans="1:14">
      <c r="A83" s="458"/>
      <c r="B83" s="715" t="s">
        <v>1486</v>
      </c>
      <c r="C83" s="719" t="s">
        <v>1481</v>
      </c>
      <c r="D83" s="460">
        <v>5560000</v>
      </c>
      <c r="E83" s="460">
        <v>5100000</v>
      </c>
    </row>
    <row r="84" spans="1:14">
      <c r="A84" s="458"/>
      <c r="B84" s="715" t="s">
        <v>1487</v>
      </c>
      <c r="C84" s="719" t="s">
        <v>1481</v>
      </c>
      <c r="D84" s="460">
        <v>300374</v>
      </c>
      <c r="E84" s="460">
        <v>300000</v>
      </c>
    </row>
    <row r="85" spans="1:14">
      <c r="A85" s="458"/>
      <c r="B85" s="715" t="s">
        <v>1488</v>
      </c>
      <c r="C85" s="719" t="s">
        <v>1481</v>
      </c>
      <c r="D85" s="460">
        <v>22914151</v>
      </c>
      <c r="E85" s="460">
        <v>20675880</v>
      </c>
    </row>
    <row r="86" spans="1:14">
      <c r="A86" s="458"/>
      <c r="B86" s="638" t="s">
        <v>1489</v>
      </c>
      <c r="C86" s="719"/>
      <c r="D86" s="460"/>
      <c r="E86" s="460"/>
    </row>
    <row r="87" spans="1:14">
      <c r="A87" s="458"/>
      <c r="B87" s="715" t="s">
        <v>1490</v>
      </c>
      <c r="C87" s="719" t="s">
        <v>1481</v>
      </c>
      <c r="D87" s="460">
        <v>3468465</v>
      </c>
      <c r="E87" s="460">
        <v>39964336</v>
      </c>
    </row>
    <row r="88" spans="1:14">
      <c r="A88" s="458"/>
      <c r="B88" s="715" t="s">
        <v>1491</v>
      </c>
      <c r="C88" s="719" t="s">
        <v>1481</v>
      </c>
      <c r="D88" s="460">
        <v>16401929</v>
      </c>
      <c r="E88" s="460">
        <v>59334538</v>
      </c>
    </row>
    <row r="89" spans="1:14">
      <c r="A89" s="458"/>
      <c r="B89" s="638" t="s">
        <v>1492</v>
      </c>
      <c r="C89" s="719"/>
      <c r="D89" s="460"/>
      <c r="E89" s="460"/>
    </row>
    <row r="90" spans="1:14">
      <c r="A90" s="458"/>
      <c r="B90" s="715" t="s">
        <v>1493</v>
      </c>
      <c r="C90" s="719" t="s">
        <v>1481</v>
      </c>
      <c r="D90" s="460">
        <v>36676</v>
      </c>
      <c r="E90" s="460">
        <v>448</v>
      </c>
    </row>
    <row r="91" spans="1:14">
      <c r="A91" s="458"/>
      <c r="B91" s="715" t="s">
        <v>1494</v>
      </c>
      <c r="C91" s="719" t="s">
        <v>1481</v>
      </c>
      <c r="D91" s="460">
        <v>34835</v>
      </c>
      <c r="E91" s="460">
        <v>758</v>
      </c>
    </row>
    <row r="92" spans="1:14">
      <c r="A92" s="458"/>
      <c r="B92" s="638" t="s">
        <v>1263</v>
      </c>
      <c r="C92" s="719"/>
      <c r="D92" s="460"/>
      <c r="E92" s="460"/>
    </row>
    <row r="93" spans="1:14">
      <c r="A93" s="458"/>
      <c r="B93" s="715" t="s">
        <v>1495</v>
      </c>
      <c r="C93" s="719" t="s">
        <v>1481</v>
      </c>
      <c r="D93" s="460">
        <v>110</v>
      </c>
      <c r="E93" s="460">
        <v>0</v>
      </c>
    </row>
    <row r="94" spans="1:14">
      <c r="A94" s="458"/>
      <c r="B94" s="715" t="s">
        <v>1496</v>
      </c>
      <c r="C94" s="719" t="s">
        <v>1481</v>
      </c>
      <c r="D94" s="460">
        <v>10492</v>
      </c>
      <c r="E94" s="460">
        <v>0</v>
      </c>
    </row>
    <row r="95" spans="1:14">
      <c r="A95" s="458"/>
      <c r="B95" s="638" t="s">
        <v>448</v>
      </c>
      <c r="C95" s="719"/>
      <c r="D95" s="460"/>
      <c r="E95" s="460"/>
    </row>
    <row r="96" spans="1:14">
      <c r="A96" s="458"/>
      <c r="B96" s="715" t="s">
        <v>1497</v>
      </c>
      <c r="C96" s="719" t="s">
        <v>1481</v>
      </c>
      <c r="D96" s="460">
        <v>18159282</v>
      </c>
      <c r="E96" s="460">
        <v>12324356</v>
      </c>
    </row>
    <row r="97" spans="1:5">
      <c r="A97" s="458"/>
      <c r="B97" s="638" t="s">
        <v>449</v>
      </c>
      <c r="C97" s="719"/>
      <c r="D97" s="460"/>
      <c r="E97" s="460"/>
    </row>
    <row r="98" spans="1:5">
      <c r="A98" s="458"/>
      <c r="B98" s="715" t="s">
        <v>1498</v>
      </c>
      <c r="C98" s="719" t="s">
        <v>1502</v>
      </c>
      <c r="D98" s="460">
        <v>468059075</v>
      </c>
      <c r="E98" s="460">
        <v>0</v>
      </c>
    </row>
    <row r="99" spans="1:5">
      <c r="A99" s="458"/>
      <c r="B99" s="715" t="s">
        <v>1499</v>
      </c>
      <c r="C99" s="719" t="s">
        <v>1481</v>
      </c>
      <c r="D99" s="460">
        <v>263032</v>
      </c>
      <c r="E99" s="460">
        <v>263014</v>
      </c>
    </row>
    <row r="100" spans="1:5">
      <c r="A100" s="458"/>
      <c r="B100" s="715" t="s">
        <v>1500</v>
      </c>
      <c r="C100" s="719" t="s">
        <v>1502</v>
      </c>
      <c r="D100" s="460">
        <v>26311969</v>
      </c>
      <c r="E100" s="460">
        <v>0</v>
      </c>
    </row>
    <row r="101" spans="1:5">
      <c r="A101" s="458"/>
      <c r="B101" s="715" t="s">
        <v>1501</v>
      </c>
      <c r="C101" s="719" t="s">
        <v>1481</v>
      </c>
      <c r="D101" s="460">
        <v>28300935</v>
      </c>
      <c r="E101" s="460">
        <v>104212293</v>
      </c>
    </row>
    <row r="102" spans="1:5">
      <c r="A102" s="458"/>
      <c r="B102" s="638" t="s">
        <v>496</v>
      </c>
      <c r="C102" s="719"/>
      <c r="D102" s="460"/>
      <c r="E102" s="460"/>
    </row>
    <row r="103" spans="1:5">
      <c r="A103" s="458"/>
      <c r="B103" s="715" t="s">
        <v>1503</v>
      </c>
      <c r="C103" s="719" t="s">
        <v>1481</v>
      </c>
      <c r="D103" s="460">
        <v>3982</v>
      </c>
      <c r="E103" s="460">
        <v>1189</v>
      </c>
    </row>
    <row r="104" spans="1:5">
      <c r="A104" s="458"/>
      <c r="B104" s="715" t="s">
        <v>1504</v>
      </c>
      <c r="C104" s="719" t="s">
        <v>1481</v>
      </c>
      <c r="D104" s="460">
        <v>39661888</v>
      </c>
      <c r="E104" s="460">
        <v>5858</v>
      </c>
    </row>
    <row r="105" spans="1:5">
      <c r="A105" s="458"/>
      <c r="B105" s="638" t="s">
        <v>575</v>
      </c>
      <c r="C105" s="719"/>
      <c r="D105" s="460"/>
      <c r="E105" s="460"/>
    </row>
    <row r="106" spans="1:5">
      <c r="A106" s="458"/>
      <c r="B106" s="715" t="s">
        <v>1505</v>
      </c>
      <c r="C106" s="719" t="s">
        <v>1481</v>
      </c>
      <c r="D106" s="460">
        <v>6759960</v>
      </c>
      <c r="E106" s="460">
        <v>3000000</v>
      </c>
    </row>
    <row r="107" spans="1:5">
      <c r="A107" s="458"/>
      <c r="B107" s="715" t="s">
        <v>1506</v>
      </c>
      <c r="C107" s="719" t="s">
        <v>1481</v>
      </c>
      <c r="D107" s="460">
        <v>20109555</v>
      </c>
      <c r="E107" s="460">
        <v>0</v>
      </c>
    </row>
    <row r="108" spans="1:5">
      <c r="A108" s="458"/>
      <c r="B108" s="638" t="s">
        <v>1507</v>
      </c>
      <c r="C108" s="719"/>
      <c r="D108" s="460"/>
      <c r="E108" s="460"/>
    </row>
    <row r="109" spans="1:5">
      <c r="A109" s="458"/>
      <c r="B109" s="715" t="s">
        <v>1508</v>
      </c>
      <c r="C109" s="719" t="s">
        <v>1481</v>
      </c>
      <c r="D109" s="460">
        <v>47834073</v>
      </c>
      <c r="E109" s="460">
        <v>0</v>
      </c>
    </row>
    <row r="110" spans="1:5">
      <c r="A110" s="458"/>
      <c r="B110" s="715" t="s">
        <v>1509</v>
      </c>
      <c r="C110" s="719" t="s">
        <v>1481</v>
      </c>
      <c r="D110" s="460">
        <v>61362792</v>
      </c>
      <c r="E110" s="460">
        <v>0</v>
      </c>
    </row>
    <row r="111" spans="1:5">
      <c r="A111" s="458"/>
      <c r="B111" s="638" t="s">
        <v>1344</v>
      </c>
      <c r="C111" s="719"/>
      <c r="D111" s="460"/>
      <c r="E111" s="460"/>
    </row>
    <row r="112" spans="1:5">
      <c r="A112" s="458"/>
      <c r="B112" s="715" t="s">
        <v>1510</v>
      </c>
      <c r="C112" s="719" t="s">
        <v>1481</v>
      </c>
      <c r="D112" s="460">
        <v>3800000</v>
      </c>
      <c r="E112" s="460">
        <v>0</v>
      </c>
    </row>
    <row r="113" spans="1:14">
      <c r="A113" s="458"/>
      <c r="B113" s="638" t="s">
        <v>1375</v>
      </c>
      <c r="C113" s="719"/>
      <c r="D113" s="460"/>
      <c r="E113" s="460"/>
    </row>
    <row r="114" spans="1:14">
      <c r="A114" s="458"/>
      <c r="B114" s="715" t="s">
        <v>1511</v>
      </c>
      <c r="C114" s="719" t="s">
        <v>1481</v>
      </c>
      <c r="D114" s="460">
        <v>1000706</v>
      </c>
      <c r="E114" s="460">
        <v>0</v>
      </c>
    </row>
    <row r="115" spans="1:14">
      <c r="A115" s="458"/>
      <c r="B115" s="715" t="s">
        <v>1512</v>
      </c>
      <c r="C115" s="719" t="s">
        <v>1481</v>
      </c>
      <c r="D115" s="460">
        <v>6871291</v>
      </c>
      <c r="E115" s="460">
        <v>0</v>
      </c>
    </row>
    <row r="116" spans="1:14">
      <c r="A116" s="458"/>
      <c r="B116" s="638" t="s">
        <v>1345</v>
      </c>
      <c r="C116" s="719"/>
      <c r="D116" s="460"/>
      <c r="E116" s="460"/>
    </row>
    <row r="117" spans="1:14">
      <c r="A117" s="458"/>
      <c r="B117" s="715" t="s">
        <v>1513</v>
      </c>
      <c r="C117" s="719" t="s">
        <v>1481</v>
      </c>
      <c r="D117" s="460">
        <v>12780</v>
      </c>
      <c r="E117" s="460">
        <v>0</v>
      </c>
    </row>
    <row r="118" spans="1:14">
      <c r="A118" s="458"/>
      <c r="B118" s="638" t="s">
        <v>1514</v>
      </c>
      <c r="C118" s="719"/>
      <c r="D118" s="460"/>
      <c r="E118" s="460"/>
    </row>
    <row r="119" spans="1:14">
      <c r="A119" s="458"/>
      <c r="B119" s="715" t="s">
        <v>1515</v>
      </c>
      <c r="C119" s="719" t="s">
        <v>1481</v>
      </c>
      <c r="D119" s="460">
        <v>7781169</v>
      </c>
      <c r="E119" s="460">
        <v>0</v>
      </c>
    </row>
    <row r="120" spans="1:14">
      <c r="B120" s="461" t="s">
        <v>72</v>
      </c>
      <c r="C120" s="721" t="s">
        <v>72</v>
      </c>
      <c r="D120" s="462">
        <f>SUM(D72:D119)</f>
        <v>2889773997</v>
      </c>
      <c r="E120" s="462">
        <f>SUM(E72:E119)</f>
        <v>662968891</v>
      </c>
      <c r="F120" s="463">
        <f>+D120-BG!D18</f>
        <v>0</v>
      </c>
      <c r="G120" s="463">
        <f>+E120-BG!F18</f>
        <v>0</v>
      </c>
    </row>
    <row r="121" spans="1:14">
      <c r="C121" s="464"/>
      <c r="D121" s="464"/>
    </row>
    <row r="122" spans="1:14">
      <c r="D122" s="450"/>
    </row>
    <row r="123" spans="1:14" s="467" customFormat="1">
      <c r="A123" s="465"/>
      <c r="B123" s="403" t="s">
        <v>247</v>
      </c>
      <c r="C123" s="466"/>
      <c r="I123" s="468"/>
      <c r="L123" s="485"/>
      <c r="M123" s="485"/>
      <c r="N123" s="485"/>
    </row>
    <row r="124" spans="1:14" s="467" customFormat="1">
      <c r="A124" s="465"/>
      <c r="B124" s="403"/>
      <c r="I124" s="468"/>
      <c r="L124" s="485"/>
      <c r="M124" s="485"/>
      <c r="N124" s="485"/>
    </row>
    <row r="125" spans="1:14" s="467" customFormat="1">
      <c r="A125" s="465"/>
      <c r="B125" s="403" t="s">
        <v>450</v>
      </c>
      <c r="I125" s="468"/>
      <c r="L125" s="485"/>
      <c r="M125" s="485"/>
      <c r="N125" s="485"/>
    </row>
    <row r="126" spans="1:14" s="467" customFormat="1">
      <c r="A126" s="465"/>
      <c r="B126" s="402" t="s">
        <v>1729</v>
      </c>
      <c r="I126" s="468"/>
      <c r="L126" s="485"/>
      <c r="M126" s="485"/>
      <c r="N126" s="485"/>
    </row>
    <row r="127" spans="1:14" s="467" customFormat="1">
      <c r="A127" s="465"/>
      <c r="B127" s="403"/>
      <c r="I127" s="468"/>
      <c r="L127" s="485"/>
      <c r="M127" s="485"/>
      <c r="N127" s="485"/>
    </row>
    <row r="128" spans="1:14" s="467" customFormat="1" ht="18" customHeight="1">
      <c r="A128" s="465"/>
      <c r="B128" s="1009" t="s">
        <v>248</v>
      </c>
      <c r="C128" s="1009"/>
      <c r="D128" s="1009"/>
      <c r="E128" s="1009"/>
      <c r="F128" s="1009"/>
      <c r="G128" s="1009"/>
      <c r="H128" s="1009" t="s">
        <v>1454</v>
      </c>
      <c r="I128" s="1009"/>
      <c r="J128" s="1009"/>
      <c r="L128" s="485"/>
      <c r="M128" s="485"/>
      <c r="N128" s="485"/>
    </row>
    <row r="129" spans="1:14" s="467" customFormat="1" ht="15" customHeight="1">
      <c r="A129" s="465"/>
      <c r="B129" s="1009" t="s">
        <v>1264</v>
      </c>
      <c r="C129" s="1009" t="s">
        <v>684</v>
      </c>
      <c r="D129" s="988" t="s">
        <v>685</v>
      </c>
      <c r="E129" s="1009" t="s">
        <v>686</v>
      </c>
      <c r="F129" s="1009"/>
      <c r="G129" s="988" t="s">
        <v>1516</v>
      </c>
      <c r="H129" s="1009" t="s">
        <v>687</v>
      </c>
      <c r="I129" s="1009" t="s">
        <v>688</v>
      </c>
      <c r="J129" s="988" t="s">
        <v>1517</v>
      </c>
      <c r="L129" s="485"/>
      <c r="M129" s="485"/>
      <c r="N129" s="485"/>
    </row>
    <row r="130" spans="1:14" s="467" customFormat="1" ht="20.399999999999999" customHeight="1">
      <c r="A130" s="465"/>
      <c r="B130" s="1009"/>
      <c r="C130" s="1009"/>
      <c r="D130" s="988"/>
      <c r="E130" s="457" t="s">
        <v>1519</v>
      </c>
      <c r="F130" s="457" t="s">
        <v>1520</v>
      </c>
      <c r="G130" s="1009"/>
      <c r="H130" s="1009"/>
      <c r="I130" s="1009"/>
      <c r="J130" s="988"/>
      <c r="L130" s="485"/>
      <c r="M130" s="485"/>
      <c r="N130" s="485"/>
    </row>
    <row r="131" spans="1:14" s="467" customFormat="1" ht="15" customHeight="1">
      <c r="A131" s="465"/>
      <c r="B131" s="469" t="s">
        <v>249</v>
      </c>
      <c r="C131" s="470"/>
      <c r="D131" s="471"/>
      <c r="E131" s="471"/>
      <c r="F131" s="471"/>
      <c r="G131" s="471"/>
      <c r="H131" s="471"/>
      <c r="I131" s="471"/>
      <c r="J131" s="472"/>
      <c r="L131" s="485"/>
      <c r="M131" s="485"/>
      <c r="N131" s="485"/>
    </row>
    <row r="132" spans="1:14" s="465" customFormat="1" ht="15" customHeight="1">
      <c r="B132" s="473" t="s">
        <v>609</v>
      </c>
      <c r="C132" s="474"/>
      <c r="D132" s="475"/>
      <c r="E132" s="475"/>
      <c r="F132" s="475"/>
      <c r="G132" s="475"/>
      <c r="H132" s="475"/>
      <c r="I132" s="475"/>
      <c r="J132" s="476"/>
      <c r="L132" s="477"/>
      <c r="M132" s="477"/>
      <c r="N132" s="477"/>
    </row>
    <row r="133" spans="1:14" s="485" customFormat="1">
      <c r="A133" s="477"/>
      <c r="B133" s="478" t="s">
        <v>1518</v>
      </c>
      <c r="C133" s="479" t="s">
        <v>73</v>
      </c>
      <c r="D133" s="480">
        <v>1</v>
      </c>
      <c r="E133" s="480">
        <v>100000000</v>
      </c>
      <c r="F133" s="481">
        <v>0</v>
      </c>
      <c r="G133" s="480">
        <v>100536301.369863</v>
      </c>
      <c r="H133" s="482">
        <v>31546000000</v>
      </c>
      <c r="I133" s="483">
        <v>27607642635.799999</v>
      </c>
      <c r="J133" s="484">
        <v>150553423660.39999</v>
      </c>
      <c r="M133" s="486"/>
    </row>
    <row r="134" spans="1:14" s="485" customFormat="1">
      <c r="A134" s="477"/>
      <c r="B134" s="478" t="s">
        <v>1518</v>
      </c>
      <c r="C134" s="479" t="s">
        <v>73</v>
      </c>
      <c r="D134" s="480">
        <v>1</v>
      </c>
      <c r="E134" s="480">
        <v>100000000</v>
      </c>
      <c r="F134" s="481">
        <v>0</v>
      </c>
      <c r="G134" s="480">
        <v>100536301.369863</v>
      </c>
      <c r="H134" s="482">
        <v>31546000000</v>
      </c>
      <c r="I134" s="483">
        <v>27607642635.799999</v>
      </c>
      <c r="J134" s="484">
        <v>150553423660.39999</v>
      </c>
      <c r="M134" s="486"/>
    </row>
    <row r="135" spans="1:14" s="485" customFormat="1">
      <c r="A135" s="477"/>
      <c r="B135" s="478" t="s">
        <v>1518</v>
      </c>
      <c r="C135" s="479" t="s">
        <v>73</v>
      </c>
      <c r="D135" s="480">
        <v>1</v>
      </c>
      <c r="E135" s="480">
        <v>100000000</v>
      </c>
      <c r="F135" s="481">
        <v>0</v>
      </c>
      <c r="G135" s="480">
        <v>100366027.39726028</v>
      </c>
      <c r="H135" s="482">
        <v>31546000000</v>
      </c>
      <c r="I135" s="483">
        <v>27607642635.799999</v>
      </c>
      <c r="J135" s="484">
        <v>150553423660.39999</v>
      </c>
      <c r="M135" s="486"/>
    </row>
    <row r="136" spans="1:14" s="485" customFormat="1">
      <c r="A136" s="477"/>
      <c r="B136" s="478" t="s">
        <v>1518</v>
      </c>
      <c r="C136" s="479" t="s">
        <v>73</v>
      </c>
      <c r="D136" s="480">
        <v>1</v>
      </c>
      <c r="E136" s="480">
        <v>100000000</v>
      </c>
      <c r="F136" s="481">
        <v>0</v>
      </c>
      <c r="G136" s="480">
        <v>100366027.39726028</v>
      </c>
      <c r="H136" s="482">
        <v>31546000000</v>
      </c>
      <c r="I136" s="483">
        <v>27607642635.799999</v>
      </c>
      <c r="J136" s="484">
        <v>150553423660.39999</v>
      </c>
      <c r="M136" s="486"/>
    </row>
    <row r="137" spans="1:14" s="485" customFormat="1">
      <c r="A137" s="477"/>
      <c r="B137" s="478" t="s">
        <v>1518</v>
      </c>
      <c r="C137" s="479" t="s">
        <v>73</v>
      </c>
      <c r="D137" s="480">
        <v>1</v>
      </c>
      <c r="E137" s="480">
        <v>50000000</v>
      </c>
      <c r="F137" s="481">
        <v>0</v>
      </c>
      <c r="G137" s="480">
        <v>50183013.698630139</v>
      </c>
      <c r="H137" s="482">
        <v>31546000000</v>
      </c>
      <c r="I137" s="483">
        <v>27607642635.799999</v>
      </c>
      <c r="J137" s="484">
        <v>150553423660.39999</v>
      </c>
      <c r="M137" s="486"/>
    </row>
    <row r="138" spans="1:14" s="485" customFormat="1">
      <c r="A138" s="477"/>
      <c r="B138" s="478" t="s">
        <v>1518</v>
      </c>
      <c r="C138" s="479" t="s">
        <v>73</v>
      </c>
      <c r="D138" s="480">
        <v>1</v>
      </c>
      <c r="E138" s="480">
        <v>50000000</v>
      </c>
      <c r="F138" s="481">
        <v>0</v>
      </c>
      <c r="G138" s="480">
        <v>50183013.698630139</v>
      </c>
      <c r="H138" s="482">
        <v>31546000000</v>
      </c>
      <c r="I138" s="483">
        <v>27607642635.799999</v>
      </c>
      <c r="J138" s="484">
        <v>150553423660.39999</v>
      </c>
      <c r="M138" s="486"/>
    </row>
    <row r="139" spans="1:14" s="485" customFormat="1">
      <c r="A139" s="477"/>
      <c r="B139" s="478" t="s">
        <v>1518</v>
      </c>
      <c r="C139" s="479" t="s">
        <v>73</v>
      </c>
      <c r="D139" s="480">
        <v>1</v>
      </c>
      <c r="E139" s="480">
        <v>50000000</v>
      </c>
      <c r="F139" s="481">
        <v>0</v>
      </c>
      <c r="G139" s="480">
        <v>50183013.698630139</v>
      </c>
      <c r="H139" s="482">
        <v>31546000000</v>
      </c>
      <c r="I139" s="483">
        <v>27607642635.799999</v>
      </c>
      <c r="J139" s="484">
        <v>150553423660.39999</v>
      </c>
      <c r="M139" s="486"/>
    </row>
    <row r="140" spans="1:14" s="485" customFormat="1">
      <c r="A140" s="477"/>
      <c r="B140" s="478" t="s">
        <v>1518</v>
      </c>
      <c r="C140" s="479" t="s">
        <v>73</v>
      </c>
      <c r="D140" s="480">
        <v>1</v>
      </c>
      <c r="E140" s="480">
        <v>50000000</v>
      </c>
      <c r="F140" s="481">
        <v>0</v>
      </c>
      <c r="G140" s="480">
        <v>50183013.698630139</v>
      </c>
      <c r="H140" s="484">
        <v>31546000000</v>
      </c>
      <c r="I140" s="482">
        <v>27607642635.799999</v>
      </c>
      <c r="J140" s="483">
        <v>150553423660.39999</v>
      </c>
      <c r="M140" s="486"/>
    </row>
    <row r="141" spans="1:14" s="485" customFormat="1">
      <c r="A141" s="477"/>
      <c r="B141" s="487" t="s">
        <v>1518</v>
      </c>
      <c r="C141" s="479" t="s">
        <v>73</v>
      </c>
      <c r="D141" s="480">
        <v>1</v>
      </c>
      <c r="E141" s="488">
        <v>50000000</v>
      </c>
      <c r="F141" s="481">
        <v>0</v>
      </c>
      <c r="G141" s="488">
        <v>50183013.698630139</v>
      </c>
      <c r="H141" s="482">
        <v>31546000000</v>
      </c>
      <c r="I141" s="483">
        <v>27607642635.799999</v>
      </c>
      <c r="J141" s="484">
        <v>150553423660.39999</v>
      </c>
      <c r="M141" s="486"/>
    </row>
    <row r="142" spans="1:14" s="485" customFormat="1">
      <c r="A142" s="477"/>
      <c r="B142" s="487" t="s">
        <v>1518</v>
      </c>
      <c r="C142" s="479" t="s">
        <v>73</v>
      </c>
      <c r="D142" s="480">
        <v>1</v>
      </c>
      <c r="E142" s="488">
        <v>50000000</v>
      </c>
      <c r="F142" s="481">
        <v>0</v>
      </c>
      <c r="G142" s="488">
        <v>50183013.698630139</v>
      </c>
      <c r="H142" s="482">
        <v>31546000000</v>
      </c>
      <c r="I142" s="483">
        <v>27607642635.799999</v>
      </c>
      <c r="J142" s="484">
        <v>150553423660.39999</v>
      </c>
      <c r="M142" s="486"/>
    </row>
    <row r="143" spans="1:14" s="485" customFormat="1">
      <c r="A143" s="477"/>
      <c r="B143" s="487" t="s">
        <v>1518</v>
      </c>
      <c r="C143" s="479" t="s">
        <v>73</v>
      </c>
      <c r="D143" s="480">
        <v>1</v>
      </c>
      <c r="E143" s="488">
        <v>50000000</v>
      </c>
      <c r="F143" s="481">
        <v>0</v>
      </c>
      <c r="G143" s="488">
        <v>50183013.698630139</v>
      </c>
      <c r="H143" s="482">
        <v>31546000000</v>
      </c>
      <c r="I143" s="483">
        <v>27607642635.799999</v>
      </c>
      <c r="J143" s="484">
        <v>150553423660.39999</v>
      </c>
      <c r="M143" s="486"/>
    </row>
    <row r="144" spans="1:14" s="485" customFormat="1">
      <c r="A144" s="477"/>
      <c r="B144" s="487" t="s">
        <v>1518</v>
      </c>
      <c r="C144" s="479" t="s">
        <v>73</v>
      </c>
      <c r="D144" s="480">
        <v>1</v>
      </c>
      <c r="E144" s="488">
        <v>50000000</v>
      </c>
      <c r="F144" s="481">
        <v>0</v>
      </c>
      <c r="G144" s="488">
        <v>50183013.698630139</v>
      </c>
      <c r="H144" s="482">
        <v>31546000000</v>
      </c>
      <c r="I144" s="483">
        <v>27607642635.799999</v>
      </c>
      <c r="J144" s="484">
        <v>150553423660.39999</v>
      </c>
      <c r="M144" s="486"/>
    </row>
    <row r="145" spans="1:13" s="485" customFormat="1">
      <c r="A145" s="477"/>
      <c r="B145" s="487" t="s">
        <v>1518</v>
      </c>
      <c r="C145" s="479" t="s">
        <v>73</v>
      </c>
      <c r="D145" s="480">
        <v>1</v>
      </c>
      <c r="E145" s="488">
        <v>50000000</v>
      </c>
      <c r="F145" s="481">
        <v>0</v>
      </c>
      <c r="G145" s="488">
        <v>50183013.698630139</v>
      </c>
      <c r="H145" s="482">
        <v>31546000000</v>
      </c>
      <c r="I145" s="483">
        <v>27607642635.799999</v>
      </c>
      <c r="J145" s="484">
        <v>150553423660.39999</v>
      </c>
      <c r="L145" s="489"/>
      <c r="M145" s="486"/>
    </row>
    <row r="146" spans="1:13" s="485" customFormat="1">
      <c r="A146" s="477"/>
      <c r="B146" s="487" t="s">
        <v>1518</v>
      </c>
      <c r="C146" s="479" t="s">
        <v>73</v>
      </c>
      <c r="D146" s="480">
        <v>1</v>
      </c>
      <c r="E146" s="488">
        <v>50000000</v>
      </c>
      <c r="F146" s="481">
        <v>0</v>
      </c>
      <c r="G146" s="488">
        <v>50183013.698630139</v>
      </c>
      <c r="H146" s="482">
        <v>31546000000</v>
      </c>
      <c r="I146" s="483">
        <v>27607642635.799999</v>
      </c>
      <c r="J146" s="484">
        <v>150553423660.39999</v>
      </c>
      <c r="L146" s="489"/>
      <c r="M146" s="486"/>
    </row>
    <row r="147" spans="1:13" s="485" customFormat="1">
      <c r="A147" s="477"/>
      <c r="B147" s="478" t="s">
        <v>1518</v>
      </c>
      <c r="C147" s="479" t="s">
        <v>73</v>
      </c>
      <c r="D147" s="480">
        <v>1</v>
      </c>
      <c r="E147" s="480">
        <v>50000000</v>
      </c>
      <c r="F147" s="481">
        <v>0</v>
      </c>
      <c r="G147" s="480">
        <v>50183013.698630139</v>
      </c>
      <c r="H147" s="482">
        <v>31546000000</v>
      </c>
      <c r="I147" s="483">
        <v>27607642635.799999</v>
      </c>
      <c r="J147" s="484">
        <v>150553423660.39999</v>
      </c>
      <c r="M147" s="486"/>
    </row>
    <row r="148" spans="1:13" s="485" customFormat="1">
      <c r="A148" s="477"/>
      <c r="B148" s="478" t="s">
        <v>1518</v>
      </c>
      <c r="C148" s="479" t="s">
        <v>73</v>
      </c>
      <c r="D148" s="480">
        <v>1</v>
      </c>
      <c r="E148" s="480">
        <v>50000000</v>
      </c>
      <c r="F148" s="481">
        <v>0</v>
      </c>
      <c r="G148" s="480">
        <v>50183013.698630139</v>
      </c>
      <c r="H148" s="482">
        <v>31546000000</v>
      </c>
      <c r="I148" s="483">
        <v>27607642635.799999</v>
      </c>
      <c r="J148" s="484">
        <v>150553423660.39999</v>
      </c>
      <c r="M148" s="486"/>
    </row>
    <row r="149" spans="1:13" s="485" customFormat="1">
      <c r="A149" s="477"/>
      <c r="B149" s="478" t="s">
        <v>1518</v>
      </c>
      <c r="C149" s="479" t="s">
        <v>73</v>
      </c>
      <c r="D149" s="480">
        <v>1</v>
      </c>
      <c r="E149" s="480">
        <v>50000000</v>
      </c>
      <c r="F149" s="481">
        <v>0</v>
      </c>
      <c r="G149" s="480">
        <v>50183013.698630139</v>
      </c>
      <c r="H149" s="482">
        <v>31546000000</v>
      </c>
      <c r="I149" s="483">
        <v>27607642635.799999</v>
      </c>
      <c r="J149" s="484">
        <v>150553423660.39999</v>
      </c>
      <c r="M149" s="486"/>
    </row>
    <row r="150" spans="1:13" s="485" customFormat="1">
      <c r="A150" s="477"/>
      <c r="B150" s="478" t="s">
        <v>1518</v>
      </c>
      <c r="C150" s="479" t="s">
        <v>73</v>
      </c>
      <c r="D150" s="480">
        <v>1</v>
      </c>
      <c r="E150" s="480">
        <v>50000000</v>
      </c>
      <c r="F150" s="481">
        <v>0</v>
      </c>
      <c r="G150" s="480">
        <v>50183013.698630139</v>
      </c>
      <c r="H150" s="482">
        <v>31546000000</v>
      </c>
      <c r="I150" s="483">
        <v>27607642635.799999</v>
      </c>
      <c r="J150" s="484">
        <v>150553423660.39999</v>
      </c>
      <c r="M150" s="486"/>
    </row>
    <row r="151" spans="1:13" s="485" customFormat="1">
      <c r="A151" s="477"/>
      <c r="B151" s="478" t="s">
        <v>1377</v>
      </c>
      <c r="C151" s="479" t="s">
        <v>73</v>
      </c>
      <c r="D151" s="480">
        <v>1</v>
      </c>
      <c r="E151" s="480">
        <v>50000000</v>
      </c>
      <c r="F151" s="481">
        <v>0</v>
      </c>
      <c r="G151" s="480">
        <v>50496575.342465758</v>
      </c>
      <c r="H151" s="482">
        <v>59930000000</v>
      </c>
      <c r="I151" s="483">
        <v>1508380911</v>
      </c>
      <c r="J151" s="484">
        <v>69329926871</v>
      </c>
      <c r="M151" s="486"/>
    </row>
    <row r="152" spans="1:13" s="485" customFormat="1">
      <c r="A152" s="477"/>
      <c r="B152" s="487" t="s">
        <v>1377</v>
      </c>
      <c r="C152" s="479" t="s">
        <v>73</v>
      </c>
      <c r="D152" s="480">
        <v>1</v>
      </c>
      <c r="E152" s="488">
        <v>50000000</v>
      </c>
      <c r="F152" s="481">
        <v>0</v>
      </c>
      <c r="G152" s="488">
        <v>50496575.342465758</v>
      </c>
      <c r="H152" s="482">
        <v>59930000000</v>
      </c>
      <c r="I152" s="483">
        <v>1508380911</v>
      </c>
      <c r="J152" s="484">
        <v>69329926871</v>
      </c>
      <c r="M152" s="486"/>
    </row>
    <row r="153" spans="1:13" s="485" customFormat="1">
      <c r="A153" s="477"/>
      <c r="B153" s="487" t="s">
        <v>1377</v>
      </c>
      <c r="C153" s="479" t="s">
        <v>73</v>
      </c>
      <c r="D153" s="480">
        <v>1</v>
      </c>
      <c r="E153" s="488">
        <v>50000000</v>
      </c>
      <c r="F153" s="481">
        <v>0</v>
      </c>
      <c r="G153" s="488">
        <v>50496575.342465758</v>
      </c>
      <c r="H153" s="482">
        <v>59930000000</v>
      </c>
      <c r="I153" s="483">
        <v>1508380911</v>
      </c>
      <c r="J153" s="484">
        <v>69329926871</v>
      </c>
      <c r="M153" s="486"/>
    </row>
    <row r="154" spans="1:13" s="485" customFormat="1">
      <c r="A154" s="477"/>
      <c r="B154" s="487" t="s">
        <v>576</v>
      </c>
      <c r="C154" s="479" t="s">
        <v>73</v>
      </c>
      <c r="D154" s="480">
        <v>1</v>
      </c>
      <c r="E154" s="488">
        <v>103017205</v>
      </c>
      <c r="F154" s="481">
        <v>0</v>
      </c>
      <c r="G154" s="488">
        <v>108069987.22606164</v>
      </c>
      <c r="H154" s="482">
        <v>1081242860000.0001</v>
      </c>
      <c r="I154" s="483">
        <v>4278038995</v>
      </c>
      <c r="J154" s="484">
        <v>1563540791181.0002</v>
      </c>
      <c r="M154" s="486"/>
    </row>
    <row r="155" spans="1:13" s="485" customFormat="1">
      <c r="A155" s="477"/>
      <c r="B155" s="487" t="s">
        <v>576</v>
      </c>
      <c r="C155" s="479" t="s">
        <v>73</v>
      </c>
      <c r="D155" s="480">
        <v>1</v>
      </c>
      <c r="E155" s="488">
        <v>61000000</v>
      </c>
      <c r="F155" s="481">
        <v>0</v>
      </c>
      <c r="G155" s="488">
        <v>62412191.780821927</v>
      </c>
      <c r="H155" s="482">
        <v>1081242860000.0001</v>
      </c>
      <c r="I155" s="483">
        <v>4278038995</v>
      </c>
      <c r="J155" s="484">
        <v>1563540791181.0002</v>
      </c>
      <c r="M155" s="486"/>
    </row>
    <row r="156" spans="1:13" s="485" customFormat="1">
      <c r="A156" s="477"/>
      <c r="B156" s="487" t="s">
        <v>576</v>
      </c>
      <c r="C156" s="479" t="s">
        <v>73</v>
      </c>
      <c r="D156" s="480">
        <v>1</v>
      </c>
      <c r="E156" s="488">
        <v>250000000</v>
      </c>
      <c r="F156" s="481">
        <v>0</v>
      </c>
      <c r="G156" s="488">
        <v>255921232.87671235</v>
      </c>
      <c r="H156" s="482">
        <v>1081242860000.0001</v>
      </c>
      <c r="I156" s="483">
        <v>4278038995</v>
      </c>
      <c r="J156" s="484">
        <v>1563540791181.0002</v>
      </c>
      <c r="L156" s="489"/>
      <c r="M156" s="486"/>
    </row>
    <row r="157" spans="1:13" s="485" customFormat="1">
      <c r="A157" s="477"/>
      <c r="B157" s="487" t="s">
        <v>576</v>
      </c>
      <c r="C157" s="479" t="s">
        <v>73</v>
      </c>
      <c r="D157" s="480">
        <v>1</v>
      </c>
      <c r="E157" s="488">
        <v>250000000</v>
      </c>
      <c r="F157" s="481">
        <v>0</v>
      </c>
      <c r="G157" s="488">
        <v>256054794.52054796</v>
      </c>
      <c r="H157" s="482">
        <v>1081242860000.0001</v>
      </c>
      <c r="I157" s="483">
        <v>4278038995</v>
      </c>
      <c r="J157" s="484">
        <v>1563540791181.0002</v>
      </c>
      <c r="L157" s="489"/>
      <c r="M157" s="486"/>
    </row>
    <row r="158" spans="1:13" s="485" customFormat="1">
      <c r="A158" s="477"/>
      <c r="B158" s="487" t="s">
        <v>576</v>
      </c>
      <c r="C158" s="479" t="s">
        <v>73</v>
      </c>
      <c r="D158" s="480">
        <v>1</v>
      </c>
      <c r="E158" s="488">
        <v>250000000</v>
      </c>
      <c r="F158" s="481">
        <v>0</v>
      </c>
      <c r="G158" s="488">
        <v>255921232.87671235</v>
      </c>
      <c r="H158" s="482">
        <v>1081242860000.0001</v>
      </c>
      <c r="I158" s="483">
        <v>4278038995</v>
      </c>
      <c r="J158" s="484">
        <v>1563540791181.0002</v>
      </c>
      <c r="L158" s="489"/>
      <c r="M158" s="486"/>
    </row>
    <row r="159" spans="1:13" s="485" customFormat="1">
      <c r="A159" s="477"/>
      <c r="B159" s="487" t="s">
        <v>576</v>
      </c>
      <c r="C159" s="479" t="s">
        <v>73</v>
      </c>
      <c r="D159" s="480">
        <v>1</v>
      </c>
      <c r="E159" s="488">
        <v>250000000</v>
      </c>
      <c r="F159" s="481">
        <v>0</v>
      </c>
      <c r="G159" s="488">
        <v>256184931.50684935</v>
      </c>
      <c r="H159" s="482">
        <v>1081242860000.0001</v>
      </c>
      <c r="I159" s="483">
        <v>4278038995</v>
      </c>
      <c r="J159" s="484">
        <v>1563540791181.0002</v>
      </c>
      <c r="L159" s="489"/>
      <c r="M159" s="486"/>
    </row>
    <row r="160" spans="1:13" s="485" customFormat="1">
      <c r="A160" s="477"/>
      <c r="B160" s="487" t="s">
        <v>576</v>
      </c>
      <c r="C160" s="479" t="s">
        <v>73</v>
      </c>
      <c r="D160" s="480">
        <v>1</v>
      </c>
      <c r="E160" s="488">
        <v>250000000</v>
      </c>
      <c r="F160" s="481">
        <v>0</v>
      </c>
      <c r="G160" s="488">
        <v>256184931.50684935</v>
      </c>
      <c r="H160" s="482">
        <v>1081242860000.0001</v>
      </c>
      <c r="I160" s="483">
        <v>4278038995</v>
      </c>
      <c r="J160" s="484">
        <v>1563540791181.0002</v>
      </c>
      <c r="L160" s="489"/>
      <c r="M160" s="486"/>
    </row>
    <row r="161" spans="1:13" s="485" customFormat="1">
      <c r="A161" s="477"/>
      <c r="B161" s="487" t="s">
        <v>576</v>
      </c>
      <c r="C161" s="479" t="s">
        <v>73</v>
      </c>
      <c r="D161" s="480">
        <v>1</v>
      </c>
      <c r="E161" s="488">
        <v>250000000</v>
      </c>
      <c r="F161" s="481">
        <v>0</v>
      </c>
      <c r="G161" s="488">
        <v>256184931.50684935</v>
      </c>
      <c r="H161" s="482">
        <v>1081242860000.0001</v>
      </c>
      <c r="I161" s="483">
        <v>4278038995</v>
      </c>
      <c r="J161" s="484">
        <v>1563540791181.0002</v>
      </c>
      <c r="L161" s="489"/>
      <c r="M161" s="486"/>
    </row>
    <row r="162" spans="1:13" s="485" customFormat="1">
      <c r="A162" s="477"/>
      <c r="B162" s="487" t="s">
        <v>576</v>
      </c>
      <c r="C162" s="479" t="s">
        <v>73</v>
      </c>
      <c r="D162" s="480">
        <v>1</v>
      </c>
      <c r="E162" s="488">
        <v>250000000</v>
      </c>
      <c r="F162" s="481">
        <v>0</v>
      </c>
      <c r="G162" s="488">
        <v>256184931.50684935</v>
      </c>
      <c r="H162" s="482">
        <v>1081242860000.0001</v>
      </c>
      <c r="I162" s="483">
        <v>4278038995</v>
      </c>
      <c r="J162" s="484">
        <v>1563540791181.0002</v>
      </c>
      <c r="L162" s="489"/>
      <c r="M162" s="486"/>
    </row>
    <row r="163" spans="1:13" s="485" customFormat="1">
      <c r="A163" s="477"/>
      <c r="B163" s="487" t="s">
        <v>576</v>
      </c>
      <c r="C163" s="479" t="s">
        <v>73</v>
      </c>
      <c r="D163" s="480">
        <v>1</v>
      </c>
      <c r="E163" s="488">
        <v>250000000</v>
      </c>
      <c r="F163" s="481">
        <v>0</v>
      </c>
      <c r="G163" s="488">
        <v>256184931.50684935</v>
      </c>
      <c r="H163" s="482">
        <v>1081242860000.0001</v>
      </c>
      <c r="I163" s="483">
        <v>4278038995</v>
      </c>
      <c r="J163" s="484">
        <v>1563540791181.0002</v>
      </c>
      <c r="L163" s="489"/>
      <c r="M163" s="486"/>
    </row>
    <row r="164" spans="1:13" s="485" customFormat="1">
      <c r="A164" s="477"/>
      <c r="B164" s="487" t="s">
        <v>576</v>
      </c>
      <c r="C164" s="479" t="s">
        <v>73</v>
      </c>
      <c r="D164" s="480">
        <v>1</v>
      </c>
      <c r="E164" s="488">
        <v>250000000</v>
      </c>
      <c r="F164" s="481">
        <v>0</v>
      </c>
      <c r="G164" s="488">
        <v>256184931.50684935</v>
      </c>
      <c r="H164" s="482">
        <v>1081242860000.0001</v>
      </c>
      <c r="I164" s="483">
        <v>4278038995</v>
      </c>
      <c r="J164" s="484">
        <v>1563540791181.0002</v>
      </c>
      <c r="L164" s="489"/>
      <c r="M164" s="486"/>
    </row>
    <row r="165" spans="1:13" s="485" customFormat="1">
      <c r="A165" s="477"/>
      <c r="B165" s="487" t="s">
        <v>576</v>
      </c>
      <c r="C165" s="479" t="s">
        <v>73</v>
      </c>
      <c r="D165" s="480">
        <v>1</v>
      </c>
      <c r="E165" s="488">
        <v>250000000</v>
      </c>
      <c r="F165" s="481">
        <v>0</v>
      </c>
      <c r="G165" s="488">
        <v>256232876.71232879</v>
      </c>
      <c r="H165" s="482">
        <v>1081242860000.0001</v>
      </c>
      <c r="I165" s="483">
        <v>4278038995</v>
      </c>
      <c r="J165" s="484">
        <v>1563540791181.0002</v>
      </c>
      <c r="L165" s="489"/>
      <c r="M165" s="486"/>
    </row>
    <row r="166" spans="1:13" s="485" customFormat="1">
      <c r="A166" s="477"/>
      <c r="B166" s="487" t="s">
        <v>576</v>
      </c>
      <c r="C166" s="479" t="s">
        <v>73</v>
      </c>
      <c r="D166" s="480">
        <v>1</v>
      </c>
      <c r="E166" s="488">
        <v>250000000</v>
      </c>
      <c r="F166" s="481">
        <v>0</v>
      </c>
      <c r="G166" s="488">
        <v>256232876.71232879</v>
      </c>
      <c r="H166" s="482">
        <v>1081242860000.0001</v>
      </c>
      <c r="I166" s="483">
        <v>4278038995</v>
      </c>
      <c r="J166" s="484">
        <v>1563540791181.0002</v>
      </c>
      <c r="L166" s="489"/>
      <c r="M166" s="486"/>
    </row>
    <row r="167" spans="1:13" s="485" customFormat="1">
      <c r="A167" s="477"/>
      <c r="B167" s="487" t="s">
        <v>576</v>
      </c>
      <c r="C167" s="479" t="s">
        <v>73</v>
      </c>
      <c r="D167" s="480">
        <v>1</v>
      </c>
      <c r="E167" s="488">
        <v>250000000</v>
      </c>
      <c r="F167" s="481">
        <v>0</v>
      </c>
      <c r="G167" s="488">
        <v>256232876.71232879</v>
      </c>
      <c r="H167" s="482">
        <v>1081242860000.0001</v>
      </c>
      <c r="I167" s="483">
        <v>4278038995</v>
      </c>
      <c r="J167" s="484">
        <v>1563540791181.0002</v>
      </c>
      <c r="L167" s="489"/>
      <c r="M167" s="486"/>
    </row>
    <row r="168" spans="1:13" s="485" customFormat="1">
      <c r="A168" s="477"/>
      <c r="B168" s="487" t="s">
        <v>576</v>
      </c>
      <c r="C168" s="479" t="s">
        <v>73</v>
      </c>
      <c r="D168" s="480">
        <v>1</v>
      </c>
      <c r="E168" s="488">
        <v>100000000</v>
      </c>
      <c r="F168" s="481">
        <v>0</v>
      </c>
      <c r="G168" s="488">
        <v>102546575.34246576</v>
      </c>
      <c r="H168" s="482">
        <v>1081242860000.0001</v>
      </c>
      <c r="I168" s="483">
        <v>4278038995</v>
      </c>
      <c r="J168" s="484">
        <v>1563540791181.0002</v>
      </c>
      <c r="L168" s="489"/>
      <c r="M168" s="486"/>
    </row>
    <row r="169" spans="1:13" s="485" customFormat="1">
      <c r="A169" s="477"/>
      <c r="B169" s="487" t="s">
        <v>576</v>
      </c>
      <c r="C169" s="479" t="s">
        <v>73</v>
      </c>
      <c r="D169" s="480">
        <v>1</v>
      </c>
      <c r="E169" s="488">
        <v>100000000</v>
      </c>
      <c r="F169" s="481">
        <v>0</v>
      </c>
      <c r="G169" s="488">
        <v>102546575.34246576</v>
      </c>
      <c r="H169" s="482">
        <v>1081242860000.0001</v>
      </c>
      <c r="I169" s="483">
        <v>4278038995</v>
      </c>
      <c r="J169" s="484">
        <v>1563540791181.0002</v>
      </c>
      <c r="L169" s="489"/>
      <c r="M169" s="486"/>
    </row>
    <row r="170" spans="1:13" s="485" customFormat="1">
      <c r="A170" s="477"/>
      <c r="B170" s="487" t="s">
        <v>576</v>
      </c>
      <c r="C170" s="479" t="s">
        <v>73</v>
      </c>
      <c r="D170" s="480">
        <v>1</v>
      </c>
      <c r="E170" s="488">
        <v>100000000</v>
      </c>
      <c r="F170" s="481">
        <v>0</v>
      </c>
      <c r="G170" s="488">
        <v>102546575.34246576</v>
      </c>
      <c r="H170" s="482">
        <v>1081242860000.0001</v>
      </c>
      <c r="I170" s="483">
        <v>4278038995</v>
      </c>
      <c r="J170" s="484">
        <v>1563540791181.0002</v>
      </c>
      <c r="L170" s="489"/>
      <c r="M170" s="486"/>
    </row>
    <row r="171" spans="1:13" s="485" customFormat="1">
      <c r="A171" s="477"/>
      <c r="B171" s="487" t="s">
        <v>576</v>
      </c>
      <c r="C171" s="479" t="s">
        <v>73</v>
      </c>
      <c r="D171" s="480">
        <v>1</v>
      </c>
      <c r="E171" s="488">
        <v>100000000</v>
      </c>
      <c r="F171" s="481">
        <v>0</v>
      </c>
      <c r="G171" s="488">
        <v>102546575.34246576</v>
      </c>
      <c r="H171" s="482">
        <v>1081242860000.0001</v>
      </c>
      <c r="I171" s="483">
        <v>4278038995</v>
      </c>
      <c r="J171" s="484">
        <v>1563540791181.0002</v>
      </c>
      <c r="L171" s="489"/>
      <c r="M171" s="486"/>
    </row>
    <row r="172" spans="1:13" s="485" customFormat="1">
      <c r="A172" s="477"/>
      <c r="B172" s="487" t="s">
        <v>576</v>
      </c>
      <c r="C172" s="479" t="s">
        <v>73</v>
      </c>
      <c r="D172" s="480">
        <v>1</v>
      </c>
      <c r="E172" s="488">
        <v>5000000</v>
      </c>
      <c r="F172" s="481">
        <v>0</v>
      </c>
      <c r="G172" s="488">
        <v>5123767.1232876703</v>
      </c>
      <c r="H172" s="482">
        <v>1081242860000.0001</v>
      </c>
      <c r="I172" s="483">
        <v>4278038995</v>
      </c>
      <c r="J172" s="484">
        <v>1563540791181.0002</v>
      </c>
      <c r="M172" s="486"/>
    </row>
    <row r="173" spans="1:13" s="485" customFormat="1">
      <c r="A173" s="477"/>
      <c r="B173" s="478" t="s">
        <v>576</v>
      </c>
      <c r="C173" s="479" t="s">
        <v>73</v>
      </c>
      <c r="D173" s="480">
        <v>1</v>
      </c>
      <c r="E173" s="488">
        <v>25000000</v>
      </c>
      <c r="F173" s="481">
        <v>0</v>
      </c>
      <c r="G173" s="488">
        <v>25609931.506849315</v>
      </c>
      <c r="H173" s="482">
        <v>1081242860000.0001</v>
      </c>
      <c r="I173" s="483">
        <v>4278038995</v>
      </c>
      <c r="J173" s="484">
        <v>1563540791181.0002</v>
      </c>
      <c r="M173" s="486"/>
    </row>
    <row r="174" spans="1:13" s="485" customFormat="1">
      <c r="A174" s="477"/>
      <c r="B174" s="478" t="s">
        <v>576</v>
      </c>
      <c r="C174" s="479" t="s">
        <v>73</v>
      </c>
      <c r="D174" s="480">
        <v>1</v>
      </c>
      <c r="E174" s="488">
        <v>50000000</v>
      </c>
      <c r="F174" s="481">
        <v>0</v>
      </c>
      <c r="G174" s="488">
        <v>51193150.684931509</v>
      </c>
      <c r="H174" s="482">
        <v>1081242860000.0001</v>
      </c>
      <c r="I174" s="483">
        <v>4278038995</v>
      </c>
      <c r="J174" s="484">
        <v>1563540791181.0002</v>
      </c>
      <c r="M174" s="486"/>
    </row>
    <row r="175" spans="1:13" s="485" customFormat="1">
      <c r="A175" s="477"/>
      <c r="B175" s="487" t="s">
        <v>576</v>
      </c>
      <c r="C175" s="479" t="s">
        <v>73</v>
      </c>
      <c r="D175" s="480">
        <v>1</v>
      </c>
      <c r="E175" s="488">
        <v>80000000</v>
      </c>
      <c r="F175" s="481">
        <v>0</v>
      </c>
      <c r="G175" s="490">
        <v>82023013.698630139</v>
      </c>
      <c r="H175" s="482">
        <v>1081242860000.0001</v>
      </c>
      <c r="I175" s="483">
        <v>4278038995</v>
      </c>
      <c r="J175" s="484">
        <v>1563540791181.0002</v>
      </c>
      <c r="M175" s="486"/>
    </row>
    <row r="176" spans="1:13" s="485" customFormat="1">
      <c r="A176" s="477"/>
      <c r="B176" s="487" t="s">
        <v>576</v>
      </c>
      <c r="C176" s="479" t="s">
        <v>73</v>
      </c>
      <c r="D176" s="480">
        <v>1</v>
      </c>
      <c r="E176" s="488">
        <v>81700000</v>
      </c>
      <c r="F176" s="481">
        <v>0</v>
      </c>
      <c r="G176" s="490">
        <v>83780552.05479452</v>
      </c>
      <c r="H176" s="482">
        <v>1081242860000.0001</v>
      </c>
      <c r="I176" s="483">
        <v>4278038995</v>
      </c>
      <c r="J176" s="484">
        <v>1563540791181.0002</v>
      </c>
      <c r="M176" s="486"/>
    </row>
    <row r="177" spans="1:13" s="485" customFormat="1">
      <c r="A177" s="477"/>
      <c r="B177" s="487" t="s">
        <v>576</v>
      </c>
      <c r="C177" s="479" t="s">
        <v>73</v>
      </c>
      <c r="D177" s="480">
        <v>1</v>
      </c>
      <c r="E177" s="491">
        <v>100000000</v>
      </c>
      <c r="F177" s="481">
        <v>0</v>
      </c>
      <c r="G177" s="488">
        <v>102546575.34246576</v>
      </c>
      <c r="H177" s="482">
        <v>1081242860000.0001</v>
      </c>
      <c r="I177" s="483">
        <v>4278038995</v>
      </c>
      <c r="J177" s="484">
        <v>1563540791181.0002</v>
      </c>
      <c r="L177" s="489"/>
      <c r="M177" s="486"/>
    </row>
    <row r="178" spans="1:13" s="485" customFormat="1">
      <c r="A178" s="477"/>
      <c r="B178" s="487" t="s">
        <v>576</v>
      </c>
      <c r="C178" s="479" t="s">
        <v>73</v>
      </c>
      <c r="D178" s="480">
        <v>1</v>
      </c>
      <c r="E178" s="488">
        <v>100000000</v>
      </c>
      <c r="F178" s="481">
        <v>0</v>
      </c>
      <c r="G178" s="488">
        <v>102439726.02739726</v>
      </c>
      <c r="H178" s="482">
        <v>1081242860000.0001</v>
      </c>
      <c r="I178" s="483">
        <v>4278038995</v>
      </c>
      <c r="J178" s="484">
        <v>1563540791181.0002</v>
      </c>
      <c r="L178" s="489"/>
      <c r="M178" s="486"/>
    </row>
    <row r="179" spans="1:13" s="485" customFormat="1">
      <c r="A179" s="477"/>
      <c r="B179" s="487" t="s">
        <v>576</v>
      </c>
      <c r="C179" s="479" t="s">
        <v>73</v>
      </c>
      <c r="D179" s="480">
        <v>1</v>
      </c>
      <c r="E179" s="488">
        <v>103700000</v>
      </c>
      <c r="F179" s="481">
        <v>0</v>
      </c>
      <c r="G179" s="488">
        <v>106156127.39726028</v>
      </c>
      <c r="H179" s="482">
        <v>1081242860000.0001</v>
      </c>
      <c r="I179" s="483">
        <v>4278038995</v>
      </c>
      <c r="J179" s="484">
        <v>1563540791181.0002</v>
      </c>
      <c r="L179" s="489"/>
      <c r="M179" s="486"/>
    </row>
    <row r="180" spans="1:13" s="485" customFormat="1">
      <c r="A180" s="477"/>
      <c r="B180" s="487" t="s">
        <v>576</v>
      </c>
      <c r="C180" s="479" t="s">
        <v>73</v>
      </c>
      <c r="D180" s="480">
        <v>1</v>
      </c>
      <c r="E180" s="488">
        <v>115000000</v>
      </c>
      <c r="F180" s="481">
        <v>0</v>
      </c>
      <c r="G180" s="488">
        <v>117764726.02739725</v>
      </c>
      <c r="H180" s="482">
        <v>1081242860000.0001</v>
      </c>
      <c r="I180" s="483">
        <v>4278038995</v>
      </c>
      <c r="J180" s="484">
        <v>1563540791181.0002</v>
      </c>
      <c r="M180" s="486"/>
    </row>
    <row r="181" spans="1:13" s="485" customFormat="1">
      <c r="A181" s="477"/>
      <c r="B181" s="487" t="s">
        <v>576</v>
      </c>
      <c r="C181" s="479" t="s">
        <v>73</v>
      </c>
      <c r="D181" s="480">
        <v>1</v>
      </c>
      <c r="E181" s="488">
        <v>115000000</v>
      </c>
      <c r="F181" s="481">
        <v>0</v>
      </c>
      <c r="G181" s="488">
        <v>117764726.02739725</v>
      </c>
      <c r="H181" s="482">
        <v>1081242860000.0001</v>
      </c>
      <c r="I181" s="483">
        <v>4278038995</v>
      </c>
      <c r="J181" s="484">
        <v>1563540791181.0002</v>
      </c>
      <c r="M181" s="486"/>
    </row>
    <row r="182" spans="1:13" s="485" customFormat="1">
      <c r="A182" s="477"/>
      <c r="B182" s="487" t="s">
        <v>576</v>
      </c>
      <c r="C182" s="479" t="s">
        <v>73</v>
      </c>
      <c r="D182" s="480">
        <v>1</v>
      </c>
      <c r="E182" s="488">
        <v>132600000</v>
      </c>
      <c r="F182" s="481">
        <v>0</v>
      </c>
      <c r="G182" s="488">
        <v>135315575.34246576</v>
      </c>
      <c r="H182" s="482">
        <v>1081242860000.0001</v>
      </c>
      <c r="I182" s="483">
        <v>4278038995</v>
      </c>
      <c r="J182" s="484">
        <v>1563540791181.0002</v>
      </c>
      <c r="L182" s="489"/>
      <c r="M182" s="486"/>
    </row>
    <row r="183" spans="1:13" s="485" customFormat="1">
      <c r="A183" s="477"/>
      <c r="B183" s="487" t="s">
        <v>576</v>
      </c>
      <c r="C183" s="479" t="s">
        <v>73</v>
      </c>
      <c r="D183" s="480">
        <v>1</v>
      </c>
      <c r="E183" s="488">
        <v>140000000</v>
      </c>
      <c r="F183" s="481">
        <v>0</v>
      </c>
      <c r="G183" s="488">
        <v>143340821.9178082</v>
      </c>
      <c r="H183" s="482">
        <v>1081242860000.0001</v>
      </c>
      <c r="I183" s="483">
        <v>4278038995</v>
      </c>
      <c r="J183" s="484">
        <v>1563540791181.0002</v>
      </c>
      <c r="L183" s="489"/>
      <c r="M183" s="486"/>
    </row>
    <row r="184" spans="1:13" s="485" customFormat="1">
      <c r="A184" s="477"/>
      <c r="B184" s="487" t="s">
        <v>576</v>
      </c>
      <c r="C184" s="479" t="s">
        <v>73</v>
      </c>
      <c r="D184" s="480">
        <v>1</v>
      </c>
      <c r="E184" s="488">
        <v>160000000</v>
      </c>
      <c r="F184" s="481">
        <v>0</v>
      </c>
      <c r="G184" s="488">
        <v>163818082.19178081</v>
      </c>
      <c r="H184" s="482">
        <v>1081242860000.0001</v>
      </c>
      <c r="I184" s="483">
        <v>4278038995</v>
      </c>
      <c r="J184" s="484">
        <v>1563540791181.0002</v>
      </c>
      <c r="L184" s="489"/>
      <c r="M184" s="486"/>
    </row>
    <row r="185" spans="1:13" s="485" customFormat="1">
      <c r="A185" s="477"/>
      <c r="B185" s="487" t="s">
        <v>576</v>
      </c>
      <c r="C185" s="479" t="s">
        <v>73</v>
      </c>
      <c r="D185" s="480">
        <v>1</v>
      </c>
      <c r="E185" s="488">
        <v>200000000</v>
      </c>
      <c r="F185" s="481">
        <v>0</v>
      </c>
      <c r="G185" s="488">
        <v>204736986.30136988</v>
      </c>
      <c r="H185" s="482">
        <v>1081242860000.0001</v>
      </c>
      <c r="I185" s="483">
        <v>4278038995</v>
      </c>
      <c r="J185" s="484">
        <v>1563540791181.0002</v>
      </c>
      <c r="L185" s="489"/>
      <c r="M185" s="486"/>
    </row>
    <row r="186" spans="1:13" s="485" customFormat="1">
      <c r="A186" s="477"/>
      <c r="B186" s="487" t="s">
        <v>576</v>
      </c>
      <c r="C186" s="479" t="s">
        <v>73</v>
      </c>
      <c r="D186" s="480">
        <v>1</v>
      </c>
      <c r="E186" s="488">
        <v>200000000</v>
      </c>
      <c r="F186" s="481">
        <v>0</v>
      </c>
      <c r="G186" s="488">
        <v>204736986.30136988</v>
      </c>
      <c r="H186" s="482">
        <v>1081242860000.0001</v>
      </c>
      <c r="I186" s="483">
        <v>4278038995</v>
      </c>
      <c r="J186" s="484">
        <v>1563540791181.0002</v>
      </c>
      <c r="L186" s="489"/>
      <c r="M186" s="486"/>
    </row>
    <row r="187" spans="1:13" s="485" customFormat="1">
      <c r="A187" s="477"/>
      <c r="B187" s="487" t="s">
        <v>576</v>
      </c>
      <c r="C187" s="479" t="s">
        <v>73</v>
      </c>
      <c r="D187" s="480">
        <v>1</v>
      </c>
      <c r="E187" s="488">
        <v>200000000</v>
      </c>
      <c r="F187" s="481">
        <v>0</v>
      </c>
      <c r="G187" s="488">
        <v>204772602.73972604</v>
      </c>
      <c r="H187" s="482">
        <v>1081242860000.0001</v>
      </c>
      <c r="I187" s="483">
        <v>4278038995</v>
      </c>
      <c r="J187" s="484">
        <v>1563540791181.0002</v>
      </c>
      <c r="L187" s="489"/>
      <c r="M187" s="486"/>
    </row>
    <row r="188" spans="1:13" s="485" customFormat="1">
      <c r="A188" s="477"/>
      <c r="B188" s="487" t="s">
        <v>576</v>
      </c>
      <c r="C188" s="479" t="s">
        <v>73</v>
      </c>
      <c r="D188" s="480">
        <v>1</v>
      </c>
      <c r="E188" s="488">
        <v>200000000</v>
      </c>
      <c r="F188" s="481">
        <v>0</v>
      </c>
      <c r="G188" s="488">
        <v>204772602.73972604</v>
      </c>
      <c r="H188" s="482">
        <v>1081242860000.0001</v>
      </c>
      <c r="I188" s="483">
        <v>4278038995</v>
      </c>
      <c r="J188" s="484">
        <v>1563540791181.0002</v>
      </c>
      <c r="L188" s="489"/>
      <c r="M188" s="486"/>
    </row>
    <row r="189" spans="1:13" s="485" customFormat="1">
      <c r="A189" s="477"/>
      <c r="B189" s="487" t="s">
        <v>576</v>
      </c>
      <c r="C189" s="479" t="s">
        <v>73</v>
      </c>
      <c r="D189" s="480">
        <v>1</v>
      </c>
      <c r="E189" s="488">
        <v>230000000</v>
      </c>
      <c r="F189" s="481">
        <v>0</v>
      </c>
      <c r="G189" s="488">
        <v>235857123.28767121</v>
      </c>
      <c r="H189" s="482">
        <v>1081242860000.0001</v>
      </c>
      <c r="I189" s="483">
        <v>4278038995</v>
      </c>
      <c r="J189" s="484">
        <v>1563540791181.0002</v>
      </c>
      <c r="L189" s="489"/>
      <c r="M189" s="486"/>
    </row>
    <row r="190" spans="1:13" s="485" customFormat="1">
      <c r="A190" s="477"/>
      <c r="B190" s="487" t="s">
        <v>576</v>
      </c>
      <c r="C190" s="479" t="s">
        <v>73</v>
      </c>
      <c r="D190" s="480">
        <v>1</v>
      </c>
      <c r="E190" s="488">
        <v>230000000</v>
      </c>
      <c r="F190" s="481">
        <v>0</v>
      </c>
      <c r="G190" s="488">
        <v>235488493.15068489</v>
      </c>
      <c r="H190" s="482">
        <v>1081242860000.0001</v>
      </c>
      <c r="I190" s="483">
        <v>4278038995</v>
      </c>
      <c r="J190" s="484">
        <v>1563540791181.0002</v>
      </c>
      <c r="L190" s="489"/>
      <c r="M190" s="486"/>
    </row>
    <row r="191" spans="1:13" s="485" customFormat="1">
      <c r="A191" s="477"/>
      <c r="B191" s="487" t="s">
        <v>576</v>
      </c>
      <c r="C191" s="479" t="s">
        <v>73</v>
      </c>
      <c r="D191" s="480">
        <v>1</v>
      </c>
      <c r="E191" s="488">
        <v>250000000</v>
      </c>
      <c r="F191" s="481">
        <v>0</v>
      </c>
      <c r="G191" s="488">
        <v>256232876.71232879</v>
      </c>
      <c r="H191" s="482">
        <v>1081242860000.0001</v>
      </c>
      <c r="I191" s="483">
        <v>4278038995</v>
      </c>
      <c r="J191" s="484">
        <v>1563540791181.0002</v>
      </c>
      <c r="L191" s="489"/>
      <c r="M191" s="486"/>
    </row>
    <row r="192" spans="1:13" s="485" customFormat="1">
      <c r="A192" s="477"/>
      <c r="B192" s="487" t="s">
        <v>576</v>
      </c>
      <c r="C192" s="479" t="s">
        <v>73</v>
      </c>
      <c r="D192" s="480">
        <v>1</v>
      </c>
      <c r="E192" s="488">
        <v>300000000</v>
      </c>
      <c r="F192" s="481">
        <v>0</v>
      </c>
      <c r="G192" s="488">
        <v>307158904.10958904</v>
      </c>
      <c r="H192" s="482">
        <v>1081242860000.0001</v>
      </c>
      <c r="I192" s="483">
        <v>4278038995</v>
      </c>
      <c r="J192" s="484">
        <v>1563540791181.0002</v>
      </c>
      <c r="L192" s="489"/>
      <c r="M192" s="486"/>
    </row>
    <row r="193" spans="1:13" s="485" customFormat="1">
      <c r="A193" s="477"/>
      <c r="B193" s="487" t="s">
        <v>576</v>
      </c>
      <c r="C193" s="479" t="s">
        <v>73</v>
      </c>
      <c r="D193" s="480">
        <v>1</v>
      </c>
      <c r="E193" s="488">
        <v>125000000</v>
      </c>
      <c r="F193" s="481">
        <v>0</v>
      </c>
      <c r="G193" s="488">
        <v>125273972.84931506</v>
      </c>
      <c r="H193" s="482">
        <v>1081242860000.0001</v>
      </c>
      <c r="I193" s="483">
        <v>4278038995</v>
      </c>
      <c r="J193" s="484">
        <v>1563540791181.0002</v>
      </c>
      <c r="L193" s="489"/>
      <c r="M193" s="486"/>
    </row>
    <row r="194" spans="1:13" s="485" customFormat="1">
      <c r="A194" s="477"/>
      <c r="B194" s="487" t="s">
        <v>576</v>
      </c>
      <c r="C194" s="479" t="s">
        <v>73</v>
      </c>
      <c r="D194" s="480">
        <v>1</v>
      </c>
      <c r="E194" s="488">
        <v>100000000</v>
      </c>
      <c r="F194" s="481">
        <v>0</v>
      </c>
      <c r="G194" s="488">
        <v>101121917.80821918</v>
      </c>
      <c r="H194" s="482">
        <v>1081242860000.0001</v>
      </c>
      <c r="I194" s="483">
        <v>4278038995</v>
      </c>
      <c r="J194" s="484">
        <v>1563540791181.0002</v>
      </c>
      <c r="L194" s="489"/>
      <c r="M194" s="486"/>
    </row>
    <row r="195" spans="1:13" s="485" customFormat="1">
      <c r="A195" s="477"/>
      <c r="B195" s="487" t="s">
        <v>576</v>
      </c>
      <c r="C195" s="479" t="s">
        <v>73</v>
      </c>
      <c r="D195" s="480">
        <v>1</v>
      </c>
      <c r="E195" s="488">
        <v>149999999.99999997</v>
      </c>
      <c r="F195" s="481">
        <v>0</v>
      </c>
      <c r="G195" s="488">
        <v>150774657.39726025</v>
      </c>
      <c r="H195" s="482">
        <v>1081242860000.0001</v>
      </c>
      <c r="I195" s="483">
        <v>4278038995</v>
      </c>
      <c r="J195" s="484">
        <v>1563540791181.0002</v>
      </c>
      <c r="L195" s="489"/>
      <c r="M195" s="486"/>
    </row>
    <row r="196" spans="1:13" s="485" customFormat="1">
      <c r="A196" s="477"/>
      <c r="B196" s="487" t="s">
        <v>576</v>
      </c>
      <c r="C196" s="479" t="s">
        <v>73</v>
      </c>
      <c r="D196" s="480">
        <v>1</v>
      </c>
      <c r="E196" s="488">
        <v>200000000</v>
      </c>
      <c r="F196" s="481">
        <v>0</v>
      </c>
      <c r="G196" s="488">
        <v>202823013.69863012</v>
      </c>
      <c r="H196" s="482">
        <v>1081242860000.0001</v>
      </c>
      <c r="I196" s="483">
        <v>4278038995</v>
      </c>
      <c r="J196" s="484">
        <v>1563540791181.0002</v>
      </c>
      <c r="L196" s="489"/>
      <c r="M196" s="486"/>
    </row>
    <row r="197" spans="1:13" s="485" customFormat="1">
      <c r="A197" s="477"/>
      <c r="B197" s="487" t="s">
        <v>576</v>
      </c>
      <c r="C197" s="479" t="s">
        <v>73</v>
      </c>
      <c r="D197" s="480">
        <v>1</v>
      </c>
      <c r="E197" s="488">
        <v>850000000</v>
      </c>
      <c r="F197" s="481">
        <v>0</v>
      </c>
      <c r="G197" s="488">
        <v>865835616.43835616</v>
      </c>
      <c r="H197" s="482">
        <v>1081242860000.0001</v>
      </c>
      <c r="I197" s="483">
        <v>4278038995</v>
      </c>
      <c r="J197" s="484">
        <v>1563540791181.0002</v>
      </c>
      <c r="L197" s="489"/>
      <c r="M197" s="486"/>
    </row>
    <row r="198" spans="1:13" s="485" customFormat="1">
      <c r="A198" s="477"/>
      <c r="B198" s="487" t="s">
        <v>1521</v>
      </c>
      <c r="C198" s="479" t="s">
        <v>73</v>
      </c>
      <c r="D198" s="480">
        <v>1</v>
      </c>
      <c r="E198" s="481">
        <v>0</v>
      </c>
      <c r="F198" s="481">
        <v>150000</v>
      </c>
      <c r="G198" s="488">
        <v>1041238313.2602742</v>
      </c>
      <c r="H198" s="482">
        <v>251111200000</v>
      </c>
      <c r="I198" s="483">
        <v>25108285617</v>
      </c>
      <c r="J198" s="484">
        <v>271406900898</v>
      </c>
      <c r="M198" s="486"/>
    </row>
    <row r="199" spans="1:13" s="485" customFormat="1">
      <c r="A199" s="477"/>
      <c r="B199" s="478" t="s">
        <v>1522</v>
      </c>
      <c r="C199" s="479" t="s">
        <v>775</v>
      </c>
      <c r="D199" s="480">
        <v>5</v>
      </c>
      <c r="E199" s="488">
        <v>1000000</v>
      </c>
      <c r="F199" s="481">
        <v>0</v>
      </c>
      <c r="G199" s="488">
        <v>5027123.2876712326</v>
      </c>
      <c r="H199" s="482">
        <v>146400000000</v>
      </c>
      <c r="I199" s="483">
        <v>139620000001</v>
      </c>
      <c r="J199" s="484">
        <v>776978000000</v>
      </c>
      <c r="M199" s="486"/>
    </row>
    <row r="200" spans="1:13" s="485" customFormat="1">
      <c r="A200" s="477"/>
      <c r="B200" s="478" t="s">
        <v>1522</v>
      </c>
      <c r="C200" s="479" t="s">
        <v>775</v>
      </c>
      <c r="D200" s="480">
        <v>196</v>
      </c>
      <c r="E200" s="488">
        <v>1000000</v>
      </c>
      <c r="F200" s="481">
        <v>0</v>
      </c>
      <c r="G200" s="488">
        <v>200422619.1780822</v>
      </c>
      <c r="H200" s="482">
        <v>146400000000</v>
      </c>
      <c r="I200" s="483">
        <v>139620000001</v>
      </c>
      <c r="J200" s="484">
        <v>776978000000</v>
      </c>
      <c r="M200" s="486"/>
    </row>
    <row r="201" spans="1:13" s="485" customFormat="1">
      <c r="A201" s="477"/>
      <c r="B201" s="487" t="s">
        <v>1522</v>
      </c>
      <c r="C201" s="479" t="s">
        <v>775</v>
      </c>
      <c r="D201" s="480">
        <v>146</v>
      </c>
      <c r="E201" s="488">
        <v>1000000</v>
      </c>
      <c r="F201" s="481">
        <v>0</v>
      </c>
      <c r="G201" s="490">
        <v>149712000</v>
      </c>
      <c r="H201" s="482">
        <v>146400000000</v>
      </c>
      <c r="I201" s="483">
        <v>139620000001</v>
      </c>
      <c r="J201" s="484">
        <v>776978000000</v>
      </c>
      <c r="M201" s="486"/>
    </row>
    <row r="202" spans="1:13" s="485" customFormat="1">
      <c r="A202" s="477"/>
      <c r="B202" s="487" t="s">
        <v>1523</v>
      </c>
      <c r="C202" s="479" t="s">
        <v>775</v>
      </c>
      <c r="D202" s="480">
        <v>210</v>
      </c>
      <c r="E202" s="488">
        <v>1000000</v>
      </c>
      <c r="F202" s="481">
        <v>0</v>
      </c>
      <c r="G202" s="490">
        <v>210362465.7534247</v>
      </c>
      <c r="H202" s="482">
        <v>40000000000</v>
      </c>
      <c r="I202" s="483">
        <v>-1043105149</v>
      </c>
      <c r="J202" s="484">
        <v>45664993495</v>
      </c>
      <c r="M202" s="486"/>
    </row>
    <row r="203" spans="1:13" s="485" customFormat="1">
      <c r="A203" s="477"/>
      <c r="B203" s="487" t="s">
        <v>1524</v>
      </c>
      <c r="C203" s="479" t="s">
        <v>775</v>
      </c>
      <c r="D203" s="480">
        <v>205</v>
      </c>
      <c r="E203" s="488">
        <v>1000000</v>
      </c>
      <c r="F203" s="481">
        <v>0</v>
      </c>
      <c r="G203" s="488">
        <v>205051952.05491793</v>
      </c>
      <c r="H203" s="482">
        <v>327245000000</v>
      </c>
      <c r="I203" s="483">
        <v>-673000000</v>
      </c>
      <c r="J203" s="484">
        <v>510420000000</v>
      </c>
      <c r="L203" s="489"/>
      <c r="M203" s="486"/>
    </row>
    <row r="204" spans="1:13" s="485" customFormat="1">
      <c r="A204" s="477"/>
      <c r="B204" s="487" t="s">
        <v>1525</v>
      </c>
      <c r="C204" s="479" t="s">
        <v>775</v>
      </c>
      <c r="D204" s="480">
        <v>9</v>
      </c>
      <c r="E204" s="488">
        <v>1000000</v>
      </c>
      <c r="F204" s="481">
        <v>0</v>
      </c>
      <c r="G204" s="488">
        <v>9073356.1643835623</v>
      </c>
      <c r="H204" s="482">
        <v>330000000000</v>
      </c>
      <c r="I204" s="483">
        <v>-25655349841</v>
      </c>
      <c r="J204" s="484">
        <v>299171384628</v>
      </c>
      <c r="L204" s="489"/>
      <c r="M204" s="486"/>
    </row>
    <row r="205" spans="1:13" s="485" customFormat="1">
      <c r="A205" s="477"/>
      <c r="B205" s="487" t="s">
        <v>1526</v>
      </c>
      <c r="C205" s="479" t="s">
        <v>775</v>
      </c>
      <c r="D205" s="480">
        <v>1000</v>
      </c>
      <c r="E205" s="488">
        <v>1000000</v>
      </c>
      <c r="F205" s="481">
        <v>0</v>
      </c>
      <c r="G205" s="488">
        <v>1000838356.1643834</v>
      </c>
      <c r="H205" s="483">
        <v>43500000000</v>
      </c>
      <c r="I205" s="483">
        <v>18595129363</v>
      </c>
      <c r="J205" s="483">
        <v>190239413671</v>
      </c>
      <c r="L205" s="489"/>
      <c r="M205" s="486"/>
    </row>
    <row r="206" spans="1:13" s="485" customFormat="1">
      <c r="A206" s="477"/>
      <c r="B206" s="487" t="s">
        <v>1523</v>
      </c>
      <c r="C206" s="479" t="s">
        <v>775</v>
      </c>
      <c r="D206" s="480">
        <v>852</v>
      </c>
      <c r="E206" s="488">
        <v>1000000</v>
      </c>
      <c r="F206" s="481">
        <v>0</v>
      </c>
      <c r="G206" s="488">
        <v>852640750.68493152</v>
      </c>
      <c r="H206" s="482">
        <v>40000000000</v>
      </c>
      <c r="I206" s="483">
        <v>-1043105149</v>
      </c>
      <c r="J206" s="484">
        <v>45664993495</v>
      </c>
      <c r="M206" s="486"/>
    </row>
    <row r="207" spans="1:13" s="485" customFormat="1">
      <c r="A207" s="477"/>
      <c r="B207" s="487" t="s">
        <v>637</v>
      </c>
      <c r="C207" s="479" t="s">
        <v>574</v>
      </c>
      <c r="D207" s="480">
        <v>100</v>
      </c>
      <c r="E207" s="488">
        <v>1000000</v>
      </c>
      <c r="F207" s="481">
        <v>0</v>
      </c>
      <c r="G207" s="488">
        <v>100233972.60273974</v>
      </c>
      <c r="H207" s="482">
        <v>1133000000000</v>
      </c>
      <c r="I207" s="483">
        <v>708065487926</v>
      </c>
      <c r="J207" s="484">
        <v>3651857366298.0005</v>
      </c>
      <c r="M207" s="486"/>
    </row>
    <row r="208" spans="1:13" s="485" customFormat="1">
      <c r="A208" s="477"/>
      <c r="B208" s="487" t="s">
        <v>1272</v>
      </c>
      <c r="C208" s="479" t="s">
        <v>768</v>
      </c>
      <c r="D208" s="480">
        <v>75</v>
      </c>
      <c r="E208" s="488">
        <v>1000000</v>
      </c>
      <c r="F208" s="481">
        <v>0</v>
      </c>
      <c r="G208" s="488">
        <v>76330110.228679761</v>
      </c>
      <c r="H208" s="729" t="s">
        <v>355</v>
      </c>
      <c r="I208" s="730" t="s">
        <v>355</v>
      </c>
      <c r="J208" s="731" t="s">
        <v>355</v>
      </c>
      <c r="L208" s="489"/>
      <c r="M208" s="486"/>
    </row>
    <row r="209" spans="1:13" s="485" customFormat="1">
      <c r="A209" s="477"/>
      <c r="B209" s="487" t="s">
        <v>1527</v>
      </c>
      <c r="C209" s="479" t="s">
        <v>1001</v>
      </c>
      <c r="D209" s="480">
        <v>10</v>
      </c>
      <c r="E209" s="488">
        <v>0</v>
      </c>
      <c r="F209" s="481">
        <v>1000</v>
      </c>
      <c r="G209" s="488">
        <v>69795193.910958916</v>
      </c>
      <c r="H209" s="482">
        <v>375294800000</v>
      </c>
      <c r="I209" s="483">
        <v>40193741341</v>
      </c>
      <c r="J209" s="484">
        <v>444573655078</v>
      </c>
      <c r="L209" s="489"/>
      <c r="M209" s="486"/>
    </row>
    <row r="210" spans="1:13" s="485" customFormat="1" ht="15" customHeight="1">
      <c r="A210" s="477"/>
      <c r="B210" s="492" t="s">
        <v>1713</v>
      </c>
      <c r="C210" s="493"/>
      <c r="D210" s="494"/>
      <c r="E210" s="493"/>
      <c r="F210" s="493"/>
      <c r="G210" s="493"/>
      <c r="H210" s="495"/>
      <c r="I210" s="494"/>
      <c r="J210" s="496"/>
      <c r="M210" s="486"/>
    </row>
    <row r="211" spans="1:13" s="485" customFormat="1">
      <c r="A211" s="477"/>
      <c r="B211" s="478" t="s">
        <v>1535</v>
      </c>
      <c r="C211" s="479" t="s">
        <v>574</v>
      </c>
      <c r="D211" s="480">
        <v>15000</v>
      </c>
      <c r="E211" s="480">
        <v>0</v>
      </c>
      <c r="F211" s="481">
        <v>0</v>
      </c>
      <c r="G211" s="480">
        <v>35095890.410958767</v>
      </c>
      <c r="H211" s="482">
        <v>1133000000000</v>
      </c>
      <c r="I211" s="483">
        <v>708065487926</v>
      </c>
      <c r="J211" s="484">
        <v>3651857366298.0005</v>
      </c>
      <c r="M211" s="486"/>
    </row>
    <row r="212" spans="1:13" s="485" customFormat="1">
      <c r="A212" s="477"/>
      <c r="B212" s="478" t="s">
        <v>1524</v>
      </c>
      <c r="C212" s="479" t="s">
        <v>775</v>
      </c>
      <c r="D212" s="480">
        <v>7750</v>
      </c>
      <c r="E212" s="480">
        <v>0</v>
      </c>
      <c r="F212" s="481">
        <v>0</v>
      </c>
      <c r="G212" s="480">
        <v>115931506.84931421</v>
      </c>
      <c r="H212" s="482">
        <v>327245000000</v>
      </c>
      <c r="I212" s="483">
        <v>-673000000</v>
      </c>
      <c r="J212" s="484">
        <v>510420000000</v>
      </c>
      <c r="M212" s="486"/>
    </row>
    <row r="213" spans="1:13" s="485" customFormat="1">
      <c r="A213" s="477"/>
      <c r="B213" s="478" t="s">
        <v>1524</v>
      </c>
      <c r="C213" s="479" t="s">
        <v>775</v>
      </c>
      <c r="D213" s="480">
        <v>6250</v>
      </c>
      <c r="E213" s="480">
        <v>0</v>
      </c>
      <c r="F213" s="481">
        <v>0</v>
      </c>
      <c r="G213" s="480">
        <v>104400684.93150711</v>
      </c>
      <c r="H213" s="482">
        <v>327245000000</v>
      </c>
      <c r="I213" s="483">
        <v>-673000000</v>
      </c>
      <c r="J213" s="484">
        <v>510420000000</v>
      </c>
      <c r="M213" s="486"/>
    </row>
    <row r="214" spans="1:13" s="485" customFormat="1">
      <c r="A214" s="477"/>
      <c r="B214" s="478" t="s">
        <v>1534</v>
      </c>
      <c r="C214" s="479" t="s">
        <v>775</v>
      </c>
      <c r="D214" s="480">
        <v>2771</v>
      </c>
      <c r="E214" s="480">
        <v>0</v>
      </c>
      <c r="F214" s="481">
        <v>0</v>
      </c>
      <c r="G214" s="480">
        <v>44943342.465756416</v>
      </c>
      <c r="H214" s="482">
        <v>330000000000</v>
      </c>
      <c r="I214" s="483">
        <v>-25655349841</v>
      </c>
      <c r="J214" s="484">
        <v>299171384628</v>
      </c>
      <c r="M214" s="486"/>
    </row>
    <row r="215" spans="1:13" s="485" customFormat="1">
      <c r="A215" s="477"/>
      <c r="B215" s="478" t="s">
        <v>1522</v>
      </c>
      <c r="C215" s="479" t="s">
        <v>775</v>
      </c>
      <c r="D215" s="480">
        <v>7000</v>
      </c>
      <c r="E215" s="480">
        <v>0</v>
      </c>
      <c r="F215" s="481">
        <v>0</v>
      </c>
      <c r="G215" s="480">
        <v>157950684.93151188</v>
      </c>
      <c r="H215" s="482">
        <v>146400000000</v>
      </c>
      <c r="I215" s="483">
        <v>139620000001</v>
      </c>
      <c r="J215" s="484">
        <v>776978000000</v>
      </c>
      <c r="M215" s="486"/>
    </row>
    <row r="216" spans="1:13" s="485" customFormat="1">
      <c r="A216" s="477"/>
      <c r="B216" s="478" t="s">
        <v>1523</v>
      </c>
      <c r="C216" s="479" t="s">
        <v>775</v>
      </c>
      <c r="D216" s="480">
        <v>1500</v>
      </c>
      <c r="E216" s="480">
        <v>0</v>
      </c>
      <c r="F216" s="481">
        <v>0</v>
      </c>
      <c r="G216" s="480">
        <v>1128082.1917808056</v>
      </c>
      <c r="H216" s="482">
        <v>40000000000</v>
      </c>
      <c r="I216" s="483">
        <v>-1043105149</v>
      </c>
      <c r="J216" s="484">
        <v>45664993495</v>
      </c>
      <c r="M216" s="486"/>
    </row>
    <row r="217" spans="1:13" s="485" customFormat="1">
      <c r="A217" s="477"/>
      <c r="B217" s="478" t="s">
        <v>1532</v>
      </c>
      <c r="C217" s="479" t="s">
        <v>73</v>
      </c>
      <c r="D217" s="480">
        <v>1</v>
      </c>
      <c r="E217" s="480">
        <v>0</v>
      </c>
      <c r="F217" s="481">
        <v>0</v>
      </c>
      <c r="G217" s="488">
        <v>10404109.589041129</v>
      </c>
      <c r="H217" s="482">
        <v>104120000000</v>
      </c>
      <c r="I217" s="483">
        <v>26245303308</v>
      </c>
      <c r="J217" s="484">
        <v>178027556022.99997</v>
      </c>
      <c r="M217" s="486"/>
    </row>
    <row r="218" spans="1:13" s="485" customFormat="1">
      <c r="A218" s="477"/>
      <c r="B218" s="478" t="s">
        <v>1532</v>
      </c>
      <c r="C218" s="479" t="s">
        <v>73</v>
      </c>
      <c r="D218" s="480">
        <v>1</v>
      </c>
      <c r="E218" s="480">
        <v>0</v>
      </c>
      <c r="F218" s="481">
        <v>0</v>
      </c>
      <c r="G218" s="488">
        <v>10404109.589041129</v>
      </c>
      <c r="H218" s="482">
        <v>104120000000</v>
      </c>
      <c r="I218" s="483">
        <v>26245303308</v>
      </c>
      <c r="J218" s="484">
        <v>178027556022.99997</v>
      </c>
      <c r="M218" s="486"/>
    </row>
    <row r="219" spans="1:13" s="485" customFormat="1">
      <c r="A219" s="477"/>
      <c r="B219" s="478" t="s">
        <v>1532</v>
      </c>
      <c r="C219" s="479" t="s">
        <v>73</v>
      </c>
      <c r="D219" s="480">
        <v>1</v>
      </c>
      <c r="E219" s="480">
        <v>0</v>
      </c>
      <c r="F219" s="481">
        <v>0</v>
      </c>
      <c r="G219" s="488">
        <v>10404109.589041129</v>
      </c>
      <c r="H219" s="482">
        <v>104120000000</v>
      </c>
      <c r="I219" s="483">
        <v>26245303308</v>
      </c>
      <c r="J219" s="484">
        <v>178027556022.99997</v>
      </c>
      <c r="M219" s="486"/>
    </row>
    <row r="220" spans="1:13" s="485" customFormat="1">
      <c r="A220" s="477"/>
      <c r="B220" s="478" t="s">
        <v>1532</v>
      </c>
      <c r="C220" s="479" t="s">
        <v>73</v>
      </c>
      <c r="D220" s="480">
        <v>1</v>
      </c>
      <c r="E220" s="480">
        <v>0</v>
      </c>
      <c r="F220" s="481">
        <v>0</v>
      </c>
      <c r="G220" s="488">
        <v>10404109.589041129</v>
      </c>
      <c r="H220" s="482">
        <v>104120000000</v>
      </c>
      <c r="I220" s="483">
        <v>26245303308</v>
      </c>
      <c r="J220" s="484">
        <v>178027556022.99997</v>
      </c>
      <c r="M220" s="486"/>
    </row>
    <row r="221" spans="1:13" s="485" customFormat="1">
      <c r="A221" s="477"/>
      <c r="B221" s="478" t="s">
        <v>1532</v>
      </c>
      <c r="C221" s="479" t="s">
        <v>73</v>
      </c>
      <c r="D221" s="480">
        <v>1</v>
      </c>
      <c r="E221" s="480">
        <v>0</v>
      </c>
      <c r="F221" s="481">
        <v>0</v>
      </c>
      <c r="G221" s="488">
        <v>10404109.589041129</v>
      </c>
      <c r="H221" s="482">
        <v>104120000000</v>
      </c>
      <c r="I221" s="483">
        <v>26245303308</v>
      </c>
      <c r="J221" s="484">
        <v>178027556022.99997</v>
      </c>
      <c r="L221" s="489"/>
      <c r="M221" s="486"/>
    </row>
    <row r="222" spans="1:13" s="485" customFormat="1">
      <c r="A222" s="477"/>
      <c r="B222" s="487" t="s">
        <v>1532</v>
      </c>
      <c r="C222" s="479" t="s">
        <v>73</v>
      </c>
      <c r="D222" s="480">
        <v>1</v>
      </c>
      <c r="E222" s="480">
        <v>0</v>
      </c>
      <c r="F222" s="481">
        <v>0</v>
      </c>
      <c r="G222" s="488">
        <v>10404109.589041129</v>
      </c>
      <c r="H222" s="482">
        <v>104120000000</v>
      </c>
      <c r="I222" s="483">
        <v>26245303308</v>
      </c>
      <c r="J222" s="484">
        <v>178027556022.99997</v>
      </c>
      <c r="L222" s="489"/>
      <c r="M222" s="486"/>
    </row>
    <row r="223" spans="1:13" s="485" customFormat="1">
      <c r="A223" s="477"/>
      <c r="B223" s="487" t="s">
        <v>1532</v>
      </c>
      <c r="C223" s="479" t="s">
        <v>73</v>
      </c>
      <c r="D223" s="480">
        <v>1</v>
      </c>
      <c r="E223" s="480">
        <v>0</v>
      </c>
      <c r="F223" s="481">
        <v>0</v>
      </c>
      <c r="G223" s="488">
        <v>10404109.589041129</v>
      </c>
      <c r="H223" s="482">
        <v>104120000000</v>
      </c>
      <c r="I223" s="483">
        <v>26245303308</v>
      </c>
      <c r="J223" s="484">
        <v>178027556022.99997</v>
      </c>
      <c r="M223" s="486"/>
    </row>
    <row r="224" spans="1:13" s="485" customFormat="1">
      <c r="A224" s="477"/>
      <c r="B224" s="478" t="s">
        <v>1532</v>
      </c>
      <c r="C224" s="479" t="s">
        <v>73</v>
      </c>
      <c r="D224" s="480">
        <v>1</v>
      </c>
      <c r="E224" s="480">
        <v>0</v>
      </c>
      <c r="F224" s="481">
        <v>0</v>
      </c>
      <c r="G224" s="488">
        <v>10404109.589041129</v>
      </c>
      <c r="H224" s="482">
        <v>104120000000</v>
      </c>
      <c r="I224" s="483">
        <v>26245303308</v>
      </c>
      <c r="J224" s="484">
        <v>178027556022.99997</v>
      </c>
      <c r="M224" s="486"/>
    </row>
    <row r="225" spans="1:13" s="485" customFormat="1">
      <c r="A225" s="477"/>
      <c r="B225" s="478" t="s">
        <v>1532</v>
      </c>
      <c r="C225" s="479" t="s">
        <v>73</v>
      </c>
      <c r="D225" s="480">
        <v>1</v>
      </c>
      <c r="E225" s="480">
        <v>0</v>
      </c>
      <c r="F225" s="481">
        <v>0</v>
      </c>
      <c r="G225" s="488">
        <v>10404109.589041129</v>
      </c>
      <c r="H225" s="482">
        <v>104120000000</v>
      </c>
      <c r="I225" s="483">
        <v>26245303308</v>
      </c>
      <c r="J225" s="484">
        <v>178027556022.99997</v>
      </c>
      <c r="M225" s="486"/>
    </row>
    <row r="226" spans="1:13" s="485" customFormat="1">
      <c r="A226" s="477"/>
      <c r="B226" s="487" t="s">
        <v>1532</v>
      </c>
      <c r="C226" s="479" t="s">
        <v>73</v>
      </c>
      <c r="D226" s="480">
        <v>1</v>
      </c>
      <c r="E226" s="480">
        <v>0</v>
      </c>
      <c r="F226" s="481">
        <v>0</v>
      </c>
      <c r="G226" s="490">
        <v>10404109.589041129</v>
      </c>
      <c r="H226" s="482">
        <v>104120000000</v>
      </c>
      <c r="I226" s="483">
        <v>26245303308</v>
      </c>
      <c r="J226" s="484">
        <v>178027556022.99997</v>
      </c>
      <c r="M226" s="486"/>
    </row>
    <row r="227" spans="1:13" s="485" customFormat="1">
      <c r="A227" s="477"/>
      <c r="B227" s="487" t="s">
        <v>1532</v>
      </c>
      <c r="C227" s="479" t="s">
        <v>73</v>
      </c>
      <c r="D227" s="480">
        <v>1</v>
      </c>
      <c r="E227" s="480">
        <v>0</v>
      </c>
      <c r="F227" s="481">
        <v>0</v>
      </c>
      <c r="G227" s="490">
        <v>10404109.589041129</v>
      </c>
      <c r="H227" s="482">
        <v>104120000000</v>
      </c>
      <c r="I227" s="483">
        <v>26245303308</v>
      </c>
      <c r="J227" s="484">
        <v>178027556022.99997</v>
      </c>
      <c r="M227" s="486"/>
    </row>
    <row r="228" spans="1:13" s="485" customFormat="1">
      <c r="A228" s="477"/>
      <c r="B228" s="478" t="s">
        <v>1532</v>
      </c>
      <c r="C228" s="479" t="s">
        <v>73</v>
      </c>
      <c r="D228" s="480">
        <v>1</v>
      </c>
      <c r="E228" s="480">
        <v>0</v>
      </c>
      <c r="F228" s="481">
        <v>0</v>
      </c>
      <c r="G228" s="488">
        <v>10404109.589041129</v>
      </c>
      <c r="H228" s="482">
        <v>104120000000</v>
      </c>
      <c r="I228" s="483">
        <v>26245303308</v>
      </c>
      <c r="J228" s="484">
        <v>178027556022.99997</v>
      </c>
      <c r="M228" s="486"/>
    </row>
    <row r="229" spans="1:13" s="485" customFormat="1">
      <c r="A229" s="477"/>
      <c r="B229" s="478" t="s">
        <v>1532</v>
      </c>
      <c r="C229" s="479" t="s">
        <v>73</v>
      </c>
      <c r="D229" s="480">
        <v>1</v>
      </c>
      <c r="E229" s="480">
        <v>0</v>
      </c>
      <c r="F229" s="481">
        <v>0</v>
      </c>
      <c r="G229" s="488">
        <v>10404109.589041129</v>
      </c>
      <c r="H229" s="482">
        <v>104120000000</v>
      </c>
      <c r="I229" s="483">
        <v>26245303308</v>
      </c>
      <c r="J229" s="484">
        <v>178027556022.99997</v>
      </c>
      <c r="M229" s="486"/>
    </row>
    <row r="230" spans="1:13" s="485" customFormat="1">
      <c r="A230" s="477"/>
      <c r="B230" s="487" t="s">
        <v>1532</v>
      </c>
      <c r="C230" s="479" t="s">
        <v>73</v>
      </c>
      <c r="D230" s="480">
        <v>1</v>
      </c>
      <c r="E230" s="480">
        <v>0</v>
      </c>
      <c r="F230" s="481">
        <v>0</v>
      </c>
      <c r="G230" s="490">
        <v>10404109.589041129</v>
      </c>
      <c r="H230" s="482">
        <v>104120000000</v>
      </c>
      <c r="I230" s="483">
        <v>26245303308</v>
      </c>
      <c r="J230" s="484">
        <v>178027556022.99997</v>
      </c>
      <c r="M230" s="486"/>
    </row>
    <row r="231" spans="1:13" s="485" customFormat="1">
      <c r="A231" s="477"/>
      <c r="B231" s="487" t="s">
        <v>1532</v>
      </c>
      <c r="C231" s="479" t="s">
        <v>73</v>
      </c>
      <c r="D231" s="480">
        <v>1</v>
      </c>
      <c r="E231" s="480">
        <v>0</v>
      </c>
      <c r="F231" s="481">
        <v>0</v>
      </c>
      <c r="G231" s="490">
        <v>10404109.589041129</v>
      </c>
      <c r="H231" s="482">
        <v>104120000000</v>
      </c>
      <c r="I231" s="483">
        <v>26245303308</v>
      </c>
      <c r="J231" s="484">
        <v>178027556022.99997</v>
      </c>
      <c r="M231" s="486"/>
    </row>
    <row r="232" spans="1:13" s="485" customFormat="1">
      <c r="A232" s="477"/>
      <c r="B232" s="487" t="s">
        <v>1532</v>
      </c>
      <c r="C232" s="479" t="s">
        <v>73</v>
      </c>
      <c r="D232" s="480">
        <v>1</v>
      </c>
      <c r="E232" s="480">
        <v>0</v>
      </c>
      <c r="F232" s="481">
        <v>0</v>
      </c>
      <c r="G232" s="488">
        <v>10404109.589041129</v>
      </c>
      <c r="H232" s="482">
        <v>104120000000</v>
      </c>
      <c r="I232" s="483">
        <v>26245303308</v>
      </c>
      <c r="J232" s="484">
        <v>178027556022.99997</v>
      </c>
      <c r="L232" s="489"/>
      <c r="M232" s="486"/>
    </row>
    <row r="233" spans="1:13" s="485" customFormat="1">
      <c r="A233" s="477"/>
      <c r="B233" s="487" t="s">
        <v>1533</v>
      </c>
      <c r="C233" s="479" t="s">
        <v>73</v>
      </c>
      <c r="D233" s="480">
        <v>1</v>
      </c>
      <c r="E233" s="480">
        <v>0</v>
      </c>
      <c r="F233" s="481">
        <v>0</v>
      </c>
      <c r="G233" s="488">
        <v>13337982.191780828</v>
      </c>
      <c r="H233" s="482">
        <v>1687535078916</v>
      </c>
      <c r="I233" s="483">
        <v>263244735265.00003</v>
      </c>
      <c r="J233" s="484">
        <v>2564606123501</v>
      </c>
      <c r="L233" s="489"/>
      <c r="M233" s="486"/>
    </row>
    <row r="234" spans="1:13" s="485" customFormat="1">
      <c r="A234" s="477"/>
      <c r="B234" s="487" t="s">
        <v>1533</v>
      </c>
      <c r="C234" s="479" t="s">
        <v>73</v>
      </c>
      <c r="D234" s="480">
        <v>1</v>
      </c>
      <c r="E234" s="480">
        <v>0</v>
      </c>
      <c r="F234" s="481">
        <v>0</v>
      </c>
      <c r="G234" s="488">
        <v>13337982.191780828</v>
      </c>
      <c r="H234" s="482">
        <v>1687535078916</v>
      </c>
      <c r="I234" s="483">
        <v>263244735265.00003</v>
      </c>
      <c r="J234" s="484">
        <v>2564606123501</v>
      </c>
      <c r="L234" s="489"/>
      <c r="M234" s="486"/>
    </row>
    <row r="235" spans="1:13" s="485" customFormat="1">
      <c r="A235" s="477"/>
      <c r="B235" s="487" t="s">
        <v>1533</v>
      </c>
      <c r="C235" s="479" t="s">
        <v>73</v>
      </c>
      <c r="D235" s="480">
        <v>1</v>
      </c>
      <c r="E235" s="480">
        <v>0</v>
      </c>
      <c r="F235" s="481">
        <v>0</v>
      </c>
      <c r="G235" s="488">
        <v>13337982.191780828</v>
      </c>
      <c r="H235" s="482">
        <v>1687535078916</v>
      </c>
      <c r="I235" s="483">
        <v>263244735265.00003</v>
      </c>
      <c r="J235" s="484">
        <v>2564606123501</v>
      </c>
      <c r="L235" s="489"/>
      <c r="M235" s="486"/>
    </row>
    <row r="236" spans="1:13" s="485" customFormat="1">
      <c r="A236" s="477"/>
      <c r="B236" s="487" t="s">
        <v>1533</v>
      </c>
      <c r="C236" s="479" t="s">
        <v>73</v>
      </c>
      <c r="D236" s="480">
        <v>1</v>
      </c>
      <c r="E236" s="480">
        <v>0</v>
      </c>
      <c r="F236" s="481">
        <v>0</v>
      </c>
      <c r="G236" s="488">
        <v>13337982.191780828</v>
      </c>
      <c r="H236" s="482">
        <v>1687535078916</v>
      </c>
      <c r="I236" s="483">
        <v>263244735265.00003</v>
      </c>
      <c r="J236" s="484">
        <v>2564606123501</v>
      </c>
      <c r="L236" s="489"/>
      <c r="M236" s="486"/>
    </row>
    <row r="237" spans="1:13" s="485" customFormat="1">
      <c r="A237" s="477"/>
      <c r="B237" s="487" t="s">
        <v>1533</v>
      </c>
      <c r="C237" s="479" t="s">
        <v>73</v>
      </c>
      <c r="D237" s="480">
        <v>1</v>
      </c>
      <c r="E237" s="480">
        <v>0</v>
      </c>
      <c r="F237" s="481">
        <v>0</v>
      </c>
      <c r="G237" s="488">
        <v>13337982.191780828</v>
      </c>
      <c r="H237" s="482">
        <v>1687535078916</v>
      </c>
      <c r="I237" s="483">
        <v>263244735265.00003</v>
      </c>
      <c r="J237" s="484">
        <v>2564606123501</v>
      </c>
      <c r="L237" s="489"/>
      <c r="M237" s="486"/>
    </row>
    <row r="238" spans="1:13" s="485" customFormat="1">
      <c r="A238" s="477"/>
      <c r="B238" s="487" t="s">
        <v>1533</v>
      </c>
      <c r="C238" s="479" t="s">
        <v>73</v>
      </c>
      <c r="D238" s="480">
        <v>1</v>
      </c>
      <c r="E238" s="480">
        <v>0</v>
      </c>
      <c r="F238" s="481">
        <v>0</v>
      </c>
      <c r="G238" s="488">
        <v>13337982.191780828</v>
      </c>
      <c r="H238" s="482">
        <v>1687535078916</v>
      </c>
      <c r="I238" s="483">
        <v>263244735265.00003</v>
      </c>
      <c r="J238" s="484">
        <v>2564606123501</v>
      </c>
      <c r="L238" s="489"/>
      <c r="M238" s="486"/>
    </row>
    <row r="239" spans="1:13" s="485" customFormat="1">
      <c r="A239" s="477"/>
      <c r="B239" s="487" t="s">
        <v>1533</v>
      </c>
      <c r="C239" s="479" t="s">
        <v>73</v>
      </c>
      <c r="D239" s="480">
        <v>1</v>
      </c>
      <c r="E239" s="480">
        <v>0</v>
      </c>
      <c r="F239" s="481">
        <v>0</v>
      </c>
      <c r="G239" s="488">
        <v>13337982.191780828</v>
      </c>
      <c r="H239" s="482">
        <v>1687535078916</v>
      </c>
      <c r="I239" s="483">
        <v>263244735265.00003</v>
      </c>
      <c r="J239" s="484">
        <v>2564606123501</v>
      </c>
      <c r="L239" s="489"/>
      <c r="M239" s="486"/>
    </row>
    <row r="240" spans="1:13" s="485" customFormat="1">
      <c r="A240" s="477"/>
      <c r="B240" s="487" t="s">
        <v>1533</v>
      </c>
      <c r="C240" s="479" t="s">
        <v>73</v>
      </c>
      <c r="D240" s="480">
        <v>1</v>
      </c>
      <c r="E240" s="480">
        <v>0</v>
      </c>
      <c r="F240" s="481">
        <v>0</v>
      </c>
      <c r="G240" s="488">
        <v>13337982.191780828</v>
      </c>
      <c r="H240" s="482">
        <v>1687535078916</v>
      </c>
      <c r="I240" s="483">
        <v>263244735265.00003</v>
      </c>
      <c r="J240" s="484">
        <v>2564606123501</v>
      </c>
      <c r="L240" s="489"/>
      <c r="M240" s="486"/>
    </row>
    <row r="241" spans="1:13" s="485" customFormat="1">
      <c r="A241" s="477"/>
      <c r="B241" s="487" t="s">
        <v>1533</v>
      </c>
      <c r="C241" s="479" t="s">
        <v>73</v>
      </c>
      <c r="D241" s="480">
        <v>1</v>
      </c>
      <c r="E241" s="480">
        <v>0</v>
      </c>
      <c r="F241" s="481">
        <v>0</v>
      </c>
      <c r="G241" s="488">
        <v>13337982.191780828</v>
      </c>
      <c r="H241" s="482">
        <v>1687535078916</v>
      </c>
      <c r="I241" s="483">
        <v>263244735265.00003</v>
      </c>
      <c r="J241" s="484">
        <v>2564606123501</v>
      </c>
      <c r="L241" s="489"/>
      <c r="M241" s="486"/>
    </row>
    <row r="242" spans="1:13" s="485" customFormat="1">
      <c r="A242" s="477"/>
      <c r="B242" s="487" t="s">
        <v>1533</v>
      </c>
      <c r="C242" s="479" t="s">
        <v>73</v>
      </c>
      <c r="D242" s="480">
        <v>1</v>
      </c>
      <c r="E242" s="480">
        <v>0</v>
      </c>
      <c r="F242" s="481">
        <v>0</v>
      </c>
      <c r="G242" s="488">
        <v>13337982.191780828</v>
      </c>
      <c r="H242" s="482">
        <v>1687535078916</v>
      </c>
      <c r="I242" s="483">
        <v>263244735265.00003</v>
      </c>
      <c r="J242" s="484">
        <v>2564606123501</v>
      </c>
      <c r="L242" s="489"/>
      <c r="M242" s="486"/>
    </row>
    <row r="243" spans="1:13" s="485" customFormat="1">
      <c r="A243" s="477"/>
      <c r="B243" s="487" t="s">
        <v>1528</v>
      </c>
      <c r="C243" s="479" t="s">
        <v>1001</v>
      </c>
      <c r="D243" s="480">
        <v>252</v>
      </c>
      <c r="E243" s="480">
        <v>0</v>
      </c>
      <c r="F243" s="481">
        <v>0</v>
      </c>
      <c r="G243" s="488">
        <v>10673285.671232935</v>
      </c>
      <c r="H243" s="482">
        <v>442130000000</v>
      </c>
      <c r="I243" s="483">
        <v>117750168620</v>
      </c>
      <c r="J243" s="484">
        <v>870592801864</v>
      </c>
      <c r="L243" s="489"/>
      <c r="M243" s="486"/>
    </row>
    <row r="244" spans="1:13" s="485" customFormat="1">
      <c r="A244" s="477"/>
      <c r="B244" s="487" t="s">
        <v>1529</v>
      </c>
      <c r="C244" s="479" t="s">
        <v>73</v>
      </c>
      <c r="D244" s="480">
        <v>1</v>
      </c>
      <c r="E244" s="480">
        <v>0</v>
      </c>
      <c r="F244" s="481">
        <v>0</v>
      </c>
      <c r="G244" s="488">
        <v>5567225.3368027424</v>
      </c>
      <c r="H244" s="482">
        <v>107040260000</v>
      </c>
      <c r="I244" s="483">
        <v>18093353212</v>
      </c>
      <c r="J244" s="484">
        <v>147787301807</v>
      </c>
      <c r="L244" s="489"/>
      <c r="M244" s="486"/>
    </row>
    <row r="245" spans="1:13" s="485" customFormat="1">
      <c r="A245" s="477"/>
      <c r="B245" s="487" t="s">
        <v>1530</v>
      </c>
      <c r="C245" s="479" t="s">
        <v>73</v>
      </c>
      <c r="D245" s="480">
        <v>1</v>
      </c>
      <c r="E245" s="480">
        <v>0</v>
      </c>
      <c r="F245" s="481">
        <v>0</v>
      </c>
      <c r="G245" s="488">
        <v>4899147.3030904122</v>
      </c>
      <c r="H245" s="482">
        <v>107040260000</v>
      </c>
      <c r="I245" s="483">
        <v>18093353212</v>
      </c>
      <c r="J245" s="484">
        <v>147787301807</v>
      </c>
      <c r="L245" s="489"/>
      <c r="M245" s="486"/>
    </row>
    <row r="246" spans="1:13" s="485" customFormat="1">
      <c r="A246" s="477"/>
      <c r="B246" s="487" t="s">
        <v>1538</v>
      </c>
      <c r="C246" s="479" t="s">
        <v>73</v>
      </c>
      <c r="D246" s="480">
        <v>1</v>
      </c>
      <c r="E246" s="480">
        <v>0</v>
      </c>
      <c r="F246" s="481">
        <v>0</v>
      </c>
      <c r="G246" s="488">
        <v>817532.26931506838</v>
      </c>
      <c r="H246" s="482">
        <v>106665953371</v>
      </c>
      <c r="I246" s="483">
        <v>14576417821</v>
      </c>
      <c r="J246" s="484">
        <v>156941549046</v>
      </c>
      <c r="L246" s="489"/>
      <c r="M246" s="486"/>
    </row>
    <row r="247" spans="1:13" s="485" customFormat="1">
      <c r="A247" s="477"/>
      <c r="B247" s="487" t="s">
        <v>1538</v>
      </c>
      <c r="C247" s="479" t="s">
        <v>73</v>
      </c>
      <c r="D247" s="480">
        <v>1</v>
      </c>
      <c r="E247" s="480">
        <v>0</v>
      </c>
      <c r="F247" s="481">
        <v>0</v>
      </c>
      <c r="G247" s="488">
        <v>817532.26931506838</v>
      </c>
      <c r="H247" s="482">
        <v>106665953371</v>
      </c>
      <c r="I247" s="483">
        <v>14576417821</v>
      </c>
      <c r="J247" s="484">
        <v>156941549046</v>
      </c>
      <c r="L247" s="489"/>
      <c r="M247" s="486"/>
    </row>
    <row r="248" spans="1:13" s="485" customFormat="1">
      <c r="A248" s="477"/>
      <c r="B248" s="487" t="s">
        <v>1538</v>
      </c>
      <c r="C248" s="479" t="s">
        <v>73</v>
      </c>
      <c r="D248" s="480">
        <v>1</v>
      </c>
      <c r="E248" s="480">
        <v>0</v>
      </c>
      <c r="F248" s="481">
        <v>0</v>
      </c>
      <c r="G248" s="488">
        <v>817532.26931506838</v>
      </c>
      <c r="H248" s="482">
        <v>106665953371</v>
      </c>
      <c r="I248" s="483">
        <v>14576417821</v>
      </c>
      <c r="J248" s="484">
        <v>156941549046</v>
      </c>
      <c r="L248" s="489"/>
      <c r="M248" s="486"/>
    </row>
    <row r="249" spans="1:13" s="485" customFormat="1">
      <c r="A249" s="477"/>
      <c r="B249" s="487" t="s">
        <v>1538</v>
      </c>
      <c r="C249" s="479" t="s">
        <v>73</v>
      </c>
      <c r="D249" s="480">
        <v>1</v>
      </c>
      <c r="E249" s="480">
        <v>0</v>
      </c>
      <c r="F249" s="481">
        <v>0</v>
      </c>
      <c r="G249" s="488">
        <v>817532.26931506838</v>
      </c>
      <c r="H249" s="482">
        <v>106665953371</v>
      </c>
      <c r="I249" s="483">
        <v>14576417821</v>
      </c>
      <c r="J249" s="484">
        <v>156941549046</v>
      </c>
      <c r="L249" s="489"/>
      <c r="M249" s="486"/>
    </row>
    <row r="250" spans="1:13" s="485" customFormat="1">
      <c r="A250" s="477"/>
      <c r="B250" s="487" t="s">
        <v>1538</v>
      </c>
      <c r="C250" s="479" t="s">
        <v>73</v>
      </c>
      <c r="D250" s="480">
        <v>1</v>
      </c>
      <c r="E250" s="480">
        <v>0</v>
      </c>
      <c r="F250" s="481">
        <v>0</v>
      </c>
      <c r="G250" s="488">
        <v>817532.26931506838</v>
      </c>
      <c r="H250" s="482">
        <v>106665953371</v>
      </c>
      <c r="I250" s="483">
        <v>14576417821</v>
      </c>
      <c r="J250" s="484">
        <v>156941549046</v>
      </c>
      <c r="L250" s="489"/>
      <c r="M250" s="486"/>
    </row>
    <row r="251" spans="1:13" s="485" customFormat="1">
      <c r="A251" s="477"/>
      <c r="B251" s="487" t="s">
        <v>1538</v>
      </c>
      <c r="C251" s="479" t="s">
        <v>73</v>
      </c>
      <c r="D251" s="480">
        <v>1</v>
      </c>
      <c r="E251" s="480">
        <v>0</v>
      </c>
      <c r="F251" s="481">
        <v>0</v>
      </c>
      <c r="G251" s="488">
        <v>817532.26931506838</v>
      </c>
      <c r="H251" s="482">
        <v>106665953371</v>
      </c>
      <c r="I251" s="483">
        <v>14576417821</v>
      </c>
      <c r="J251" s="484">
        <v>156941549046</v>
      </c>
      <c r="L251" s="489"/>
      <c r="M251" s="486"/>
    </row>
    <row r="252" spans="1:13" s="485" customFormat="1">
      <c r="A252" s="477"/>
      <c r="B252" s="487" t="s">
        <v>1538</v>
      </c>
      <c r="C252" s="479" t="s">
        <v>73</v>
      </c>
      <c r="D252" s="480">
        <v>1</v>
      </c>
      <c r="E252" s="480">
        <v>0</v>
      </c>
      <c r="F252" s="481">
        <v>0</v>
      </c>
      <c r="G252" s="488">
        <v>817532.26931506838</v>
      </c>
      <c r="H252" s="482">
        <v>106665953371</v>
      </c>
      <c r="I252" s="483">
        <v>14576417821</v>
      </c>
      <c r="J252" s="484">
        <v>156941549046</v>
      </c>
      <c r="L252" s="489"/>
      <c r="M252" s="486"/>
    </row>
    <row r="253" spans="1:13" s="485" customFormat="1">
      <c r="A253" s="477"/>
      <c r="B253" s="487" t="s">
        <v>1538</v>
      </c>
      <c r="C253" s="479" t="s">
        <v>73</v>
      </c>
      <c r="D253" s="480">
        <v>1</v>
      </c>
      <c r="E253" s="480">
        <v>0</v>
      </c>
      <c r="F253" s="481">
        <v>0</v>
      </c>
      <c r="G253" s="488">
        <v>817532.26931506838</v>
      </c>
      <c r="H253" s="482">
        <v>106665953371</v>
      </c>
      <c r="I253" s="483">
        <v>14576417821</v>
      </c>
      <c r="J253" s="484">
        <v>156941549046</v>
      </c>
      <c r="L253" s="489"/>
      <c r="M253" s="486"/>
    </row>
    <row r="254" spans="1:13" s="485" customFormat="1">
      <c r="A254" s="477"/>
      <c r="B254" s="487" t="s">
        <v>1538</v>
      </c>
      <c r="C254" s="479" t="s">
        <v>73</v>
      </c>
      <c r="D254" s="480">
        <v>1</v>
      </c>
      <c r="E254" s="480">
        <v>0</v>
      </c>
      <c r="F254" s="481">
        <v>0</v>
      </c>
      <c r="G254" s="488">
        <v>817532.26931506838</v>
      </c>
      <c r="H254" s="482">
        <v>106665953371</v>
      </c>
      <c r="I254" s="483">
        <v>14576417821</v>
      </c>
      <c r="J254" s="484">
        <v>156941549046</v>
      </c>
      <c r="L254" s="489"/>
      <c r="M254" s="486"/>
    </row>
    <row r="255" spans="1:13" s="485" customFormat="1">
      <c r="A255" s="477"/>
      <c r="B255" s="487" t="s">
        <v>1538</v>
      </c>
      <c r="C255" s="479" t="s">
        <v>73</v>
      </c>
      <c r="D255" s="480">
        <v>1</v>
      </c>
      <c r="E255" s="480">
        <v>0</v>
      </c>
      <c r="F255" s="481">
        <v>0</v>
      </c>
      <c r="G255" s="488">
        <v>817532.26931506838</v>
      </c>
      <c r="H255" s="482">
        <v>106665953371</v>
      </c>
      <c r="I255" s="483">
        <v>14576417821</v>
      </c>
      <c r="J255" s="484">
        <v>156941549046</v>
      </c>
      <c r="L255" s="489"/>
      <c r="M255" s="486"/>
    </row>
    <row r="256" spans="1:13" s="485" customFormat="1">
      <c r="A256" s="477"/>
      <c r="B256" s="487" t="s">
        <v>1538</v>
      </c>
      <c r="C256" s="479" t="s">
        <v>73</v>
      </c>
      <c r="D256" s="480">
        <v>1</v>
      </c>
      <c r="E256" s="480">
        <v>0</v>
      </c>
      <c r="F256" s="481">
        <v>0</v>
      </c>
      <c r="G256" s="488">
        <v>1226298.4039726034</v>
      </c>
      <c r="H256" s="482">
        <v>106665953371</v>
      </c>
      <c r="I256" s="483">
        <v>14576417821</v>
      </c>
      <c r="J256" s="484">
        <v>156941549046</v>
      </c>
      <c r="L256" s="489"/>
      <c r="M256" s="486"/>
    </row>
    <row r="257" spans="1:13" s="485" customFormat="1">
      <c r="A257" s="477"/>
      <c r="B257" s="487" t="s">
        <v>1538</v>
      </c>
      <c r="C257" s="479" t="s">
        <v>73</v>
      </c>
      <c r="D257" s="480">
        <v>1</v>
      </c>
      <c r="E257" s="480">
        <v>0</v>
      </c>
      <c r="F257" s="481">
        <v>0</v>
      </c>
      <c r="G257" s="488">
        <v>1226298.4039726034</v>
      </c>
      <c r="H257" s="482">
        <v>106665953371</v>
      </c>
      <c r="I257" s="483">
        <v>14576417821</v>
      </c>
      <c r="J257" s="484">
        <v>156941549046</v>
      </c>
      <c r="L257" s="489"/>
      <c r="M257" s="486"/>
    </row>
    <row r="258" spans="1:13" s="485" customFormat="1">
      <c r="A258" s="477"/>
      <c r="B258" s="487" t="s">
        <v>1538</v>
      </c>
      <c r="C258" s="479" t="s">
        <v>73</v>
      </c>
      <c r="D258" s="480">
        <v>1</v>
      </c>
      <c r="E258" s="480">
        <v>0</v>
      </c>
      <c r="F258" s="481">
        <v>0</v>
      </c>
      <c r="G258" s="488">
        <v>1226298.4039726034</v>
      </c>
      <c r="H258" s="482">
        <v>106665953371</v>
      </c>
      <c r="I258" s="483">
        <v>14576417821</v>
      </c>
      <c r="J258" s="484">
        <v>156941549046</v>
      </c>
      <c r="L258" s="489"/>
      <c r="M258" s="486"/>
    </row>
    <row r="259" spans="1:13" s="485" customFormat="1">
      <c r="A259" s="477"/>
      <c r="B259" s="487" t="s">
        <v>1538</v>
      </c>
      <c r="C259" s="479" t="s">
        <v>73</v>
      </c>
      <c r="D259" s="480">
        <v>1</v>
      </c>
      <c r="E259" s="480">
        <v>0</v>
      </c>
      <c r="F259" s="481">
        <v>0</v>
      </c>
      <c r="G259" s="488">
        <v>1226298.4039726034</v>
      </c>
      <c r="H259" s="482">
        <v>106665953371</v>
      </c>
      <c r="I259" s="483">
        <v>14576417821</v>
      </c>
      <c r="J259" s="484">
        <v>156941549046</v>
      </c>
      <c r="L259" s="489"/>
      <c r="M259" s="486"/>
    </row>
    <row r="260" spans="1:13" s="485" customFormat="1">
      <c r="A260" s="477"/>
      <c r="B260" s="487" t="s">
        <v>1538</v>
      </c>
      <c r="C260" s="479" t="s">
        <v>73</v>
      </c>
      <c r="D260" s="480">
        <v>1</v>
      </c>
      <c r="E260" s="480">
        <v>0</v>
      </c>
      <c r="F260" s="481">
        <v>0</v>
      </c>
      <c r="G260" s="488">
        <v>1226298.4039726034</v>
      </c>
      <c r="H260" s="482">
        <v>106665953371</v>
      </c>
      <c r="I260" s="483">
        <v>14576417821</v>
      </c>
      <c r="J260" s="484">
        <v>156941549046</v>
      </c>
      <c r="L260" s="489"/>
      <c r="M260" s="486"/>
    </row>
    <row r="261" spans="1:13" s="485" customFormat="1">
      <c r="A261" s="477"/>
      <c r="B261" s="487" t="s">
        <v>1538</v>
      </c>
      <c r="C261" s="479" t="s">
        <v>73</v>
      </c>
      <c r="D261" s="480">
        <v>1</v>
      </c>
      <c r="E261" s="480">
        <v>0</v>
      </c>
      <c r="F261" s="481">
        <v>0</v>
      </c>
      <c r="G261" s="488">
        <v>2043830.6732876718</v>
      </c>
      <c r="H261" s="482">
        <v>106665953371</v>
      </c>
      <c r="I261" s="483">
        <v>14576417821</v>
      </c>
      <c r="J261" s="484">
        <v>156941549046</v>
      </c>
      <c r="L261" s="489"/>
      <c r="M261" s="486"/>
    </row>
    <row r="262" spans="1:13" s="485" customFormat="1">
      <c r="A262" s="477"/>
      <c r="B262" s="487" t="s">
        <v>1538</v>
      </c>
      <c r="C262" s="479" t="s">
        <v>73</v>
      </c>
      <c r="D262" s="480">
        <v>1</v>
      </c>
      <c r="E262" s="480">
        <v>0</v>
      </c>
      <c r="F262" s="481">
        <v>0</v>
      </c>
      <c r="G262" s="488">
        <v>2043830.6732876718</v>
      </c>
      <c r="H262" s="482">
        <v>106665953371</v>
      </c>
      <c r="I262" s="483">
        <v>14576417821</v>
      </c>
      <c r="J262" s="484">
        <v>156941549046</v>
      </c>
      <c r="L262" s="489"/>
      <c r="M262" s="486"/>
    </row>
    <row r="263" spans="1:13" s="485" customFormat="1">
      <c r="A263" s="477"/>
      <c r="B263" s="487" t="s">
        <v>1538</v>
      </c>
      <c r="C263" s="479" t="s">
        <v>73</v>
      </c>
      <c r="D263" s="480">
        <v>1</v>
      </c>
      <c r="E263" s="480">
        <v>0</v>
      </c>
      <c r="F263" s="481">
        <v>0</v>
      </c>
      <c r="G263" s="488">
        <v>2043830.6732876718</v>
      </c>
      <c r="H263" s="482">
        <v>106665953371</v>
      </c>
      <c r="I263" s="483">
        <v>14576417821</v>
      </c>
      <c r="J263" s="484">
        <v>156941549046</v>
      </c>
      <c r="L263" s="489"/>
      <c r="M263" s="486"/>
    </row>
    <row r="264" spans="1:13" s="485" customFormat="1">
      <c r="A264" s="477"/>
      <c r="B264" s="487" t="s">
        <v>1538</v>
      </c>
      <c r="C264" s="479" t="s">
        <v>73</v>
      </c>
      <c r="D264" s="480">
        <v>1</v>
      </c>
      <c r="E264" s="480">
        <v>0</v>
      </c>
      <c r="F264" s="481">
        <v>0</v>
      </c>
      <c r="G264" s="488">
        <v>2043830.6732876718</v>
      </c>
      <c r="H264" s="482">
        <v>106665953371</v>
      </c>
      <c r="I264" s="483">
        <v>14576417821</v>
      </c>
      <c r="J264" s="484">
        <v>156941549046</v>
      </c>
      <c r="L264" s="489"/>
      <c r="M264" s="486"/>
    </row>
    <row r="265" spans="1:13" s="485" customFormat="1">
      <c r="A265" s="477"/>
      <c r="B265" s="487" t="s">
        <v>1538</v>
      </c>
      <c r="C265" s="479" t="s">
        <v>73</v>
      </c>
      <c r="D265" s="480">
        <v>1</v>
      </c>
      <c r="E265" s="480">
        <v>0</v>
      </c>
      <c r="F265" s="481">
        <v>0</v>
      </c>
      <c r="G265" s="488">
        <v>2043830.6732876718</v>
      </c>
      <c r="H265" s="482">
        <v>106665953371</v>
      </c>
      <c r="I265" s="483">
        <v>14576417821</v>
      </c>
      <c r="J265" s="484">
        <v>156941549046</v>
      </c>
      <c r="L265" s="489"/>
      <c r="M265" s="486"/>
    </row>
    <row r="266" spans="1:13" s="485" customFormat="1">
      <c r="A266" s="477"/>
      <c r="B266" s="487" t="s">
        <v>1538</v>
      </c>
      <c r="C266" s="479" t="s">
        <v>73</v>
      </c>
      <c r="D266" s="480">
        <v>1</v>
      </c>
      <c r="E266" s="480">
        <v>0</v>
      </c>
      <c r="F266" s="481">
        <v>0</v>
      </c>
      <c r="G266" s="488">
        <v>358851.11181780789</v>
      </c>
      <c r="H266" s="482">
        <v>106665953371</v>
      </c>
      <c r="I266" s="483">
        <v>14576417821</v>
      </c>
      <c r="J266" s="484">
        <v>156941549046</v>
      </c>
      <c r="L266" s="489"/>
      <c r="M266" s="486"/>
    </row>
    <row r="267" spans="1:13" s="485" customFormat="1">
      <c r="A267" s="477"/>
      <c r="B267" s="487" t="s">
        <v>1538</v>
      </c>
      <c r="C267" s="479" t="s">
        <v>73</v>
      </c>
      <c r="D267" s="480">
        <v>1</v>
      </c>
      <c r="E267" s="480">
        <v>0</v>
      </c>
      <c r="F267" s="481">
        <v>0</v>
      </c>
      <c r="G267" s="488">
        <v>358851.11181780789</v>
      </c>
      <c r="H267" s="482">
        <v>106665953371</v>
      </c>
      <c r="I267" s="483">
        <v>14576417821</v>
      </c>
      <c r="J267" s="484">
        <v>156941549046</v>
      </c>
      <c r="L267" s="489"/>
      <c r="M267" s="486"/>
    </row>
    <row r="268" spans="1:13" s="485" customFormat="1">
      <c r="A268" s="477"/>
      <c r="B268" s="487" t="s">
        <v>1538</v>
      </c>
      <c r="C268" s="479" t="s">
        <v>73</v>
      </c>
      <c r="D268" s="480">
        <v>1</v>
      </c>
      <c r="E268" s="480">
        <v>0</v>
      </c>
      <c r="F268" s="481">
        <v>0</v>
      </c>
      <c r="G268" s="488">
        <v>358851.11181780789</v>
      </c>
      <c r="H268" s="482">
        <v>106665953371</v>
      </c>
      <c r="I268" s="483">
        <v>14576417821</v>
      </c>
      <c r="J268" s="484">
        <v>156941549046</v>
      </c>
      <c r="L268" s="489"/>
      <c r="M268" s="486"/>
    </row>
    <row r="269" spans="1:13" s="485" customFormat="1">
      <c r="A269" s="477"/>
      <c r="B269" s="487" t="s">
        <v>1538</v>
      </c>
      <c r="C269" s="479" t="s">
        <v>73</v>
      </c>
      <c r="D269" s="480">
        <v>1</v>
      </c>
      <c r="E269" s="480">
        <v>0</v>
      </c>
      <c r="F269" s="481">
        <v>0</v>
      </c>
      <c r="G269" s="488">
        <v>358851.11181780789</v>
      </c>
      <c r="H269" s="482">
        <v>106665953371</v>
      </c>
      <c r="I269" s="483">
        <v>14576417821</v>
      </c>
      <c r="J269" s="484">
        <v>156941549046</v>
      </c>
      <c r="L269" s="489"/>
      <c r="M269" s="486"/>
    </row>
    <row r="270" spans="1:13" s="485" customFormat="1">
      <c r="A270" s="477"/>
      <c r="B270" s="487" t="s">
        <v>1538</v>
      </c>
      <c r="C270" s="479" t="s">
        <v>73</v>
      </c>
      <c r="D270" s="480">
        <v>1</v>
      </c>
      <c r="E270" s="480">
        <v>0</v>
      </c>
      <c r="F270" s="481">
        <v>0</v>
      </c>
      <c r="G270" s="488">
        <v>358851.11181780789</v>
      </c>
      <c r="H270" s="482">
        <v>106665953371</v>
      </c>
      <c r="I270" s="483">
        <v>14576417821</v>
      </c>
      <c r="J270" s="484">
        <v>156941549046</v>
      </c>
      <c r="L270" s="489"/>
      <c r="M270" s="486"/>
    </row>
    <row r="271" spans="1:13" s="485" customFormat="1">
      <c r="A271" s="477"/>
      <c r="B271" s="487" t="s">
        <v>1538</v>
      </c>
      <c r="C271" s="479" t="s">
        <v>73</v>
      </c>
      <c r="D271" s="480">
        <v>1</v>
      </c>
      <c r="E271" s="480">
        <v>0</v>
      </c>
      <c r="F271" s="481">
        <v>0</v>
      </c>
      <c r="G271" s="488">
        <v>358851.11181780789</v>
      </c>
      <c r="H271" s="482">
        <v>106665953371</v>
      </c>
      <c r="I271" s="483">
        <v>14576417821</v>
      </c>
      <c r="J271" s="484">
        <v>156941549046</v>
      </c>
      <c r="L271" s="489"/>
      <c r="M271" s="486"/>
    </row>
    <row r="272" spans="1:13" s="485" customFormat="1">
      <c r="A272" s="477"/>
      <c r="B272" s="487" t="s">
        <v>1538</v>
      </c>
      <c r="C272" s="479" t="s">
        <v>73</v>
      </c>
      <c r="D272" s="480">
        <v>1</v>
      </c>
      <c r="E272" s="480">
        <v>0</v>
      </c>
      <c r="F272" s="481">
        <v>0</v>
      </c>
      <c r="G272" s="488">
        <v>358851.11181780789</v>
      </c>
      <c r="H272" s="482">
        <v>106665953371</v>
      </c>
      <c r="I272" s="483">
        <v>14576417821</v>
      </c>
      <c r="J272" s="484">
        <v>156941549046</v>
      </c>
      <c r="L272" s="489"/>
      <c r="M272" s="486"/>
    </row>
    <row r="273" spans="1:13" s="485" customFormat="1">
      <c r="A273" s="477"/>
      <c r="B273" s="487" t="s">
        <v>1538</v>
      </c>
      <c r="C273" s="479" t="s">
        <v>73</v>
      </c>
      <c r="D273" s="480">
        <v>1</v>
      </c>
      <c r="E273" s="480">
        <v>0</v>
      </c>
      <c r="F273" s="481">
        <v>0</v>
      </c>
      <c r="G273" s="488">
        <v>358851.11181780789</v>
      </c>
      <c r="H273" s="482">
        <v>106665953371</v>
      </c>
      <c r="I273" s="483">
        <v>14576417821</v>
      </c>
      <c r="J273" s="484">
        <v>156941549046</v>
      </c>
      <c r="L273" s="489"/>
      <c r="M273" s="486"/>
    </row>
    <row r="274" spans="1:13" s="485" customFormat="1">
      <c r="A274" s="477"/>
      <c r="B274" s="487" t="s">
        <v>1538</v>
      </c>
      <c r="C274" s="479" t="s">
        <v>73</v>
      </c>
      <c r="D274" s="480">
        <v>1</v>
      </c>
      <c r="E274" s="480">
        <v>0</v>
      </c>
      <c r="F274" s="481">
        <v>0</v>
      </c>
      <c r="G274" s="488">
        <v>358851.11181780789</v>
      </c>
      <c r="H274" s="482">
        <v>106665953371</v>
      </c>
      <c r="I274" s="483">
        <v>14576417821</v>
      </c>
      <c r="J274" s="484">
        <v>156941549046</v>
      </c>
      <c r="L274" s="489"/>
      <c r="M274" s="486"/>
    </row>
    <row r="275" spans="1:13" s="485" customFormat="1">
      <c r="A275" s="477"/>
      <c r="B275" s="487" t="s">
        <v>1538</v>
      </c>
      <c r="C275" s="479" t="s">
        <v>73</v>
      </c>
      <c r="D275" s="480">
        <v>1</v>
      </c>
      <c r="E275" s="480">
        <v>0</v>
      </c>
      <c r="F275" s="481">
        <v>0</v>
      </c>
      <c r="G275" s="488">
        <v>358851.11181780789</v>
      </c>
      <c r="H275" s="482">
        <v>106665953371</v>
      </c>
      <c r="I275" s="483">
        <v>14576417821</v>
      </c>
      <c r="J275" s="484">
        <v>156941549046</v>
      </c>
      <c r="L275" s="489"/>
      <c r="M275" s="486"/>
    </row>
    <row r="276" spans="1:13" s="485" customFormat="1">
      <c r="A276" s="477"/>
      <c r="B276" s="487" t="s">
        <v>1531</v>
      </c>
      <c r="C276" s="479" t="s">
        <v>73</v>
      </c>
      <c r="D276" s="480">
        <v>1</v>
      </c>
      <c r="E276" s="480">
        <v>0</v>
      </c>
      <c r="F276" s="481">
        <v>0</v>
      </c>
      <c r="G276" s="488">
        <v>1796053767.71328</v>
      </c>
      <c r="H276" s="498">
        <v>1081242860000</v>
      </c>
      <c r="I276" s="499">
        <v>4278038995</v>
      </c>
      <c r="J276" s="500">
        <v>1563540791181</v>
      </c>
      <c r="L276" s="489"/>
      <c r="M276" s="486"/>
    </row>
    <row r="277" spans="1:13" s="896" customFormat="1" ht="15" customHeight="1">
      <c r="B277" s="492" t="s">
        <v>1274</v>
      </c>
      <c r="C277" s="493"/>
      <c r="D277" s="494"/>
      <c r="E277" s="493"/>
      <c r="F277" s="493"/>
      <c r="G277" s="493"/>
      <c r="H277" s="495"/>
      <c r="I277" s="494"/>
      <c r="J277" s="496"/>
      <c r="M277" s="897"/>
    </row>
    <row r="278" spans="1:13" s="896" customFormat="1" ht="15" customHeight="1">
      <c r="B278" s="899" t="s">
        <v>1535</v>
      </c>
      <c r="C278" s="900" t="s">
        <v>574</v>
      </c>
      <c r="D278" s="480">
        <v>15000</v>
      </c>
      <c r="E278" s="480">
        <v>0</v>
      </c>
      <c r="F278" s="481">
        <v>0</v>
      </c>
      <c r="G278" s="480">
        <v>15000000000</v>
      </c>
      <c r="H278" s="482">
        <v>1133000000000</v>
      </c>
      <c r="I278" s="483">
        <v>708065487926</v>
      </c>
      <c r="J278" s="484">
        <v>3651857366298.0005</v>
      </c>
      <c r="M278" s="897"/>
    </row>
    <row r="279" spans="1:13" s="896" customFormat="1" ht="15" customHeight="1">
      <c r="B279" s="899" t="s">
        <v>1524</v>
      </c>
      <c r="C279" s="900" t="s">
        <v>775</v>
      </c>
      <c r="D279" s="480">
        <v>7750</v>
      </c>
      <c r="E279" s="480">
        <v>0</v>
      </c>
      <c r="F279" s="481">
        <v>0</v>
      </c>
      <c r="G279" s="480">
        <v>7750000000</v>
      </c>
      <c r="H279" s="482">
        <v>327245000000</v>
      </c>
      <c r="I279" s="483">
        <v>-673000000</v>
      </c>
      <c r="J279" s="484">
        <v>510420000000</v>
      </c>
      <c r="M279" s="897"/>
    </row>
    <row r="280" spans="1:13" s="896" customFormat="1" ht="15" customHeight="1">
      <c r="B280" s="899" t="s">
        <v>1524</v>
      </c>
      <c r="C280" s="900" t="s">
        <v>775</v>
      </c>
      <c r="D280" s="480">
        <v>6250</v>
      </c>
      <c r="E280" s="480">
        <v>0</v>
      </c>
      <c r="F280" s="481">
        <v>0</v>
      </c>
      <c r="G280" s="480">
        <v>6250000000</v>
      </c>
      <c r="H280" s="482">
        <v>327245000000</v>
      </c>
      <c r="I280" s="483">
        <v>-673000000</v>
      </c>
      <c r="J280" s="484">
        <v>510420000000</v>
      </c>
      <c r="K280" s="898"/>
      <c r="M280" s="897"/>
    </row>
    <row r="281" spans="1:13" s="896" customFormat="1" ht="15" customHeight="1">
      <c r="B281" s="899" t="s">
        <v>1534</v>
      </c>
      <c r="C281" s="900" t="s">
        <v>775</v>
      </c>
      <c r="D281" s="480">
        <v>2771</v>
      </c>
      <c r="E281" s="480">
        <v>0</v>
      </c>
      <c r="F281" s="481">
        <v>0</v>
      </c>
      <c r="G281" s="480">
        <v>2771000000</v>
      </c>
      <c r="H281" s="482">
        <v>330000000000</v>
      </c>
      <c r="I281" s="483">
        <v>-25655349841</v>
      </c>
      <c r="J281" s="484">
        <v>299171384628</v>
      </c>
      <c r="K281" s="898"/>
      <c r="M281" s="897"/>
    </row>
    <row r="282" spans="1:13" s="896" customFormat="1" ht="15" customHeight="1">
      <c r="B282" s="899" t="s">
        <v>1522</v>
      </c>
      <c r="C282" s="900" t="s">
        <v>775</v>
      </c>
      <c r="D282" s="480">
        <v>7000</v>
      </c>
      <c r="E282" s="480">
        <v>0</v>
      </c>
      <c r="F282" s="481">
        <v>0</v>
      </c>
      <c r="G282" s="480">
        <v>7000000000</v>
      </c>
      <c r="H282" s="482">
        <v>146400000000</v>
      </c>
      <c r="I282" s="483">
        <v>139620000001</v>
      </c>
      <c r="J282" s="484">
        <v>776978000000</v>
      </c>
      <c r="K282" s="898"/>
      <c r="M282" s="897"/>
    </row>
    <row r="283" spans="1:13" s="896" customFormat="1" ht="15" customHeight="1">
      <c r="B283" s="899" t="s">
        <v>1523</v>
      </c>
      <c r="C283" s="900" t="s">
        <v>775</v>
      </c>
      <c r="D283" s="480">
        <v>1500</v>
      </c>
      <c r="E283" s="480">
        <v>0</v>
      </c>
      <c r="F283" s="481">
        <v>0</v>
      </c>
      <c r="G283" s="480">
        <v>1500000000</v>
      </c>
      <c r="H283" s="482">
        <v>40000000000</v>
      </c>
      <c r="I283" s="483">
        <v>-1043105149</v>
      </c>
      <c r="J283" s="484">
        <v>45664993495</v>
      </c>
      <c r="M283" s="897"/>
    </row>
    <row r="284" spans="1:13" s="896" customFormat="1" ht="15" customHeight="1">
      <c r="B284" s="899" t="s">
        <v>1532</v>
      </c>
      <c r="C284" s="900" t="s">
        <v>73</v>
      </c>
      <c r="D284" s="480">
        <v>1</v>
      </c>
      <c r="E284" s="480">
        <v>0</v>
      </c>
      <c r="F284" s="481">
        <v>0</v>
      </c>
      <c r="G284" s="488">
        <v>250000000</v>
      </c>
      <c r="H284" s="482">
        <v>104120000000</v>
      </c>
      <c r="I284" s="483">
        <v>26245303308</v>
      </c>
      <c r="J284" s="484">
        <v>178027556022.99997</v>
      </c>
      <c r="M284" s="897"/>
    </row>
    <row r="285" spans="1:13" s="896" customFormat="1" ht="15" customHeight="1">
      <c r="B285" s="899" t="s">
        <v>1532</v>
      </c>
      <c r="C285" s="900" t="s">
        <v>73</v>
      </c>
      <c r="D285" s="480">
        <v>1</v>
      </c>
      <c r="E285" s="480">
        <v>0</v>
      </c>
      <c r="F285" s="481">
        <v>0</v>
      </c>
      <c r="G285" s="488">
        <v>250000000</v>
      </c>
      <c r="H285" s="482">
        <v>104120000000</v>
      </c>
      <c r="I285" s="483">
        <v>26245303308</v>
      </c>
      <c r="J285" s="484">
        <v>178027556022.99997</v>
      </c>
      <c r="M285" s="897"/>
    </row>
    <row r="286" spans="1:13" s="896" customFormat="1" ht="15" customHeight="1">
      <c r="B286" s="899" t="s">
        <v>1532</v>
      </c>
      <c r="C286" s="900" t="s">
        <v>73</v>
      </c>
      <c r="D286" s="480">
        <v>1</v>
      </c>
      <c r="E286" s="480">
        <v>0</v>
      </c>
      <c r="F286" s="481">
        <v>0</v>
      </c>
      <c r="G286" s="488">
        <v>250000000</v>
      </c>
      <c r="H286" s="482">
        <v>104120000000</v>
      </c>
      <c r="I286" s="483">
        <v>26245303308</v>
      </c>
      <c r="J286" s="484">
        <v>178027556022.99997</v>
      </c>
      <c r="K286" s="898"/>
      <c r="M286" s="897"/>
    </row>
    <row r="287" spans="1:13" s="896" customFormat="1" ht="15" customHeight="1">
      <c r="B287" s="899" t="s">
        <v>1532</v>
      </c>
      <c r="C287" s="900" t="s">
        <v>73</v>
      </c>
      <c r="D287" s="480">
        <v>1</v>
      </c>
      <c r="E287" s="480">
        <v>0</v>
      </c>
      <c r="F287" s="481">
        <v>0</v>
      </c>
      <c r="G287" s="488">
        <v>250000000</v>
      </c>
      <c r="H287" s="482">
        <v>104120000000</v>
      </c>
      <c r="I287" s="483">
        <v>26245303308</v>
      </c>
      <c r="J287" s="484">
        <v>178027556022.99997</v>
      </c>
      <c r="K287" s="898"/>
      <c r="M287" s="897"/>
    </row>
    <row r="288" spans="1:13" s="896" customFormat="1" ht="15" customHeight="1">
      <c r="B288" s="899" t="s">
        <v>1532</v>
      </c>
      <c r="C288" s="900" t="s">
        <v>73</v>
      </c>
      <c r="D288" s="480">
        <v>1</v>
      </c>
      <c r="E288" s="480">
        <v>0</v>
      </c>
      <c r="F288" s="481">
        <v>0</v>
      </c>
      <c r="G288" s="488">
        <v>250000000</v>
      </c>
      <c r="H288" s="482">
        <v>104120000000</v>
      </c>
      <c r="I288" s="483">
        <v>26245303308</v>
      </c>
      <c r="J288" s="484">
        <v>178027556022.99997</v>
      </c>
      <c r="K288" s="898"/>
      <c r="M288" s="897"/>
    </row>
    <row r="289" spans="2:13" s="896" customFormat="1" ht="15" customHeight="1">
      <c r="B289" s="901" t="s">
        <v>1532</v>
      </c>
      <c r="C289" s="900" t="s">
        <v>73</v>
      </c>
      <c r="D289" s="480">
        <v>1</v>
      </c>
      <c r="E289" s="480">
        <v>0</v>
      </c>
      <c r="F289" s="481">
        <v>0</v>
      </c>
      <c r="G289" s="488">
        <v>250000000</v>
      </c>
      <c r="H289" s="482">
        <v>104120000000</v>
      </c>
      <c r="I289" s="483">
        <v>26245303308</v>
      </c>
      <c r="J289" s="484">
        <v>178027556022.99997</v>
      </c>
      <c r="M289" s="897"/>
    </row>
    <row r="290" spans="2:13" s="896" customFormat="1" ht="15" customHeight="1">
      <c r="B290" s="901" t="s">
        <v>1532</v>
      </c>
      <c r="C290" s="900" t="s">
        <v>73</v>
      </c>
      <c r="D290" s="480">
        <v>1</v>
      </c>
      <c r="E290" s="480">
        <v>0</v>
      </c>
      <c r="F290" s="481">
        <v>0</v>
      </c>
      <c r="G290" s="488">
        <v>250000000</v>
      </c>
      <c r="H290" s="482">
        <v>104120000000</v>
      </c>
      <c r="I290" s="483">
        <v>26245303308</v>
      </c>
      <c r="J290" s="484">
        <v>178027556022.99997</v>
      </c>
      <c r="M290" s="897"/>
    </row>
    <row r="291" spans="2:13" s="896" customFormat="1" ht="15" customHeight="1">
      <c r="B291" s="899" t="s">
        <v>1532</v>
      </c>
      <c r="C291" s="900" t="s">
        <v>73</v>
      </c>
      <c r="D291" s="480">
        <v>1</v>
      </c>
      <c r="E291" s="480">
        <v>0</v>
      </c>
      <c r="F291" s="481">
        <v>0</v>
      </c>
      <c r="G291" s="488">
        <v>250000000</v>
      </c>
      <c r="H291" s="482">
        <v>104120000000</v>
      </c>
      <c r="I291" s="483">
        <v>26245303308</v>
      </c>
      <c r="J291" s="484">
        <v>178027556022.99997</v>
      </c>
      <c r="K291" s="898"/>
      <c r="M291" s="897"/>
    </row>
    <row r="292" spans="2:13" s="896" customFormat="1" ht="15" customHeight="1">
      <c r="B292" s="899" t="s">
        <v>1532</v>
      </c>
      <c r="C292" s="900" t="s">
        <v>73</v>
      </c>
      <c r="D292" s="480">
        <v>1</v>
      </c>
      <c r="E292" s="480">
        <v>0</v>
      </c>
      <c r="F292" s="481">
        <v>0</v>
      </c>
      <c r="G292" s="488">
        <v>250000000</v>
      </c>
      <c r="H292" s="482">
        <v>104120000000</v>
      </c>
      <c r="I292" s="483">
        <v>26245303308</v>
      </c>
      <c r="J292" s="484">
        <v>178027556022.99997</v>
      </c>
      <c r="K292" s="898"/>
      <c r="M292" s="897"/>
    </row>
    <row r="293" spans="2:13" s="896" customFormat="1" ht="15" customHeight="1">
      <c r="B293" s="901" t="s">
        <v>1532</v>
      </c>
      <c r="C293" s="900" t="s">
        <v>73</v>
      </c>
      <c r="D293" s="480">
        <v>1</v>
      </c>
      <c r="E293" s="480">
        <v>0</v>
      </c>
      <c r="F293" s="481">
        <v>0</v>
      </c>
      <c r="G293" s="490">
        <v>250000000</v>
      </c>
      <c r="H293" s="482">
        <v>104120000000</v>
      </c>
      <c r="I293" s="483">
        <v>26245303308</v>
      </c>
      <c r="J293" s="484">
        <v>178027556022.99997</v>
      </c>
      <c r="K293" s="898"/>
      <c r="M293" s="897"/>
    </row>
    <row r="294" spans="2:13" s="896" customFormat="1" ht="15" customHeight="1">
      <c r="B294" s="901" t="s">
        <v>1532</v>
      </c>
      <c r="C294" s="900" t="s">
        <v>73</v>
      </c>
      <c r="D294" s="480">
        <v>1</v>
      </c>
      <c r="E294" s="480">
        <v>0</v>
      </c>
      <c r="F294" s="481">
        <v>0</v>
      </c>
      <c r="G294" s="490">
        <v>250000000</v>
      </c>
      <c r="H294" s="482">
        <v>104120000000</v>
      </c>
      <c r="I294" s="483">
        <v>26245303308</v>
      </c>
      <c r="J294" s="484">
        <v>178027556022.99997</v>
      </c>
      <c r="M294" s="897"/>
    </row>
    <row r="295" spans="2:13" s="896" customFormat="1" ht="15" customHeight="1">
      <c r="B295" s="899" t="s">
        <v>1532</v>
      </c>
      <c r="C295" s="900" t="s">
        <v>73</v>
      </c>
      <c r="D295" s="480">
        <v>1</v>
      </c>
      <c r="E295" s="480">
        <v>0</v>
      </c>
      <c r="F295" s="481">
        <v>0</v>
      </c>
      <c r="G295" s="488">
        <v>250000000</v>
      </c>
      <c r="H295" s="482">
        <v>104120000000</v>
      </c>
      <c r="I295" s="483">
        <v>26245303308</v>
      </c>
      <c r="J295" s="484">
        <v>178027556022.99997</v>
      </c>
      <c r="M295" s="897"/>
    </row>
    <row r="296" spans="2:13" s="896" customFormat="1" ht="15" customHeight="1">
      <c r="B296" s="899" t="s">
        <v>1532</v>
      </c>
      <c r="C296" s="900" t="s">
        <v>73</v>
      </c>
      <c r="D296" s="480">
        <v>1</v>
      </c>
      <c r="E296" s="480">
        <v>0</v>
      </c>
      <c r="F296" s="481">
        <v>0</v>
      </c>
      <c r="G296" s="488">
        <v>250000000</v>
      </c>
      <c r="H296" s="482">
        <v>104120000000</v>
      </c>
      <c r="I296" s="483">
        <v>26245303308</v>
      </c>
      <c r="J296" s="484">
        <v>178027556022.99997</v>
      </c>
      <c r="K296" s="898"/>
      <c r="M296" s="897"/>
    </row>
    <row r="297" spans="2:13" s="896" customFormat="1" ht="15" customHeight="1">
      <c r="B297" s="901" t="s">
        <v>1532</v>
      </c>
      <c r="C297" s="900" t="s">
        <v>73</v>
      </c>
      <c r="D297" s="480">
        <v>1</v>
      </c>
      <c r="E297" s="480">
        <v>0</v>
      </c>
      <c r="F297" s="481">
        <v>0</v>
      </c>
      <c r="G297" s="490">
        <v>250000000</v>
      </c>
      <c r="H297" s="482">
        <v>104120000000</v>
      </c>
      <c r="I297" s="483">
        <v>26245303308</v>
      </c>
      <c r="J297" s="484">
        <v>178027556022.99997</v>
      </c>
      <c r="K297" s="898"/>
      <c r="M297" s="897"/>
    </row>
    <row r="298" spans="2:13" s="896" customFormat="1" ht="15" customHeight="1">
      <c r="B298" s="901" t="s">
        <v>1532</v>
      </c>
      <c r="C298" s="900" t="s">
        <v>73</v>
      </c>
      <c r="D298" s="480">
        <v>1</v>
      </c>
      <c r="E298" s="480">
        <v>0</v>
      </c>
      <c r="F298" s="481">
        <v>0</v>
      </c>
      <c r="G298" s="490">
        <v>250000000</v>
      </c>
      <c r="H298" s="482">
        <v>104120000000</v>
      </c>
      <c r="I298" s="483">
        <v>26245303308</v>
      </c>
      <c r="J298" s="484">
        <v>178027556022.99997</v>
      </c>
      <c r="K298" s="898"/>
      <c r="M298" s="897"/>
    </row>
    <row r="299" spans="2:13" s="896" customFormat="1" ht="15" customHeight="1">
      <c r="B299" s="901" t="s">
        <v>1532</v>
      </c>
      <c r="C299" s="900" t="s">
        <v>73</v>
      </c>
      <c r="D299" s="480">
        <v>1</v>
      </c>
      <c r="E299" s="480">
        <v>0</v>
      </c>
      <c r="F299" s="481">
        <v>0</v>
      </c>
      <c r="G299" s="488">
        <v>250000000</v>
      </c>
      <c r="H299" s="482">
        <v>104120000000</v>
      </c>
      <c r="I299" s="483">
        <v>26245303308</v>
      </c>
      <c r="J299" s="484">
        <v>178027556022.99997</v>
      </c>
      <c r="M299" s="897"/>
    </row>
    <row r="300" spans="2:13" s="896" customFormat="1" ht="15" customHeight="1">
      <c r="B300" s="901" t="s">
        <v>1533</v>
      </c>
      <c r="C300" s="900" t="s">
        <v>73</v>
      </c>
      <c r="D300" s="480">
        <v>1</v>
      </c>
      <c r="E300" s="480">
        <v>0</v>
      </c>
      <c r="F300" s="481">
        <v>0</v>
      </c>
      <c r="G300" s="488">
        <v>500500000</v>
      </c>
      <c r="H300" s="482">
        <v>1687535078916</v>
      </c>
      <c r="I300" s="483">
        <v>263244735265.00003</v>
      </c>
      <c r="J300" s="484">
        <v>2564606123501</v>
      </c>
      <c r="M300" s="897"/>
    </row>
    <row r="301" spans="2:13" s="896" customFormat="1" ht="15" customHeight="1">
      <c r="B301" s="901" t="s">
        <v>1533</v>
      </c>
      <c r="C301" s="900" t="s">
        <v>73</v>
      </c>
      <c r="D301" s="480">
        <v>1</v>
      </c>
      <c r="E301" s="480">
        <v>0</v>
      </c>
      <c r="F301" s="481">
        <v>0</v>
      </c>
      <c r="G301" s="488">
        <v>500500000</v>
      </c>
      <c r="H301" s="482">
        <v>1687535078916</v>
      </c>
      <c r="I301" s="483">
        <v>263244735265.00003</v>
      </c>
      <c r="J301" s="484">
        <v>2564606123501</v>
      </c>
      <c r="K301" s="898"/>
      <c r="M301" s="897"/>
    </row>
    <row r="302" spans="2:13" s="896" customFormat="1" ht="15" customHeight="1">
      <c r="B302" s="901" t="s">
        <v>1533</v>
      </c>
      <c r="C302" s="900" t="s">
        <v>73</v>
      </c>
      <c r="D302" s="480">
        <v>1</v>
      </c>
      <c r="E302" s="480">
        <v>0</v>
      </c>
      <c r="F302" s="481">
        <v>0</v>
      </c>
      <c r="G302" s="488">
        <v>500500000</v>
      </c>
      <c r="H302" s="482">
        <v>1687535078916</v>
      </c>
      <c r="I302" s="483">
        <v>263244735265.00003</v>
      </c>
      <c r="J302" s="484">
        <v>2564606123501</v>
      </c>
      <c r="K302" s="898"/>
      <c r="M302" s="897"/>
    </row>
    <row r="303" spans="2:13" s="896" customFormat="1" ht="15" customHeight="1">
      <c r="B303" s="901" t="s">
        <v>1533</v>
      </c>
      <c r="C303" s="900" t="s">
        <v>73</v>
      </c>
      <c r="D303" s="480">
        <v>1</v>
      </c>
      <c r="E303" s="480">
        <v>0</v>
      </c>
      <c r="F303" s="481">
        <v>0</v>
      </c>
      <c r="G303" s="488">
        <v>500500000</v>
      </c>
      <c r="H303" s="482">
        <v>1687535078916</v>
      </c>
      <c r="I303" s="483">
        <v>263244735265.00003</v>
      </c>
      <c r="J303" s="484">
        <v>2564606123501</v>
      </c>
      <c r="K303" s="898"/>
      <c r="M303" s="897"/>
    </row>
    <row r="304" spans="2:13" s="896" customFormat="1" ht="15" customHeight="1">
      <c r="B304" s="901" t="s">
        <v>1533</v>
      </c>
      <c r="C304" s="900" t="s">
        <v>73</v>
      </c>
      <c r="D304" s="480">
        <v>1</v>
      </c>
      <c r="E304" s="480">
        <v>0</v>
      </c>
      <c r="F304" s="481">
        <v>0</v>
      </c>
      <c r="G304" s="488">
        <v>500500000</v>
      </c>
      <c r="H304" s="482">
        <v>1687535078916</v>
      </c>
      <c r="I304" s="483">
        <v>263244735265.00003</v>
      </c>
      <c r="J304" s="484">
        <v>2564606123501</v>
      </c>
      <c r="M304" s="897"/>
    </row>
    <row r="305" spans="2:13" s="896" customFormat="1" ht="15" customHeight="1">
      <c r="B305" s="901" t="s">
        <v>1533</v>
      </c>
      <c r="C305" s="900" t="s">
        <v>73</v>
      </c>
      <c r="D305" s="480">
        <v>1</v>
      </c>
      <c r="E305" s="480">
        <v>0</v>
      </c>
      <c r="F305" s="481">
        <v>0</v>
      </c>
      <c r="G305" s="488">
        <v>500500000</v>
      </c>
      <c r="H305" s="482">
        <v>1687535078916</v>
      </c>
      <c r="I305" s="483">
        <v>263244735265.00003</v>
      </c>
      <c r="J305" s="484">
        <v>2564606123501</v>
      </c>
      <c r="M305" s="897"/>
    </row>
    <row r="306" spans="2:13" s="896" customFormat="1" ht="15" customHeight="1">
      <c r="B306" s="901" t="s">
        <v>1533</v>
      </c>
      <c r="C306" s="900" t="s">
        <v>73</v>
      </c>
      <c r="D306" s="480">
        <v>1</v>
      </c>
      <c r="E306" s="480">
        <v>0</v>
      </c>
      <c r="F306" s="481">
        <v>0</v>
      </c>
      <c r="G306" s="488">
        <v>500500000</v>
      </c>
      <c r="H306" s="482">
        <v>1687535078916</v>
      </c>
      <c r="I306" s="483">
        <v>263244735265.00003</v>
      </c>
      <c r="J306" s="484">
        <v>2564606123501</v>
      </c>
      <c r="K306" s="898"/>
      <c r="M306" s="897"/>
    </row>
    <row r="307" spans="2:13" s="896" customFormat="1" ht="15" customHeight="1">
      <c r="B307" s="901" t="s">
        <v>1533</v>
      </c>
      <c r="C307" s="900" t="s">
        <v>73</v>
      </c>
      <c r="D307" s="480">
        <v>1</v>
      </c>
      <c r="E307" s="480">
        <v>0</v>
      </c>
      <c r="F307" s="481">
        <v>0</v>
      </c>
      <c r="G307" s="488">
        <v>500500000</v>
      </c>
      <c r="H307" s="482">
        <v>1687535078916</v>
      </c>
      <c r="I307" s="483">
        <v>263244735265.00003</v>
      </c>
      <c r="J307" s="484">
        <v>2564606123501</v>
      </c>
      <c r="K307" s="898"/>
      <c r="M307" s="897"/>
    </row>
    <row r="308" spans="2:13" s="896" customFormat="1" ht="15" customHeight="1">
      <c r="B308" s="901" t="s">
        <v>1533</v>
      </c>
      <c r="C308" s="900" t="s">
        <v>73</v>
      </c>
      <c r="D308" s="480">
        <v>1</v>
      </c>
      <c r="E308" s="480">
        <v>0</v>
      </c>
      <c r="F308" s="481">
        <v>0</v>
      </c>
      <c r="G308" s="488">
        <v>500500000</v>
      </c>
      <c r="H308" s="482">
        <v>1687535078916</v>
      </c>
      <c r="I308" s="483">
        <v>263244735265.00003</v>
      </c>
      <c r="J308" s="484">
        <v>2564606123501</v>
      </c>
      <c r="K308" s="898"/>
      <c r="M308" s="897"/>
    </row>
    <row r="309" spans="2:13" s="896" customFormat="1" ht="15" customHeight="1">
      <c r="B309" s="901" t="s">
        <v>1533</v>
      </c>
      <c r="C309" s="900" t="s">
        <v>73</v>
      </c>
      <c r="D309" s="480">
        <v>1</v>
      </c>
      <c r="E309" s="480">
        <v>0</v>
      </c>
      <c r="F309" s="481">
        <v>0</v>
      </c>
      <c r="G309" s="488">
        <v>500500000</v>
      </c>
      <c r="H309" s="482">
        <v>1687535078916</v>
      </c>
      <c r="I309" s="483">
        <v>263244735265.00003</v>
      </c>
      <c r="J309" s="484">
        <v>2564606123501</v>
      </c>
      <c r="M309" s="897"/>
    </row>
    <row r="310" spans="2:13" s="896" customFormat="1" ht="15" customHeight="1">
      <c r="B310" s="901" t="s">
        <v>1528</v>
      </c>
      <c r="C310" s="900" t="s">
        <v>1001</v>
      </c>
      <c r="D310" s="480">
        <v>252</v>
      </c>
      <c r="E310" s="480">
        <v>0</v>
      </c>
      <c r="F310" s="481">
        <v>0</v>
      </c>
      <c r="G310" s="488">
        <v>1731444120</v>
      </c>
      <c r="H310" s="482">
        <v>442130000000</v>
      </c>
      <c r="I310" s="483">
        <v>117750168620</v>
      </c>
      <c r="J310" s="484">
        <v>870592801864</v>
      </c>
      <c r="M310" s="897"/>
    </row>
    <row r="311" spans="2:13" s="896" customFormat="1" ht="15" customHeight="1">
      <c r="B311" s="901" t="s">
        <v>1529</v>
      </c>
      <c r="C311" s="900" t="s">
        <v>73</v>
      </c>
      <c r="D311" s="480">
        <v>1</v>
      </c>
      <c r="E311" s="480">
        <v>0</v>
      </c>
      <c r="F311" s="481">
        <v>0</v>
      </c>
      <c r="G311" s="488">
        <v>343540500</v>
      </c>
      <c r="H311" s="482">
        <v>107040260000</v>
      </c>
      <c r="I311" s="483">
        <v>18093353212</v>
      </c>
      <c r="J311" s="484">
        <v>147787301807</v>
      </c>
      <c r="M311" s="897"/>
    </row>
    <row r="312" spans="2:13" s="896" customFormat="1" ht="15" customHeight="1">
      <c r="B312" s="901" t="s">
        <v>1530</v>
      </c>
      <c r="C312" s="900" t="s">
        <v>73</v>
      </c>
      <c r="D312" s="480">
        <v>1</v>
      </c>
      <c r="E312" s="480">
        <v>0</v>
      </c>
      <c r="F312" s="481">
        <v>0</v>
      </c>
      <c r="G312" s="488">
        <v>302315640</v>
      </c>
      <c r="H312" s="482">
        <v>107040260000</v>
      </c>
      <c r="I312" s="483">
        <v>18093353212</v>
      </c>
      <c r="J312" s="484">
        <v>147787301807</v>
      </c>
      <c r="M312" s="897"/>
    </row>
    <row r="313" spans="2:13" s="896" customFormat="1" ht="15" customHeight="1">
      <c r="B313" s="901" t="s">
        <v>1538</v>
      </c>
      <c r="C313" s="900" t="s">
        <v>73</v>
      </c>
      <c r="D313" s="480">
        <v>1</v>
      </c>
      <c r="E313" s="480">
        <v>0</v>
      </c>
      <c r="F313" s="481">
        <v>0</v>
      </c>
      <c r="G313" s="488">
        <v>68708100</v>
      </c>
      <c r="H313" s="482">
        <v>106665953371</v>
      </c>
      <c r="I313" s="483">
        <v>14576417821</v>
      </c>
      <c r="J313" s="484">
        <v>156941549046</v>
      </c>
      <c r="M313" s="897"/>
    </row>
    <row r="314" spans="2:13" s="896" customFormat="1" ht="15" customHeight="1">
      <c r="B314" s="901" t="s">
        <v>1538</v>
      </c>
      <c r="C314" s="900" t="s">
        <v>73</v>
      </c>
      <c r="D314" s="480">
        <v>1</v>
      </c>
      <c r="E314" s="480">
        <v>0</v>
      </c>
      <c r="F314" s="481">
        <v>0</v>
      </c>
      <c r="G314" s="488">
        <v>68708100</v>
      </c>
      <c r="H314" s="482">
        <v>106665953371</v>
      </c>
      <c r="I314" s="483">
        <v>14576417821</v>
      </c>
      <c r="J314" s="484">
        <v>156941549046</v>
      </c>
      <c r="M314" s="897"/>
    </row>
    <row r="315" spans="2:13" s="896" customFormat="1" ht="15" customHeight="1">
      <c r="B315" s="901" t="s">
        <v>1538</v>
      </c>
      <c r="C315" s="900" t="s">
        <v>73</v>
      </c>
      <c r="D315" s="480">
        <v>1</v>
      </c>
      <c r="E315" s="480">
        <v>0</v>
      </c>
      <c r="F315" s="481">
        <v>0</v>
      </c>
      <c r="G315" s="488">
        <v>68708100</v>
      </c>
      <c r="H315" s="482">
        <v>106665953371</v>
      </c>
      <c r="I315" s="483">
        <v>14576417821</v>
      </c>
      <c r="J315" s="484">
        <v>156941549046</v>
      </c>
      <c r="M315" s="897"/>
    </row>
    <row r="316" spans="2:13" s="896" customFormat="1" ht="15" customHeight="1">
      <c r="B316" s="901" t="s">
        <v>1538</v>
      </c>
      <c r="C316" s="900" t="s">
        <v>73</v>
      </c>
      <c r="D316" s="480">
        <v>1</v>
      </c>
      <c r="E316" s="480">
        <v>0</v>
      </c>
      <c r="F316" s="481">
        <v>0</v>
      </c>
      <c r="G316" s="488">
        <v>68708100</v>
      </c>
      <c r="H316" s="482">
        <v>106665953371</v>
      </c>
      <c r="I316" s="483">
        <v>14576417821</v>
      </c>
      <c r="J316" s="484">
        <v>156941549046</v>
      </c>
      <c r="M316" s="897"/>
    </row>
    <row r="317" spans="2:13" s="896" customFormat="1" ht="15" customHeight="1">
      <c r="B317" s="901" t="s">
        <v>1538</v>
      </c>
      <c r="C317" s="900" t="s">
        <v>73</v>
      </c>
      <c r="D317" s="480">
        <v>1</v>
      </c>
      <c r="E317" s="480">
        <v>0</v>
      </c>
      <c r="F317" s="481">
        <v>0</v>
      </c>
      <c r="G317" s="488">
        <v>68708100</v>
      </c>
      <c r="H317" s="482">
        <v>106665953371</v>
      </c>
      <c r="I317" s="483">
        <v>14576417821</v>
      </c>
      <c r="J317" s="484">
        <v>156941549046</v>
      </c>
      <c r="M317" s="897"/>
    </row>
    <row r="318" spans="2:13" s="896" customFormat="1" ht="15" customHeight="1">
      <c r="B318" s="901" t="s">
        <v>1538</v>
      </c>
      <c r="C318" s="900" t="s">
        <v>73</v>
      </c>
      <c r="D318" s="480">
        <v>1</v>
      </c>
      <c r="E318" s="480">
        <v>0</v>
      </c>
      <c r="F318" s="481">
        <v>0</v>
      </c>
      <c r="G318" s="488">
        <v>68708100</v>
      </c>
      <c r="H318" s="482">
        <v>106665953371</v>
      </c>
      <c r="I318" s="483">
        <v>14576417821</v>
      </c>
      <c r="J318" s="484">
        <v>156941549046</v>
      </c>
      <c r="M318" s="897"/>
    </row>
    <row r="319" spans="2:13" s="896" customFormat="1" ht="15" customHeight="1">
      <c r="B319" s="901" t="s">
        <v>1538</v>
      </c>
      <c r="C319" s="900" t="s">
        <v>73</v>
      </c>
      <c r="D319" s="480">
        <v>1</v>
      </c>
      <c r="E319" s="480">
        <v>0</v>
      </c>
      <c r="F319" s="481">
        <v>0</v>
      </c>
      <c r="G319" s="488">
        <v>68708100</v>
      </c>
      <c r="H319" s="482">
        <v>106665953371</v>
      </c>
      <c r="I319" s="483">
        <v>14576417821</v>
      </c>
      <c r="J319" s="484">
        <v>156941549046</v>
      </c>
      <c r="M319" s="897"/>
    </row>
    <row r="320" spans="2:13" s="896" customFormat="1" ht="15" customHeight="1">
      <c r="B320" s="901" t="s">
        <v>1538</v>
      </c>
      <c r="C320" s="900" t="s">
        <v>73</v>
      </c>
      <c r="D320" s="480">
        <v>1</v>
      </c>
      <c r="E320" s="480">
        <v>0</v>
      </c>
      <c r="F320" s="481">
        <v>0</v>
      </c>
      <c r="G320" s="488">
        <v>68708100</v>
      </c>
      <c r="H320" s="482">
        <v>106665953371</v>
      </c>
      <c r="I320" s="483">
        <v>14576417821</v>
      </c>
      <c r="J320" s="484">
        <v>156941549046</v>
      </c>
      <c r="M320" s="897"/>
    </row>
    <row r="321" spans="2:13" s="896" customFormat="1" ht="15" customHeight="1">
      <c r="B321" s="901" t="s">
        <v>1538</v>
      </c>
      <c r="C321" s="900" t="s">
        <v>73</v>
      </c>
      <c r="D321" s="480">
        <v>1</v>
      </c>
      <c r="E321" s="480">
        <v>0</v>
      </c>
      <c r="F321" s="481">
        <v>0</v>
      </c>
      <c r="G321" s="488">
        <v>68708100</v>
      </c>
      <c r="H321" s="482">
        <v>106665953371</v>
      </c>
      <c r="I321" s="483">
        <v>14576417821</v>
      </c>
      <c r="J321" s="484">
        <v>156941549046</v>
      </c>
      <c r="M321" s="897"/>
    </row>
    <row r="322" spans="2:13" s="896" customFormat="1" ht="15" customHeight="1">
      <c r="B322" s="901" t="s">
        <v>1538</v>
      </c>
      <c r="C322" s="900" t="s">
        <v>73</v>
      </c>
      <c r="D322" s="480">
        <v>1</v>
      </c>
      <c r="E322" s="480">
        <v>0</v>
      </c>
      <c r="F322" s="481">
        <v>0</v>
      </c>
      <c r="G322" s="488">
        <v>68708100</v>
      </c>
      <c r="H322" s="482">
        <v>106665953371</v>
      </c>
      <c r="I322" s="483">
        <v>14576417821</v>
      </c>
      <c r="J322" s="484">
        <v>156941549046</v>
      </c>
      <c r="M322" s="897"/>
    </row>
    <row r="323" spans="2:13" s="896" customFormat="1" ht="15" customHeight="1">
      <c r="B323" s="901" t="s">
        <v>1538</v>
      </c>
      <c r="C323" s="900" t="s">
        <v>73</v>
      </c>
      <c r="D323" s="480">
        <v>1</v>
      </c>
      <c r="E323" s="480">
        <v>0</v>
      </c>
      <c r="F323" s="481">
        <v>0</v>
      </c>
      <c r="G323" s="488">
        <v>103062150</v>
      </c>
      <c r="H323" s="482">
        <v>106665953371</v>
      </c>
      <c r="I323" s="483">
        <v>14576417821</v>
      </c>
      <c r="J323" s="484">
        <v>156941549046</v>
      </c>
      <c r="M323" s="897"/>
    </row>
    <row r="324" spans="2:13" s="896" customFormat="1" ht="15" customHeight="1">
      <c r="B324" s="901" t="s">
        <v>1538</v>
      </c>
      <c r="C324" s="900" t="s">
        <v>73</v>
      </c>
      <c r="D324" s="480">
        <v>1</v>
      </c>
      <c r="E324" s="480">
        <v>0</v>
      </c>
      <c r="F324" s="481">
        <v>0</v>
      </c>
      <c r="G324" s="488">
        <v>103062150</v>
      </c>
      <c r="H324" s="482">
        <v>106665953371</v>
      </c>
      <c r="I324" s="483">
        <v>14576417821</v>
      </c>
      <c r="J324" s="484">
        <v>156941549046</v>
      </c>
      <c r="M324" s="897"/>
    </row>
    <row r="325" spans="2:13" s="896" customFormat="1" ht="15" customHeight="1">
      <c r="B325" s="901" t="s">
        <v>1538</v>
      </c>
      <c r="C325" s="900" t="s">
        <v>73</v>
      </c>
      <c r="D325" s="480">
        <v>1</v>
      </c>
      <c r="E325" s="480">
        <v>0</v>
      </c>
      <c r="F325" s="481">
        <v>0</v>
      </c>
      <c r="G325" s="488">
        <v>103062150</v>
      </c>
      <c r="H325" s="482">
        <v>106665953371</v>
      </c>
      <c r="I325" s="483">
        <v>14576417821</v>
      </c>
      <c r="J325" s="484">
        <v>156941549046</v>
      </c>
      <c r="M325" s="897"/>
    </row>
    <row r="326" spans="2:13" s="896" customFormat="1" ht="15" customHeight="1">
      <c r="B326" s="901" t="s">
        <v>1538</v>
      </c>
      <c r="C326" s="900" t="s">
        <v>73</v>
      </c>
      <c r="D326" s="480">
        <v>1</v>
      </c>
      <c r="E326" s="480">
        <v>0</v>
      </c>
      <c r="F326" s="481">
        <v>0</v>
      </c>
      <c r="G326" s="488">
        <v>103062150</v>
      </c>
      <c r="H326" s="482">
        <v>106665953371</v>
      </c>
      <c r="I326" s="483">
        <v>14576417821</v>
      </c>
      <c r="J326" s="484">
        <v>156941549046</v>
      </c>
      <c r="M326" s="897"/>
    </row>
    <row r="327" spans="2:13" s="896" customFormat="1" ht="15" customHeight="1">
      <c r="B327" s="901" t="s">
        <v>1538</v>
      </c>
      <c r="C327" s="900" t="s">
        <v>73</v>
      </c>
      <c r="D327" s="480">
        <v>1</v>
      </c>
      <c r="E327" s="480">
        <v>0</v>
      </c>
      <c r="F327" s="481">
        <v>0</v>
      </c>
      <c r="G327" s="488">
        <v>103062150</v>
      </c>
      <c r="H327" s="482">
        <v>106665953371</v>
      </c>
      <c r="I327" s="483">
        <v>14576417821</v>
      </c>
      <c r="J327" s="484">
        <v>156941549046</v>
      </c>
      <c r="M327" s="897"/>
    </row>
    <row r="328" spans="2:13" s="896" customFormat="1" ht="15" customHeight="1">
      <c r="B328" s="901" t="s">
        <v>1538</v>
      </c>
      <c r="C328" s="900" t="s">
        <v>73</v>
      </c>
      <c r="D328" s="480">
        <v>1</v>
      </c>
      <c r="E328" s="480">
        <v>0</v>
      </c>
      <c r="F328" s="481">
        <v>0</v>
      </c>
      <c r="G328" s="488">
        <v>171770250</v>
      </c>
      <c r="H328" s="482">
        <v>106665953371</v>
      </c>
      <c r="I328" s="483">
        <v>14576417821</v>
      </c>
      <c r="J328" s="484">
        <v>156941549046</v>
      </c>
      <c r="M328" s="897"/>
    </row>
    <row r="329" spans="2:13" s="896" customFormat="1" ht="15" customHeight="1">
      <c r="B329" s="901" t="s">
        <v>1538</v>
      </c>
      <c r="C329" s="900" t="s">
        <v>73</v>
      </c>
      <c r="D329" s="480">
        <v>1</v>
      </c>
      <c r="E329" s="480">
        <v>0</v>
      </c>
      <c r="F329" s="481">
        <v>0</v>
      </c>
      <c r="G329" s="488">
        <v>171770250</v>
      </c>
      <c r="H329" s="482">
        <v>106665953371</v>
      </c>
      <c r="I329" s="483">
        <v>14576417821</v>
      </c>
      <c r="J329" s="484">
        <v>156941549046</v>
      </c>
      <c r="M329" s="897"/>
    </row>
    <row r="330" spans="2:13" s="896" customFormat="1" ht="15" customHeight="1">
      <c r="B330" s="901" t="s">
        <v>1538</v>
      </c>
      <c r="C330" s="900" t="s">
        <v>73</v>
      </c>
      <c r="D330" s="480">
        <v>1</v>
      </c>
      <c r="E330" s="480">
        <v>0</v>
      </c>
      <c r="F330" s="481">
        <v>0</v>
      </c>
      <c r="G330" s="488">
        <v>171770250</v>
      </c>
      <c r="H330" s="482">
        <v>106665953371</v>
      </c>
      <c r="I330" s="483">
        <v>14576417821</v>
      </c>
      <c r="J330" s="484">
        <v>156941549046</v>
      </c>
      <c r="M330" s="897"/>
    </row>
    <row r="331" spans="2:13" s="896" customFormat="1" ht="15" customHeight="1">
      <c r="B331" s="901" t="s">
        <v>1538</v>
      </c>
      <c r="C331" s="900" t="s">
        <v>73</v>
      </c>
      <c r="D331" s="480">
        <v>1</v>
      </c>
      <c r="E331" s="480">
        <v>0</v>
      </c>
      <c r="F331" s="481">
        <v>0</v>
      </c>
      <c r="G331" s="488">
        <v>171770250</v>
      </c>
      <c r="H331" s="482">
        <v>106665953371</v>
      </c>
      <c r="I331" s="483">
        <v>14576417821</v>
      </c>
      <c r="J331" s="484">
        <v>156941549046</v>
      </c>
      <c r="M331" s="897"/>
    </row>
    <row r="332" spans="2:13" s="896" customFormat="1" ht="15" customHeight="1">
      <c r="B332" s="901" t="s">
        <v>1538</v>
      </c>
      <c r="C332" s="900" t="s">
        <v>73</v>
      </c>
      <c r="D332" s="480">
        <v>1</v>
      </c>
      <c r="E332" s="480">
        <v>0</v>
      </c>
      <c r="F332" s="481">
        <v>0</v>
      </c>
      <c r="G332" s="488">
        <v>171770250</v>
      </c>
      <c r="H332" s="482">
        <v>106665953371</v>
      </c>
      <c r="I332" s="483">
        <v>14576417821</v>
      </c>
      <c r="J332" s="484">
        <v>156941549046</v>
      </c>
      <c r="M332" s="897"/>
    </row>
    <row r="333" spans="2:13" s="896" customFormat="1" ht="15" customHeight="1">
      <c r="B333" s="901" t="s">
        <v>1538</v>
      </c>
      <c r="C333" s="900" t="s">
        <v>73</v>
      </c>
      <c r="D333" s="480">
        <v>1</v>
      </c>
      <c r="E333" s="480">
        <v>0</v>
      </c>
      <c r="F333" s="481">
        <v>0</v>
      </c>
      <c r="G333" s="488">
        <v>68708100</v>
      </c>
      <c r="H333" s="482">
        <v>106665953371</v>
      </c>
      <c r="I333" s="483">
        <v>14576417821</v>
      </c>
      <c r="J333" s="484">
        <v>156941549046</v>
      </c>
      <c r="M333" s="897"/>
    </row>
    <row r="334" spans="2:13" s="896" customFormat="1" ht="15" customHeight="1">
      <c r="B334" s="901" t="s">
        <v>1538</v>
      </c>
      <c r="C334" s="900" t="s">
        <v>73</v>
      </c>
      <c r="D334" s="480">
        <v>1</v>
      </c>
      <c r="E334" s="480">
        <v>0</v>
      </c>
      <c r="F334" s="481">
        <v>0</v>
      </c>
      <c r="G334" s="488">
        <v>68708100</v>
      </c>
      <c r="H334" s="482">
        <v>106665953371</v>
      </c>
      <c r="I334" s="483">
        <v>14576417821</v>
      </c>
      <c r="J334" s="484">
        <v>156941549046</v>
      </c>
      <c r="M334" s="897"/>
    </row>
    <row r="335" spans="2:13" s="896" customFormat="1" ht="15" customHeight="1">
      <c r="B335" s="901" t="s">
        <v>1538</v>
      </c>
      <c r="C335" s="900" t="s">
        <v>73</v>
      </c>
      <c r="D335" s="480">
        <v>1</v>
      </c>
      <c r="E335" s="480">
        <v>0</v>
      </c>
      <c r="F335" s="481">
        <v>0</v>
      </c>
      <c r="G335" s="488">
        <v>68708100</v>
      </c>
      <c r="H335" s="482">
        <v>106665953371</v>
      </c>
      <c r="I335" s="483">
        <v>14576417821</v>
      </c>
      <c r="J335" s="484">
        <v>156941549046</v>
      </c>
      <c r="M335" s="897"/>
    </row>
    <row r="336" spans="2:13" s="896" customFormat="1" ht="15" customHeight="1">
      <c r="B336" s="901" t="s">
        <v>1538</v>
      </c>
      <c r="C336" s="900" t="s">
        <v>73</v>
      </c>
      <c r="D336" s="480">
        <v>1</v>
      </c>
      <c r="E336" s="480">
        <v>0</v>
      </c>
      <c r="F336" s="481">
        <v>0</v>
      </c>
      <c r="G336" s="488">
        <v>68708100</v>
      </c>
      <c r="H336" s="482">
        <v>106665953371</v>
      </c>
      <c r="I336" s="483">
        <v>14576417821</v>
      </c>
      <c r="J336" s="484">
        <v>156941549046</v>
      </c>
      <c r="M336" s="897"/>
    </row>
    <row r="337" spans="1:14" s="896" customFormat="1" ht="15" customHeight="1">
      <c r="B337" s="901" t="s">
        <v>1538</v>
      </c>
      <c r="C337" s="900" t="s">
        <v>73</v>
      </c>
      <c r="D337" s="480">
        <v>1</v>
      </c>
      <c r="E337" s="480">
        <v>0</v>
      </c>
      <c r="F337" s="481">
        <v>0</v>
      </c>
      <c r="G337" s="488">
        <v>68708100</v>
      </c>
      <c r="H337" s="482">
        <v>106665953371</v>
      </c>
      <c r="I337" s="483">
        <v>14576417821</v>
      </c>
      <c r="J337" s="484">
        <v>156941549046</v>
      </c>
      <c r="M337" s="897"/>
    </row>
    <row r="338" spans="1:14" s="896" customFormat="1" ht="15" customHeight="1">
      <c r="B338" s="901" t="s">
        <v>1538</v>
      </c>
      <c r="C338" s="900" t="s">
        <v>73</v>
      </c>
      <c r="D338" s="480">
        <v>1</v>
      </c>
      <c r="E338" s="480">
        <v>0</v>
      </c>
      <c r="F338" s="481">
        <v>0</v>
      </c>
      <c r="G338" s="488">
        <v>68708100</v>
      </c>
      <c r="H338" s="482">
        <v>106665953371</v>
      </c>
      <c r="I338" s="483">
        <v>14576417821</v>
      </c>
      <c r="J338" s="484">
        <v>156941549046</v>
      </c>
      <c r="M338" s="897"/>
    </row>
    <row r="339" spans="1:14" s="896" customFormat="1" ht="15" customHeight="1">
      <c r="B339" s="901" t="s">
        <v>1538</v>
      </c>
      <c r="C339" s="900" t="s">
        <v>73</v>
      </c>
      <c r="D339" s="480">
        <v>1</v>
      </c>
      <c r="E339" s="480">
        <v>0</v>
      </c>
      <c r="F339" s="481">
        <v>0</v>
      </c>
      <c r="G339" s="488">
        <v>68708100</v>
      </c>
      <c r="H339" s="482">
        <v>106665953371</v>
      </c>
      <c r="I339" s="483">
        <v>14576417821</v>
      </c>
      <c r="J339" s="484">
        <v>156941549046</v>
      </c>
      <c r="M339" s="897"/>
    </row>
    <row r="340" spans="1:14" s="896" customFormat="1" ht="15" customHeight="1">
      <c r="B340" s="901" t="s">
        <v>1538</v>
      </c>
      <c r="C340" s="900" t="s">
        <v>73</v>
      </c>
      <c r="D340" s="480">
        <v>1</v>
      </c>
      <c r="E340" s="480">
        <v>0</v>
      </c>
      <c r="F340" s="481">
        <v>0</v>
      </c>
      <c r="G340" s="488">
        <v>68708100</v>
      </c>
      <c r="H340" s="482">
        <v>106665953371</v>
      </c>
      <c r="I340" s="483">
        <v>14576417821</v>
      </c>
      <c r="J340" s="484">
        <v>156941549046</v>
      </c>
      <c r="M340" s="897"/>
    </row>
    <row r="341" spans="1:14" s="896" customFormat="1" ht="15" customHeight="1">
      <c r="B341" s="901" t="s">
        <v>1538</v>
      </c>
      <c r="C341" s="900" t="s">
        <v>73</v>
      </c>
      <c r="D341" s="480">
        <v>1</v>
      </c>
      <c r="E341" s="480">
        <v>0</v>
      </c>
      <c r="F341" s="481">
        <v>0</v>
      </c>
      <c r="G341" s="488">
        <v>68708100</v>
      </c>
      <c r="H341" s="482">
        <v>106665953371</v>
      </c>
      <c r="I341" s="483">
        <v>14576417821</v>
      </c>
      <c r="J341" s="484">
        <v>156941549046</v>
      </c>
      <c r="M341" s="897"/>
    </row>
    <row r="342" spans="1:14" s="896" customFormat="1" ht="15" customHeight="1">
      <c r="B342" s="901" t="s">
        <v>1538</v>
      </c>
      <c r="C342" s="900" t="s">
        <v>73</v>
      </c>
      <c r="D342" s="480">
        <v>1</v>
      </c>
      <c r="E342" s="480">
        <v>0</v>
      </c>
      <c r="F342" s="481">
        <v>0</v>
      </c>
      <c r="G342" s="488">
        <v>68708100</v>
      </c>
      <c r="H342" s="482">
        <v>106665953371</v>
      </c>
      <c r="I342" s="483">
        <v>14576417821</v>
      </c>
      <c r="J342" s="484">
        <v>156941549046</v>
      </c>
      <c r="M342" s="897"/>
    </row>
    <row r="343" spans="1:14" s="896" customFormat="1" ht="15" customHeight="1">
      <c r="B343" s="901" t="s">
        <v>1531</v>
      </c>
      <c r="C343" s="900" t="s">
        <v>73</v>
      </c>
      <c r="D343" s="480">
        <v>1</v>
      </c>
      <c r="E343" s="480">
        <v>0</v>
      </c>
      <c r="F343" s="481">
        <v>0</v>
      </c>
      <c r="G343" s="488">
        <v>16787697422.160002</v>
      </c>
      <c r="H343" s="482">
        <v>1081242860000</v>
      </c>
      <c r="I343" s="483">
        <v>4278038995</v>
      </c>
      <c r="J343" s="484">
        <v>1563540791181</v>
      </c>
      <c r="M343" s="897"/>
    </row>
    <row r="344" spans="1:14" s="896" customFormat="1" ht="15" customHeight="1">
      <c r="B344" s="901" t="s">
        <v>1531</v>
      </c>
      <c r="C344" s="900" t="s">
        <v>574</v>
      </c>
      <c r="D344" s="480">
        <v>10</v>
      </c>
      <c r="E344" s="480">
        <v>0</v>
      </c>
      <c r="F344" s="481">
        <v>0</v>
      </c>
      <c r="G344" s="488">
        <v>63420669</v>
      </c>
      <c r="H344" s="498">
        <v>1081242860000</v>
      </c>
      <c r="I344" s="499">
        <v>4278038995</v>
      </c>
      <c r="J344" s="500">
        <v>1563540791181</v>
      </c>
      <c r="M344" s="897"/>
    </row>
    <row r="345" spans="1:14" s="467" customFormat="1">
      <c r="A345" s="465"/>
      <c r="B345" s="451" t="s">
        <v>1441</v>
      </c>
      <c r="C345" s="501"/>
      <c r="D345" s="502"/>
      <c r="E345" s="502"/>
      <c r="F345" s="502"/>
      <c r="G345" s="503">
        <f>+SUM(G133:G344)</f>
        <v>87224765300.84375</v>
      </c>
      <c r="H345" s="504">
        <f>+G345-BG!D23</f>
        <v>-0.15625</v>
      </c>
      <c r="I345" s="454"/>
      <c r="J345" s="505"/>
      <c r="L345" s="485"/>
      <c r="M345" s="486"/>
      <c r="N345" s="485"/>
    </row>
    <row r="346" spans="1:14" s="467" customFormat="1">
      <c r="A346" s="465"/>
      <c r="B346" s="506" t="s">
        <v>1282</v>
      </c>
      <c r="C346" s="507"/>
      <c r="D346" s="508"/>
      <c r="E346" s="508"/>
      <c r="F346" s="508"/>
      <c r="G346" s="509">
        <v>29161895047</v>
      </c>
      <c r="H346" s="510"/>
      <c r="I346" s="511"/>
      <c r="L346" s="485"/>
      <c r="M346" s="486"/>
      <c r="N346" s="485"/>
    </row>
    <row r="347" spans="1:14" s="467" customFormat="1">
      <c r="A347" s="465"/>
      <c r="B347" s="474" t="s">
        <v>162</v>
      </c>
      <c r="C347" s="512"/>
      <c r="D347" s="512"/>
      <c r="E347" s="513"/>
      <c r="F347" s="513"/>
      <c r="G347" s="514"/>
      <c r="H347" s="322"/>
      <c r="I347" s="515"/>
      <c r="J347" s="516"/>
      <c r="L347" s="485"/>
      <c r="M347" s="486"/>
      <c r="N347" s="485"/>
    </row>
    <row r="348" spans="1:14" s="467" customFormat="1" ht="15" customHeight="1">
      <c r="A348" s="465"/>
      <c r="B348" s="517" t="s">
        <v>1275</v>
      </c>
      <c r="C348" s="518" t="s">
        <v>250</v>
      </c>
      <c r="D348" s="519">
        <v>1</v>
      </c>
      <c r="E348" s="520">
        <v>200000000</v>
      </c>
      <c r="F348" s="521">
        <v>0</v>
      </c>
      <c r="G348" s="522">
        <v>900000000</v>
      </c>
      <c r="H348" s="523"/>
      <c r="I348" s="468"/>
      <c r="J348" s="505"/>
      <c r="L348" s="485"/>
      <c r="M348" s="524"/>
      <c r="N348" s="485"/>
    </row>
    <row r="349" spans="1:14" s="467" customFormat="1" ht="15" customHeight="1">
      <c r="A349" s="465"/>
      <c r="B349" s="517" t="s">
        <v>481</v>
      </c>
      <c r="C349" s="518" t="s">
        <v>1536</v>
      </c>
      <c r="D349" s="525">
        <v>4999</v>
      </c>
      <c r="E349" s="520">
        <v>4999000000</v>
      </c>
      <c r="F349" s="521">
        <v>0</v>
      </c>
      <c r="G349" s="522">
        <f>+Clasificaciones!G324+Clasificaciones!G330</f>
        <v>7046406868</v>
      </c>
      <c r="H349" s="523"/>
      <c r="I349" s="468"/>
      <c r="J349" s="505"/>
      <c r="L349" s="485"/>
      <c r="M349" s="524"/>
      <c r="N349" s="485"/>
    </row>
    <row r="350" spans="1:14" s="467" customFormat="1">
      <c r="A350" s="465"/>
      <c r="B350" s="451" t="s">
        <v>1441</v>
      </c>
      <c r="C350" s="501"/>
      <c r="D350" s="451"/>
      <c r="E350" s="526">
        <f>SUM(E348:E349)</f>
        <v>5199000000</v>
      </c>
      <c r="F350" s="431"/>
      <c r="G350" s="431">
        <f>+SUM(G348:G349)</f>
        <v>7946406868</v>
      </c>
      <c r="H350" s="505">
        <f>+G350-BG!D49</f>
        <v>0</v>
      </c>
      <c r="I350" s="468"/>
      <c r="J350" s="505"/>
      <c r="L350" s="485"/>
      <c r="M350" s="486"/>
      <c r="N350" s="485"/>
    </row>
    <row r="351" spans="1:14" s="467" customFormat="1">
      <c r="A351" s="465"/>
      <c r="B351" s="506" t="s">
        <v>1282</v>
      </c>
      <c r="C351" s="501"/>
      <c r="D351" s="451"/>
      <c r="E351" s="527">
        <v>3699000000</v>
      </c>
      <c r="F351" s="431"/>
      <c r="G351" s="431">
        <v>4454990631</v>
      </c>
      <c r="I351" s="468"/>
      <c r="L351" s="485"/>
      <c r="M351" s="486"/>
      <c r="N351" s="485"/>
    </row>
    <row r="352" spans="1:14" s="467" customFormat="1">
      <c r="A352" s="465"/>
      <c r="I352" s="468"/>
      <c r="L352" s="485"/>
      <c r="M352" s="486"/>
      <c r="N352" s="485"/>
    </row>
    <row r="353" spans="1:14" s="467" customFormat="1" ht="15" customHeight="1">
      <c r="A353" s="465"/>
      <c r="B353" s="528" t="s">
        <v>1537</v>
      </c>
      <c r="C353" s="528"/>
      <c r="D353" s="528"/>
      <c r="E353" s="528"/>
      <c r="F353" s="528"/>
      <c r="G353" s="528"/>
      <c r="H353" s="528"/>
      <c r="I353" s="528"/>
      <c r="J353" s="528"/>
      <c r="K353" s="528"/>
      <c r="L353" s="528"/>
      <c r="M353" s="486"/>
      <c r="N353" s="485"/>
    </row>
    <row r="354" spans="1:14" s="467" customFormat="1" ht="15" customHeight="1">
      <c r="A354" s="465"/>
      <c r="B354" s="528"/>
      <c r="C354" s="528"/>
      <c r="D354" s="528"/>
      <c r="E354" s="528"/>
      <c r="F354" s="528"/>
      <c r="G354" s="528"/>
      <c r="H354" s="528"/>
      <c r="I354" s="528"/>
      <c r="J354" s="528"/>
      <c r="K354" s="528"/>
      <c r="L354" s="528"/>
      <c r="M354" s="486"/>
      <c r="N354" s="485"/>
    </row>
    <row r="355" spans="1:14" s="467" customFormat="1" ht="39.6" customHeight="1">
      <c r="A355" s="465"/>
      <c r="B355" s="457" t="s">
        <v>1276</v>
      </c>
      <c r="C355" s="388" t="s">
        <v>683</v>
      </c>
      <c r="D355" s="388" t="s">
        <v>682</v>
      </c>
      <c r="E355" s="388" t="s">
        <v>680</v>
      </c>
      <c r="F355" s="388" t="s">
        <v>681</v>
      </c>
      <c r="I355" s="468"/>
      <c r="L355" s="485"/>
      <c r="M355" s="486"/>
      <c r="N355" s="485"/>
    </row>
    <row r="356" spans="1:14" s="467" customFormat="1">
      <c r="A356" s="465"/>
      <c r="B356" s="1001" t="s">
        <v>1593</v>
      </c>
      <c r="C356" s="1001"/>
      <c r="D356" s="1001"/>
      <c r="E356" s="1001"/>
      <c r="F356" s="1001"/>
      <c r="I356" s="468"/>
      <c r="L356" s="485"/>
      <c r="M356" s="486"/>
      <c r="N356" s="485"/>
    </row>
    <row r="357" spans="1:14" s="467" customFormat="1">
      <c r="A357" s="465"/>
      <c r="B357" s="529" t="s">
        <v>1518</v>
      </c>
      <c r="C357" s="530">
        <v>100000000</v>
      </c>
      <c r="D357" s="530">
        <v>100536301.369863</v>
      </c>
      <c r="E357" s="530">
        <v>100000000</v>
      </c>
      <c r="F357" s="530">
        <v>100536301.369863</v>
      </c>
      <c r="G357" s="454"/>
      <c r="H357" s="505"/>
      <c r="I357" s="468"/>
      <c r="L357" s="485"/>
      <c r="M357" s="486"/>
      <c r="N357" s="485"/>
    </row>
    <row r="358" spans="1:14" s="467" customFormat="1">
      <c r="A358" s="465"/>
      <c r="B358" s="529" t="s">
        <v>1518</v>
      </c>
      <c r="C358" s="530">
        <v>100000000</v>
      </c>
      <c r="D358" s="530">
        <v>100536301.369863</v>
      </c>
      <c r="E358" s="530">
        <v>100000000</v>
      </c>
      <c r="F358" s="530">
        <v>100536301.369863</v>
      </c>
      <c r="I358" s="468"/>
      <c r="L358" s="485"/>
      <c r="M358" s="486"/>
      <c r="N358" s="485"/>
    </row>
    <row r="359" spans="1:14" s="467" customFormat="1">
      <c r="A359" s="465"/>
      <c r="B359" s="529" t="s">
        <v>1518</v>
      </c>
      <c r="C359" s="530">
        <v>100000000</v>
      </c>
      <c r="D359" s="530">
        <v>100366027.39726028</v>
      </c>
      <c r="E359" s="530">
        <v>100000000</v>
      </c>
      <c r="F359" s="530">
        <v>100366027.39726028</v>
      </c>
      <c r="I359" s="468"/>
      <c r="L359" s="485"/>
      <c r="M359" s="486"/>
      <c r="N359" s="485"/>
    </row>
    <row r="360" spans="1:14" s="467" customFormat="1">
      <c r="A360" s="465"/>
      <c r="B360" s="529" t="s">
        <v>1518</v>
      </c>
      <c r="C360" s="530">
        <v>100000000</v>
      </c>
      <c r="D360" s="530">
        <v>100366027.39726028</v>
      </c>
      <c r="E360" s="530">
        <v>100000000</v>
      </c>
      <c r="F360" s="530">
        <v>100366027.39726028</v>
      </c>
      <c r="I360" s="468"/>
      <c r="L360" s="485"/>
      <c r="M360" s="486"/>
      <c r="N360" s="485"/>
    </row>
    <row r="361" spans="1:14" s="467" customFormat="1">
      <c r="A361" s="465"/>
      <c r="B361" s="529" t="s">
        <v>1518</v>
      </c>
      <c r="C361" s="530">
        <v>50000000</v>
      </c>
      <c r="D361" s="530">
        <v>50183013.698630139</v>
      </c>
      <c r="E361" s="530">
        <v>50000000</v>
      </c>
      <c r="F361" s="530">
        <v>50183013.698630139</v>
      </c>
      <c r="I361" s="468"/>
      <c r="L361" s="485"/>
      <c r="M361" s="486"/>
      <c r="N361" s="485"/>
    </row>
    <row r="362" spans="1:14" s="467" customFormat="1">
      <c r="A362" s="465"/>
      <c r="B362" s="529" t="s">
        <v>1518</v>
      </c>
      <c r="C362" s="530">
        <v>50000000</v>
      </c>
      <c r="D362" s="530">
        <v>50183013.698630139</v>
      </c>
      <c r="E362" s="530">
        <v>50000000</v>
      </c>
      <c r="F362" s="530">
        <v>50183013.698630139</v>
      </c>
      <c r="I362" s="468"/>
      <c r="L362" s="485"/>
      <c r="M362" s="486"/>
      <c r="N362" s="485"/>
    </row>
    <row r="363" spans="1:14" s="467" customFormat="1">
      <c r="A363" s="465"/>
      <c r="B363" s="529" t="s">
        <v>1518</v>
      </c>
      <c r="C363" s="530">
        <v>50000000</v>
      </c>
      <c r="D363" s="530">
        <v>50183013.698630139</v>
      </c>
      <c r="E363" s="530">
        <v>50000000</v>
      </c>
      <c r="F363" s="530">
        <v>50183013.698630139</v>
      </c>
      <c r="I363" s="468"/>
      <c r="L363" s="485"/>
      <c r="M363" s="486"/>
      <c r="N363" s="485"/>
    </row>
    <row r="364" spans="1:14" s="467" customFormat="1">
      <c r="A364" s="465"/>
      <c r="B364" s="529" t="s">
        <v>1518</v>
      </c>
      <c r="C364" s="530">
        <v>50000000</v>
      </c>
      <c r="D364" s="530">
        <v>50183013.698630139</v>
      </c>
      <c r="E364" s="530">
        <v>50000000</v>
      </c>
      <c r="F364" s="530">
        <v>50183013.698630139</v>
      </c>
      <c r="I364" s="468"/>
      <c r="L364" s="485"/>
      <c r="M364" s="486"/>
      <c r="N364" s="485"/>
    </row>
    <row r="365" spans="1:14" s="467" customFormat="1">
      <c r="A365" s="465"/>
      <c r="B365" s="529" t="s">
        <v>1518</v>
      </c>
      <c r="C365" s="530">
        <v>50000000</v>
      </c>
      <c r="D365" s="530">
        <v>50183013.698630139</v>
      </c>
      <c r="E365" s="530">
        <v>50000000</v>
      </c>
      <c r="F365" s="530">
        <v>50183013.698630139</v>
      </c>
      <c r="I365" s="468"/>
      <c r="L365" s="485"/>
      <c r="M365" s="486"/>
      <c r="N365" s="485"/>
    </row>
    <row r="366" spans="1:14" s="467" customFormat="1">
      <c r="A366" s="465"/>
      <c r="B366" s="529" t="s">
        <v>1518</v>
      </c>
      <c r="C366" s="530">
        <v>50000000</v>
      </c>
      <c r="D366" s="530">
        <v>50183013.698630139</v>
      </c>
      <c r="E366" s="530">
        <v>50000000</v>
      </c>
      <c r="F366" s="530">
        <v>50183013.698630139</v>
      </c>
      <c r="I366" s="468"/>
      <c r="L366" s="485"/>
      <c r="M366" s="486"/>
      <c r="N366" s="485"/>
    </row>
    <row r="367" spans="1:14" s="467" customFormat="1">
      <c r="A367" s="465"/>
      <c r="B367" s="529" t="s">
        <v>1518</v>
      </c>
      <c r="C367" s="530">
        <v>50000000</v>
      </c>
      <c r="D367" s="530">
        <v>50183013.698630139</v>
      </c>
      <c r="E367" s="530">
        <v>50000000</v>
      </c>
      <c r="F367" s="530">
        <v>50183013.698630139</v>
      </c>
      <c r="I367" s="468"/>
      <c r="L367" s="485"/>
      <c r="M367" s="486"/>
      <c r="N367" s="485"/>
    </row>
    <row r="368" spans="1:14" s="467" customFormat="1">
      <c r="A368" s="465"/>
      <c r="B368" s="529" t="s">
        <v>1518</v>
      </c>
      <c r="C368" s="530">
        <v>50000000</v>
      </c>
      <c r="D368" s="530">
        <v>50183013.698630139</v>
      </c>
      <c r="E368" s="530">
        <v>50000000</v>
      </c>
      <c r="F368" s="530">
        <v>50183013.698630139</v>
      </c>
      <c r="I368" s="468"/>
      <c r="L368" s="485"/>
      <c r="M368" s="486"/>
      <c r="N368" s="485"/>
    </row>
    <row r="369" spans="1:14" s="467" customFormat="1">
      <c r="A369" s="465"/>
      <c r="B369" s="529" t="s">
        <v>1518</v>
      </c>
      <c r="C369" s="530">
        <v>50000000</v>
      </c>
      <c r="D369" s="530">
        <v>50183013.698630139</v>
      </c>
      <c r="E369" s="530">
        <v>50000000</v>
      </c>
      <c r="F369" s="530">
        <v>50183013.698630139</v>
      </c>
      <c r="I369" s="468"/>
      <c r="L369" s="485"/>
      <c r="M369" s="486"/>
      <c r="N369" s="485"/>
    </row>
    <row r="370" spans="1:14" s="467" customFormat="1">
      <c r="A370" s="465"/>
      <c r="B370" s="529" t="s">
        <v>1518</v>
      </c>
      <c r="C370" s="530">
        <v>50000000</v>
      </c>
      <c r="D370" s="530">
        <v>50183013.698630139</v>
      </c>
      <c r="E370" s="530">
        <v>50000000</v>
      </c>
      <c r="F370" s="530">
        <v>50183013.698630139</v>
      </c>
      <c r="I370" s="468"/>
      <c r="L370" s="485"/>
      <c r="M370" s="486"/>
      <c r="N370" s="485"/>
    </row>
    <row r="371" spans="1:14" s="467" customFormat="1">
      <c r="A371" s="465"/>
      <c r="B371" s="529" t="s">
        <v>1518</v>
      </c>
      <c r="C371" s="530">
        <v>50000000</v>
      </c>
      <c r="D371" s="530">
        <v>50183013.698630139</v>
      </c>
      <c r="E371" s="530">
        <v>50000000</v>
      </c>
      <c r="F371" s="530">
        <v>50183013.698630139</v>
      </c>
      <c r="I371" s="468"/>
      <c r="L371" s="485"/>
      <c r="M371" s="486"/>
      <c r="N371" s="485"/>
    </row>
    <row r="372" spans="1:14" s="467" customFormat="1">
      <c r="A372" s="465"/>
      <c r="B372" s="529" t="s">
        <v>1518</v>
      </c>
      <c r="C372" s="530">
        <v>50000000</v>
      </c>
      <c r="D372" s="530">
        <v>50183013.698630139</v>
      </c>
      <c r="E372" s="530">
        <v>50000000</v>
      </c>
      <c r="F372" s="530">
        <v>50183013.698630139</v>
      </c>
      <c r="I372" s="468"/>
      <c r="L372" s="485"/>
      <c r="M372" s="486"/>
      <c r="N372" s="485"/>
    </row>
    <row r="373" spans="1:14" s="467" customFormat="1">
      <c r="A373" s="465"/>
      <c r="B373" s="529" t="s">
        <v>1518</v>
      </c>
      <c r="C373" s="530">
        <v>50000000</v>
      </c>
      <c r="D373" s="530">
        <v>50183013.698630139</v>
      </c>
      <c r="E373" s="530">
        <v>50000000</v>
      </c>
      <c r="F373" s="530">
        <v>50183013.698630139</v>
      </c>
      <c r="I373" s="468"/>
      <c r="L373" s="485"/>
      <c r="M373" s="486"/>
      <c r="N373" s="485"/>
    </row>
    <row r="374" spans="1:14" s="467" customFormat="1">
      <c r="A374" s="465"/>
      <c r="B374" s="529" t="s">
        <v>1518</v>
      </c>
      <c r="C374" s="530">
        <v>50000000</v>
      </c>
      <c r="D374" s="530">
        <v>50183013.698630139</v>
      </c>
      <c r="E374" s="530">
        <v>50000000</v>
      </c>
      <c r="F374" s="530">
        <v>50183013.698630139</v>
      </c>
      <c r="G374" s="531"/>
      <c r="I374" s="468"/>
      <c r="L374" s="485"/>
      <c r="M374" s="486"/>
      <c r="N374" s="485"/>
    </row>
    <row r="375" spans="1:14" s="467" customFormat="1">
      <c r="A375" s="465"/>
      <c r="B375" s="529" t="s">
        <v>1377</v>
      </c>
      <c r="C375" s="530">
        <v>50210333.333333336</v>
      </c>
      <c r="D375" s="530">
        <v>50496575.342465758</v>
      </c>
      <c r="E375" s="530">
        <v>50000000</v>
      </c>
      <c r="F375" s="530">
        <v>50496575.342465758</v>
      </c>
      <c r="I375" s="468"/>
      <c r="L375" s="485"/>
      <c r="M375" s="486"/>
      <c r="N375" s="485"/>
    </row>
    <row r="376" spans="1:14" s="467" customFormat="1">
      <c r="A376" s="465"/>
      <c r="B376" s="529" t="s">
        <v>1377</v>
      </c>
      <c r="C376" s="530">
        <v>50210333.333333336</v>
      </c>
      <c r="D376" s="530">
        <v>50496575.342465758</v>
      </c>
      <c r="E376" s="530">
        <v>50000000</v>
      </c>
      <c r="F376" s="530">
        <v>50496575.342465758</v>
      </c>
      <c r="I376" s="468"/>
      <c r="L376" s="485"/>
      <c r="M376" s="486"/>
      <c r="N376" s="485"/>
    </row>
    <row r="377" spans="1:14" s="467" customFormat="1">
      <c r="A377" s="465"/>
      <c r="B377" s="529" t="s">
        <v>1377</v>
      </c>
      <c r="C377" s="530">
        <v>50210333.333333336</v>
      </c>
      <c r="D377" s="530">
        <v>50496575.342465758</v>
      </c>
      <c r="E377" s="530">
        <v>50000000</v>
      </c>
      <c r="F377" s="530">
        <v>50496575.342465758</v>
      </c>
      <c r="I377" s="468"/>
      <c r="L377" s="485"/>
      <c r="M377" s="486"/>
      <c r="N377" s="485"/>
    </row>
    <row r="378" spans="1:14" s="467" customFormat="1">
      <c r="A378" s="465"/>
      <c r="B378" s="529" t="s">
        <v>576</v>
      </c>
      <c r="C378" s="530">
        <v>103059104.19677973</v>
      </c>
      <c r="D378" s="530">
        <v>108069987.22606164</v>
      </c>
      <c r="E378" s="530">
        <v>103017205</v>
      </c>
      <c r="F378" s="530">
        <v>108069987.22606164</v>
      </c>
      <c r="I378" s="468"/>
      <c r="L378" s="485"/>
      <c r="M378" s="486"/>
      <c r="N378" s="485"/>
    </row>
    <row r="379" spans="1:14" s="467" customFormat="1">
      <c r="A379" s="465"/>
      <c r="B379" s="529" t="s">
        <v>576</v>
      </c>
      <c r="C379" s="530">
        <v>61000000</v>
      </c>
      <c r="D379" s="530">
        <v>62412191.780821927</v>
      </c>
      <c r="E379" s="530">
        <v>61000000</v>
      </c>
      <c r="F379" s="530">
        <v>62412191.780821927</v>
      </c>
      <c r="I379" s="468"/>
      <c r="L379" s="485"/>
      <c r="M379" s="486"/>
      <c r="N379" s="485"/>
    </row>
    <row r="380" spans="1:14" s="467" customFormat="1">
      <c r="A380" s="465"/>
      <c r="B380" s="529" t="s">
        <v>576</v>
      </c>
      <c r="C380" s="530">
        <v>250136986.30136988</v>
      </c>
      <c r="D380" s="530">
        <v>255921232.87671235</v>
      </c>
      <c r="E380" s="530">
        <v>250000000</v>
      </c>
      <c r="F380" s="530">
        <v>255921232.87671235</v>
      </c>
      <c r="I380" s="468"/>
      <c r="L380" s="485"/>
      <c r="M380" s="486"/>
      <c r="N380" s="485"/>
    </row>
    <row r="381" spans="1:14" s="467" customFormat="1">
      <c r="A381" s="465"/>
      <c r="B381" s="529" t="s">
        <v>576</v>
      </c>
      <c r="C381" s="530">
        <v>250136986.30136988</v>
      </c>
      <c r="D381" s="530">
        <v>256054794.52054796</v>
      </c>
      <c r="E381" s="530">
        <v>250000000</v>
      </c>
      <c r="F381" s="530">
        <v>256054794.52054796</v>
      </c>
      <c r="I381" s="468"/>
      <c r="L381" s="485"/>
      <c r="M381" s="486"/>
      <c r="N381" s="485"/>
    </row>
    <row r="382" spans="1:14" s="467" customFormat="1">
      <c r="A382" s="465"/>
      <c r="B382" s="529" t="s">
        <v>576</v>
      </c>
      <c r="C382" s="530">
        <v>250136986.30136988</v>
      </c>
      <c r="D382" s="530">
        <v>255921232.87671235</v>
      </c>
      <c r="E382" s="530">
        <v>250000000</v>
      </c>
      <c r="F382" s="530">
        <v>255921232.87671235</v>
      </c>
      <c r="I382" s="468"/>
      <c r="L382" s="485"/>
      <c r="M382" s="486"/>
      <c r="N382" s="485"/>
    </row>
    <row r="383" spans="1:14" s="467" customFormat="1">
      <c r="A383" s="465"/>
      <c r="B383" s="529" t="s">
        <v>576</v>
      </c>
      <c r="C383" s="530">
        <v>250136986.30136988</v>
      </c>
      <c r="D383" s="530">
        <v>256184931.50684935</v>
      </c>
      <c r="E383" s="530">
        <v>250000000</v>
      </c>
      <c r="F383" s="530">
        <v>256184931.50684935</v>
      </c>
      <c r="I383" s="468"/>
      <c r="L383" s="485"/>
      <c r="M383" s="486"/>
      <c r="N383" s="485"/>
    </row>
    <row r="384" spans="1:14" s="467" customFormat="1">
      <c r="A384" s="465"/>
      <c r="B384" s="529" t="s">
        <v>576</v>
      </c>
      <c r="C384" s="530">
        <v>250136986.30136988</v>
      </c>
      <c r="D384" s="530">
        <v>256184931.50684935</v>
      </c>
      <c r="E384" s="530">
        <v>250000000</v>
      </c>
      <c r="F384" s="530">
        <v>256184931.50684935</v>
      </c>
      <c r="I384" s="468"/>
      <c r="L384" s="485"/>
      <c r="M384" s="486"/>
      <c r="N384" s="485"/>
    </row>
    <row r="385" spans="1:14" s="467" customFormat="1">
      <c r="A385" s="465"/>
      <c r="B385" s="529" t="s">
        <v>576</v>
      </c>
      <c r="C385" s="530">
        <v>250136986.30136988</v>
      </c>
      <c r="D385" s="530">
        <v>256184931.50684935</v>
      </c>
      <c r="E385" s="530">
        <v>250000000</v>
      </c>
      <c r="F385" s="530">
        <v>256184931.50684935</v>
      </c>
      <c r="I385" s="468"/>
      <c r="L385" s="485"/>
      <c r="M385" s="486"/>
      <c r="N385" s="485"/>
    </row>
    <row r="386" spans="1:14" s="467" customFormat="1">
      <c r="A386" s="465"/>
      <c r="B386" s="529" t="s">
        <v>576</v>
      </c>
      <c r="C386" s="530">
        <v>250136986.30136988</v>
      </c>
      <c r="D386" s="530">
        <v>256184931.50684935</v>
      </c>
      <c r="E386" s="530">
        <v>250000000</v>
      </c>
      <c r="F386" s="530">
        <v>256184931.50684935</v>
      </c>
      <c r="I386" s="468"/>
      <c r="L386" s="485"/>
      <c r="M386" s="486"/>
      <c r="N386" s="485"/>
    </row>
    <row r="387" spans="1:14" s="467" customFormat="1">
      <c r="A387" s="465"/>
      <c r="B387" s="529" t="s">
        <v>576</v>
      </c>
      <c r="C387" s="530">
        <v>250136986.30136988</v>
      </c>
      <c r="D387" s="530">
        <v>256184931.50684935</v>
      </c>
      <c r="E387" s="530">
        <v>250000000</v>
      </c>
      <c r="F387" s="530">
        <v>256184931.50684935</v>
      </c>
      <c r="I387" s="468"/>
      <c r="L387" s="485"/>
      <c r="M387" s="486"/>
      <c r="N387" s="485"/>
    </row>
    <row r="388" spans="1:14" s="467" customFormat="1">
      <c r="A388" s="465"/>
      <c r="B388" s="529" t="s">
        <v>576</v>
      </c>
      <c r="C388" s="530">
        <v>250136986.30136988</v>
      </c>
      <c r="D388" s="530">
        <v>256184931.50684935</v>
      </c>
      <c r="E388" s="530">
        <v>250000000</v>
      </c>
      <c r="F388" s="530">
        <v>256184931.50684935</v>
      </c>
      <c r="G388" s="532"/>
      <c r="I388" s="468"/>
      <c r="L388" s="485"/>
      <c r="M388" s="486"/>
      <c r="N388" s="485"/>
    </row>
    <row r="389" spans="1:14" s="467" customFormat="1">
      <c r="A389" s="465"/>
      <c r="B389" s="529" t="s">
        <v>576</v>
      </c>
      <c r="C389" s="530">
        <v>250136986.30136988</v>
      </c>
      <c r="D389" s="530">
        <v>256232876.71232879</v>
      </c>
      <c r="E389" s="530">
        <v>250000000</v>
      </c>
      <c r="F389" s="530">
        <v>256232876.71232879</v>
      </c>
      <c r="G389" s="532"/>
      <c r="I389" s="468"/>
      <c r="L389" s="485"/>
      <c r="M389" s="486"/>
      <c r="N389" s="485"/>
    </row>
    <row r="390" spans="1:14" s="467" customFormat="1">
      <c r="A390" s="465"/>
      <c r="B390" s="529" t="s">
        <v>576</v>
      </c>
      <c r="C390" s="530">
        <v>250136986.30136988</v>
      </c>
      <c r="D390" s="530">
        <v>256232876.71232879</v>
      </c>
      <c r="E390" s="530">
        <v>250000000</v>
      </c>
      <c r="F390" s="530">
        <v>256232876.71232879</v>
      </c>
      <c r="G390" s="532"/>
      <c r="I390" s="468"/>
      <c r="L390" s="485"/>
      <c r="M390" s="486"/>
      <c r="N390" s="485"/>
    </row>
    <row r="391" spans="1:14" s="467" customFormat="1">
      <c r="A391" s="465"/>
      <c r="B391" s="529" t="s">
        <v>576</v>
      </c>
      <c r="C391" s="530">
        <v>250136986.30136988</v>
      </c>
      <c r="D391" s="530">
        <v>256232876.71232879</v>
      </c>
      <c r="E391" s="530">
        <v>250000000</v>
      </c>
      <c r="F391" s="530">
        <v>256232876.71232879</v>
      </c>
      <c r="G391" s="532"/>
      <c r="I391" s="468"/>
      <c r="L391" s="485"/>
      <c r="M391" s="486"/>
      <c r="N391" s="485"/>
    </row>
    <row r="392" spans="1:14" s="467" customFormat="1">
      <c r="A392" s="465"/>
      <c r="B392" s="529" t="s">
        <v>576</v>
      </c>
      <c r="C392" s="530">
        <v>100000000</v>
      </c>
      <c r="D392" s="530">
        <v>102546575.34246576</v>
      </c>
      <c r="E392" s="530">
        <v>100000000</v>
      </c>
      <c r="F392" s="530">
        <v>102546575.34246576</v>
      </c>
      <c r="G392" s="532"/>
      <c r="I392" s="468"/>
      <c r="L392" s="485"/>
      <c r="M392" s="486"/>
      <c r="N392" s="485"/>
    </row>
    <row r="393" spans="1:14" s="467" customFormat="1">
      <c r="A393" s="465"/>
      <c r="B393" s="529" t="s">
        <v>576</v>
      </c>
      <c r="C393" s="530">
        <v>100000000</v>
      </c>
      <c r="D393" s="530">
        <v>102546575.34246576</v>
      </c>
      <c r="E393" s="530">
        <v>100000000</v>
      </c>
      <c r="F393" s="530">
        <v>102546575.34246576</v>
      </c>
      <c r="G393" s="532"/>
      <c r="I393" s="468"/>
      <c r="L393" s="485"/>
      <c r="M393" s="486"/>
      <c r="N393" s="485"/>
    </row>
    <row r="394" spans="1:14" s="467" customFormat="1">
      <c r="A394" s="465"/>
      <c r="B394" s="529" t="s">
        <v>576</v>
      </c>
      <c r="C394" s="530">
        <v>100000000</v>
      </c>
      <c r="D394" s="530">
        <v>102546575.34246576</v>
      </c>
      <c r="E394" s="530">
        <v>100000000</v>
      </c>
      <c r="F394" s="530">
        <v>102546575.34246576</v>
      </c>
      <c r="G394" s="532"/>
      <c r="I394" s="468"/>
      <c r="L394" s="485"/>
      <c r="M394" s="486"/>
      <c r="N394" s="485"/>
    </row>
    <row r="395" spans="1:14" s="467" customFormat="1">
      <c r="A395" s="465"/>
      <c r="B395" s="529" t="s">
        <v>576</v>
      </c>
      <c r="C395" s="530">
        <v>100000000</v>
      </c>
      <c r="D395" s="530">
        <v>102546575.34246576</v>
      </c>
      <c r="E395" s="530">
        <v>100000000</v>
      </c>
      <c r="F395" s="530">
        <v>102546575.34246576</v>
      </c>
      <c r="G395" s="532"/>
      <c r="I395" s="468"/>
      <c r="L395" s="485"/>
      <c r="M395" s="486"/>
      <c r="N395" s="485"/>
    </row>
    <row r="396" spans="1:14" s="467" customFormat="1">
      <c r="A396" s="465"/>
      <c r="B396" s="529" t="s">
        <v>576</v>
      </c>
      <c r="C396" s="530">
        <v>5003835.6164383562</v>
      </c>
      <c r="D396" s="530">
        <v>5123767.1232876703</v>
      </c>
      <c r="E396" s="530">
        <v>5000000</v>
      </c>
      <c r="F396" s="530">
        <v>5123767.1232876703</v>
      </c>
      <c r="G396" s="532"/>
      <c r="I396" s="468"/>
      <c r="L396" s="485"/>
      <c r="M396" s="486"/>
      <c r="N396" s="485"/>
    </row>
    <row r="397" spans="1:14" s="467" customFormat="1">
      <c r="A397" s="465"/>
      <c r="B397" s="529" t="s">
        <v>576</v>
      </c>
      <c r="C397" s="530">
        <v>25019178.08219178</v>
      </c>
      <c r="D397" s="530">
        <v>25609931.506849315</v>
      </c>
      <c r="E397" s="530">
        <v>25000000</v>
      </c>
      <c r="F397" s="530">
        <v>25609931.506849315</v>
      </c>
      <c r="G397" s="532"/>
      <c r="I397" s="468"/>
      <c r="L397" s="485"/>
      <c r="M397" s="486"/>
      <c r="N397" s="485"/>
    </row>
    <row r="398" spans="1:14" s="467" customFormat="1">
      <c r="A398" s="465"/>
      <c r="B398" s="529" t="s">
        <v>576</v>
      </c>
      <c r="C398" s="530">
        <v>50038356.164383598</v>
      </c>
      <c r="D398" s="530">
        <v>51193150.684931509</v>
      </c>
      <c r="E398" s="530">
        <v>50000000</v>
      </c>
      <c r="F398" s="530">
        <v>51193150.684931509</v>
      </c>
      <c r="G398" s="532"/>
      <c r="I398" s="468"/>
      <c r="L398" s="485"/>
      <c r="M398" s="486"/>
      <c r="N398" s="485"/>
    </row>
    <row r="399" spans="1:14" s="467" customFormat="1">
      <c r="A399" s="465"/>
      <c r="B399" s="529" t="s">
        <v>576</v>
      </c>
      <c r="C399" s="530">
        <v>80061369.8630137</v>
      </c>
      <c r="D399" s="530">
        <v>82023013.698630139</v>
      </c>
      <c r="E399" s="530">
        <v>80000000</v>
      </c>
      <c r="F399" s="530">
        <v>82023013.698630139</v>
      </c>
      <c r="G399" s="532"/>
      <c r="I399" s="468"/>
      <c r="L399" s="485"/>
      <c r="M399" s="486"/>
      <c r="N399" s="485"/>
    </row>
    <row r="400" spans="1:14" s="467" customFormat="1">
      <c r="A400" s="465"/>
      <c r="B400" s="529" t="s">
        <v>576</v>
      </c>
      <c r="C400" s="530">
        <v>81762673.97260274</v>
      </c>
      <c r="D400" s="530">
        <v>83780552.05479452</v>
      </c>
      <c r="E400" s="530">
        <v>81700000</v>
      </c>
      <c r="F400" s="530">
        <v>83780552.05479452</v>
      </c>
      <c r="G400" s="532"/>
      <c r="I400" s="468"/>
      <c r="L400" s="485"/>
      <c r="M400" s="486"/>
      <c r="N400" s="485"/>
    </row>
    <row r="401" spans="1:14" s="467" customFormat="1">
      <c r="A401" s="465"/>
      <c r="B401" s="529" t="s">
        <v>576</v>
      </c>
      <c r="C401" s="530">
        <v>100076712.32876712</v>
      </c>
      <c r="D401" s="530">
        <v>102546575.34246576</v>
      </c>
      <c r="E401" s="530">
        <v>100000000</v>
      </c>
      <c r="F401" s="530">
        <v>102546575.34246576</v>
      </c>
      <c r="G401" s="532"/>
      <c r="I401" s="468"/>
      <c r="L401" s="485"/>
      <c r="M401" s="486"/>
      <c r="N401" s="485"/>
    </row>
    <row r="402" spans="1:14" s="467" customFormat="1">
      <c r="A402" s="465"/>
      <c r="B402" s="529" t="s">
        <v>576</v>
      </c>
      <c r="C402" s="530">
        <v>100076712.32876712</v>
      </c>
      <c r="D402" s="530">
        <v>102439726.02739726</v>
      </c>
      <c r="E402" s="530">
        <v>100000000</v>
      </c>
      <c r="F402" s="530">
        <v>102439726.02739726</v>
      </c>
      <c r="G402" s="532"/>
      <c r="I402" s="468"/>
      <c r="L402" s="485"/>
      <c r="M402" s="486"/>
      <c r="N402" s="485"/>
    </row>
    <row r="403" spans="1:14" s="467" customFormat="1">
      <c r="A403" s="465"/>
      <c r="B403" s="529" t="s">
        <v>576</v>
      </c>
      <c r="C403" s="530">
        <v>103779550.6849315</v>
      </c>
      <c r="D403" s="530">
        <v>106156127.39726028</v>
      </c>
      <c r="E403" s="530">
        <v>103700000</v>
      </c>
      <c r="F403" s="530">
        <v>106156127.39726028</v>
      </c>
      <c r="G403" s="532"/>
      <c r="I403" s="468"/>
      <c r="L403" s="485"/>
      <c r="M403" s="486"/>
      <c r="N403" s="485"/>
    </row>
    <row r="404" spans="1:14" s="467" customFormat="1">
      <c r="A404" s="465"/>
      <c r="B404" s="529" t="s">
        <v>576</v>
      </c>
      <c r="C404" s="530">
        <v>115088219.1780822</v>
      </c>
      <c r="D404" s="530">
        <v>117764726.02739725</v>
      </c>
      <c r="E404" s="530">
        <v>115000000</v>
      </c>
      <c r="F404" s="530">
        <v>117764726.02739725</v>
      </c>
      <c r="G404" s="532"/>
      <c r="I404" s="468"/>
      <c r="L404" s="485"/>
      <c r="M404" s="486"/>
      <c r="N404" s="485"/>
    </row>
    <row r="405" spans="1:14" s="467" customFormat="1">
      <c r="A405" s="465"/>
      <c r="B405" s="529" t="s">
        <v>576</v>
      </c>
      <c r="C405" s="530">
        <v>115088219.1780822</v>
      </c>
      <c r="D405" s="530">
        <v>117764726.02739725</v>
      </c>
      <c r="E405" s="530">
        <v>115000000</v>
      </c>
      <c r="F405" s="530">
        <v>117764726.02739725</v>
      </c>
      <c r="G405" s="532"/>
      <c r="I405" s="468"/>
      <c r="L405" s="485"/>
      <c r="M405" s="486"/>
      <c r="N405" s="485"/>
    </row>
    <row r="406" spans="1:14" s="467" customFormat="1">
      <c r="A406" s="465"/>
      <c r="B406" s="529" t="s">
        <v>576</v>
      </c>
      <c r="C406" s="530">
        <v>132701720.5479452</v>
      </c>
      <c r="D406" s="530">
        <v>135315575.34246576</v>
      </c>
      <c r="E406" s="530">
        <v>132600000</v>
      </c>
      <c r="F406" s="530">
        <v>135315575.34246576</v>
      </c>
      <c r="G406" s="532"/>
      <c r="I406" s="468"/>
      <c r="L406" s="485"/>
      <c r="M406" s="486"/>
      <c r="N406" s="485"/>
    </row>
    <row r="407" spans="1:14" s="467" customFormat="1">
      <c r="A407" s="465"/>
      <c r="B407" s="529" t="s">
        <v>576</v>
      </c>
      <c r="C407" s="530">
        <v>140107397.26027396</v>
      </c>
      <c r="D407" s="530">
        <v>143340821.9178082</v>
      </c>
      <c r="E407" s="530">
        <v>140000000</v>
      </c>
      <c r="F407" s="530">
        <v>143340821.9178082</v>
      </c>
      <c r="G407" s="532"/>
      <c r="I407" s="468"/>
      <c r="L407" s="485"/>
      <c r="M407" s="486"/>
      <c r="N407" s="485"/>
    </row>
    <row r="408" spans="1:14" s="467" customFormat="1">
      <c r="A408" s="465"/>
      <c r="B408" s="529" t="s">
        <v>576</v>
      </c>
      <c r="C408" s="530">
        <v>160122739.7260274</v>
      </c>
      <c r="D408" s="530">
        <v>163818082.19178081</v>
      </c>
      <c r="E408" s="530">
        <v>160000000</v>
      </c>
      <c r="F408" s="530">
        <v>163818082.19178081</v>
      </c>
      <c r="G408" s="532"/>
      <c r="I408" s="468"/>
      <c r="L408" s="485"/>
      <c r="M408" s="486"/>
      <c r="N408" s="485"/>
    </row>
    <row r="409" spans="1:14" s="467" customFormat="1">
      <c r="A409" s="465"/>
      <c r="B409" s="529" t="s">
        <v>576</v>
      </c>
      <c r="C409" s="530">
        <v>200153424.65753424</v>
      </c>
      <c r="D409" s="530">
        <v>204736986.30136988</v>
      </c>
      <c r="E409" s="530">
        <v>200000000</v>
      </c>
      <c r="F409" s="530">
        <v>204736986.30136988</v>
      </c>
      <c r="G409" s="532"/>
      <c r="I409" s="468"/>
      <c r="L409" s="485"/>
      <c r="M409" s="486"/>
      <c r="N409" s="485"/>
    </row>
    <row r="410" spans="1:14" s="467" customFormat="1">
      <c r="A410" s="465"/>
      <c r="B410" s="529" t="s">
        <v>576</v>
      </c>
      <c r="C410" s="530">
        <v>200153424.65753424</v>
      </c>
      <c r="D410" s="530">
        <v>204736986.30136988</v>
      </c>
      <c r="E410" s="530">
        <v>200000000</v>
      </c>
      <c r="F410" s="530">
        <v>204736986.30136988</v>
      </c>
      <c r="G410" s="532"/>
      <c r="I410" s="468"/>
      <c r="L410" s="485"/>
      <c r="M410" s="486"/>
      <c r="N410" s="485"/>
    </row>
    <row r="411" spans="1:14" s="467" customFormat="1">
      <c r="A411" s="465"/>
      <c r="B411" s="529" t="s">
        <v>576</v>
      </c>
      <c r="C411" s="530">
        <v>200153424.65753424</v>
      </c>
      <c r="D411" s="530">
        <v>204772602.73972604</v>
      </c>
      <c r="E411" s="530">
        <v>200000000</v>
      </c>
      <c r="F411" s="530">
        <v>204772602.73972604</v>
      </c>
      <c r="G411" s="532"/>
      <c r="I411" s="468"/>
      <c r="L411" s="485"/>
      <c r="M411" s="486"/>
      <c r="N411" s="485"/>
    </row>
    <row r="412" spans="1:14" s="467" customFormat="1">
      <c r="A412" s="465"/>
      <c r="B412" s="529" t="s">
        <v>576</v>
      </c>
      <c r="C412" s="530">
        <v>200153424.65753424</v>
      </c>
      <c r="D412" s="530">
        <v>204772602.73972604</v>
      </c>
      <c r="E412" s="530">
        <v>200000000</v>
      </c>
      <c r="F412" s="530">
        <v>204772602.73972604</v>
      </c>
      <c r="G412" s="532"/>
      <c r="I412" s="468"/>
      <c r="L412" s="485"/>
      <c r="M412" s="486"/>
      <c r="N412" s="485"/>
    </row>
    <row r="413" spans="1:14" s="467" customFormat="1">
      <c r="A413" s="465"/>
      <c r="B413" s="529" t="s">
        <v>576</v>
      </c>
      <c r="C413" s="530">
        <v>230176438.3561644</v>
      </c>
      <c r="D413" s="530">
        <v>235857123.28767121</v>
      </c>
      <c r="E413" s="530">
        <v>230000000</v>
      </c>
      <c r="F413" s="530">
        <v>235857123.28767121</v>
      </c>
      <c r="G413" s="532"/>
      <c r="I413" s="468"/>
      <c r="L413" s="485"/>
      <c r="M413" s="486"/>
      <c r="N413" s="485"/>
    </row>
    <row r="414" spans="1:14" s="467" customFormat="1">
      <c r="A414" s="465"/>
      <c r="B414" s="529" t="s">
        <v>576</v>
      </c>
      <c r="C414" s="530">
        <v>230176438.3561644</v>
      </c>
      <c r="D414" s="530">
        <v>235488493.15068489</v>
      </c>
      <c r="E414" s="530">
        <v>230000000</v>
      </c>
      <c r="F414" s="530">
        <v>235488493.15068489</v>
      </c>
      <c r="G414" s="532"/>
      <c r="I414" s="468"/>
      <c r="L414" s="485"/>
      <c r="M414" s="486"/>
      <c r="N414" s="485"/>
    </row>
    <row r="415" spans="1:14" s="467" customFormat="1">
      <c r="A415" s="465"/>
      <c r="B415" s="529" t="s">
        <v>576</v>
      </c>
      <c r="C415" s="530">
        <v>250191780.8219178</v>
      </c>
      <c r="D415" s="530">
        <v>256232876.71232879</v>
      </c>
      <c r="E415" s="530">
        <v>250000000</v>
      </c>
      <c r="F415" s="530">
        <v>256232876.71232879</v>
      </c>
      <c r="G415" s="532"/>
      <c r="I415" s="468"/>
      <c r="L415" s="485"/>
      <c r="M415" s="486"/>
      <c r="N415" s="485"/>
    </row>
    <row r="416" spans="1:14" s="467" customFormat="1">
      <c r="A416" s="465"/>
      <c r="B416" s="529" t="s">
        <v>576</v>
      </c>
      <c r="C416" s="530">
        <v>300230136.98630136</v>
      </c>
      <c r="D416" s="530">
        <v>307158904.10958904</v>
      </c>
      <c r="E416" s="530">
        <v>300000000</v>
      </c>
      <c r="F416" s="530">
        <v>307158904.10958904</v>
      </c>
      <c r="G416" s="532"/>
      <c r="I416" s="468"/>
      <c r="L416" s="485"/>
      <c r="M416" s="486"/>
      <c r="N416" s="485"/>
    </row>
    <row r="417" spans="1:14" s="467" customFormat="1">
      <c r="A417" s="465"/>
      <c r="B417" s="529" t="s">
        <v>576</v>
      </c>
      <c r="C417" s="530">
        <v>124181070</v>
      </c>
      <c r="D417" s="530">
        <v>125273972.84931506</v>
      </c>
      <c r="E417" s="530">
        <v>125000000</v>
      </c>
      <c r="F417" s="530">
        <v>125273972.84931506</v>
      </c>
      <c r="G417" s="532"/>
      <c r="I417" s="468"/>
      <c r="L417" s="485"/>
      <c r="M417" s="486"/>
      <c r="N417" s="485"/>
    </row>
    <row r="418" spans="1:14" s="467" customFormat="1">
      <c r="A418" s="465"/>
      <c r="B418" s="529" t="s">
        <v>576</v>
      </c>
      <c r="C418" s="530">
        <v>111999999.9999994</v>
      </c>
      <c r="D418" s="530">
        <v>101121917.80821918</v>
      </c>
      <c r="E418" s="530">
        <v>100000000</v>
      </c>
      <c r="F418" s="530">
        <v>101121917.80821918</v>
      </c>
      <c r="G418" s="532"/>
      <c r="I418" s="468"/>
      <c r="L418" s="485"/>
      <c r="M418" s="486"/>
      <c r="N418" s="485"/>
    </row>
    <row r="419" spans="1:14" s="467" customFormat="1">
      <c r="A419" s="465"/>
      <c r="B419" s="529" t="s">
        <v>576</v>
      </c>
      <c r="C419" s="530">
        <v>149999999.99999997</v>
      </c>
      <c r="D419" s="530">
        <v>150774657.39726025</v>
      </c>
      <c r="E419" s="530">
        <v>149999999.99999997</v>
      </c>
      <c r="F419" s="530">
        <v>150774657.39726025</v>
      </c>
      <c r="G419" s="532"/>
      <c r="I419" s="468"/>
      <c r="L419" s="485"/>
      <c r="M419" s="486"/>
      <c r="N419" s="485"/>
    </row>
    <row r="420" spans="1:14" s="467" customFormat="1">
      <c r="A420" s="465"/>
      <c r="B420" s="529" t="s">
        <v>576</v>
      </c>
      <c r="C420" s="530">
        <v>195635135</v>
      </c>
      <c r="D420" s="530">
        <v>202823013.69863012</v>
      </c>
      <c r="E420" s="530">
        <v>200000000</v>
      </c>
      <c r="F420" s="530">
        <v>202823013.69863012</v>
      </c>
      <c r="G420" s="532"/>
      <c r="I420" s="468"/>
      <c r="L420" s="485"/>
      <c r="M420" s="486"/>
      <c r="N420" s="485"/>
    </row>
    <row r="421" spans="1:14" s="467" customFormat="1">
      <c r="A421" s="465"/>
      <c r="B421" s="529" t="s">
        <v>576</v>
      </c>
      <c r="C421" s="530">
        <v>870000000</v>
      </c>
      <c r="D421" s="530">
        <v>865835616.43835616</v>
      </c>
      <c r="E421" s="530">
        <v>850000000</v>
      </c>
      <c r="F421" s="530">
        <v>865835616.43835616</v>
      </c>
      <c r="G421" s="532"/>
      <c r="I421" s="468"/>
      <c r="L421" s="485"/>
      <c r="M421" s="486"/>
      <c r="N421" s="485"/>
    </row>
    <row r="422" spans="1:14" s="467" customFormat="1">
      <c r="A422" s="465"/>
      <c r="B422" s="529" t="s">
        <v>1521</v>
      </c>
      <c r="C422" s="530">
        <v>1018238036</v>
      </c>
      <c r="D422" s="530">
        <v>1041238313.2602742</v>
      </c>
      <c r="E422" s="530">
        <v>1030621500.0000001</v>
      </c>
      <c r="F422" s="530">
        <v>1041238313.2602742</v>
      </c>
      <c r="G422" s="532"/>
      <c r="I422" s="468"/>
      <c r="L422" s="485"/>
      <c r="M422" s="486"/>
      <c r="N422" s="485"/>
    </row>
    <row r="423" spans="1:14" s="467" customFormat="1">
      <c r="A423" s="465"/>
      <c r="B423" s="529" t="s">
        <v>1522</v>
      </c>
      <c r="C423" s="530">
        <v>5004588</v>
      </c>
      <c r="D423" s="530">
        <v>5027123.2876712326</v>
      </c>
      <c r="E423" s="530">
        <v>1000000</v>
      </c>
      <c r="F423" s="530">
        <v>5047340</v>
      </c>
      <c r="G423" s="532"/>
      <c r="I423" s="468"/>
      <c r="L423" s="485"/>
      <c r="M423" s="486"/>
      <c r="N423" s="485"/>
    </row>
    <row r="424" spans="1:14" s="467" customFormat="1">
      <c r="A424" s="465"/>
      <c r="B424" s="529" t="s">
        <v>1522</v>
      </c>
      <c r="C424" s="530">
        <v>197284123</v>
      </c>
      <c r="D424" s="530">
        <v>200422619.1780822</v>
      </c>
      <c r="E424" s="530">
        <v>1000000</v>
      </c>
      <c r="F424" s="530">
        <v>200270056.00000003</v>
      </c>
      <c r="G424" s="532"/>
      <c r="I424" s="468"/>
      <c r="L424" s="485"/>
      <c r="M424" s="486"/>
      <c r="N424" s="485"/>
    </row>
    <row r="425" spans="1:14" s="467" customFormat="1">
      <c r="A425" s="465"/>
      <c r="B425" s="529" t="s">
        <v>1522</v>
      </c>
      <c r="C425" s="530">
        <v>151599976</v>
      </c>
      <c r="D425" s="530">
        <v>149712000</v>
      </c>
      <c r="E425" s="530">
        <v>1000000</v>
      </c>
      <c r="F425" s="530">
        <v>154392956</v>
      </c>
      <c r="G425" s="532"/>
      <c r="I425" s="468"/>
      <c r="L425" s="485"/>
      <c r="M425" s="486"/>
      <c r="N425" s="485"/>
    </row>
    <row r="426" spans="1:14" s="467" customFormat="1">
      <c r="A426" s="465"/>
      <c r="B426" s="529" t="s">
        <v>1523</v>
      </c>
      <c r="C426" s="530">
        <v>210121112</v>
      </c>
      <c r="D426" s="530">
        <v>210362465.7534247</v>
      </c>
      <c r="E426" s="530">
        <v>1000000</v>
      </c>
      <c r="F426" s="530">
        <v>210627060</v>
      </c>
      <c r="G426" s="532"/>
      <c r="I426" s="468"/>
      <c r="L426" s="485"/>
      <c r="M426" s="486"/>
      <c r="N426" s="485"/>
    </row>
    <row r="427" spans="1:14" s="467" customFormat="1">
      <c r="A427" s="465"/>
      <c r="B427" s="529" t="s">
        <v>1524</v>
      </c>
      <c r="C427" s="530">
        <v>228461242</v>
      </c>
      <c r="D427" s="530">
        <v>205051952.05491793</v>
      </c>
      <c r="E427" s="530">
        <v>1000000</v>
      </c>
      <c r="F427" s="530">
        <v>207101865</v>
      </c>
      <c r="G427" s="532"/>
      <c r="I427" s="468"/>
      <c r="L427" s="485"/>
      <c r="M427" s="486"/>
      <c r="N427" s="485"/>
    </row>
    <row r="428" spans="1:14" s="467" customFormat="1">
      <c r="A428" s="465"/>
      <c r="B428" s="529" t="s">
        <v>1525</v>
      </c>
      <c r="C428" s="530">
        <v>9000000</v>
      </c>
      <c r="D428" s="530">
        <v>9073356.1643835623</v>
      </c>
      <c r="E428" s="530">
        <v>1000000</v>
      </c>
      <c r="F428" s="530">
        <v>9181971</v>
      </c>
      <c r="G428" s="532"/>
      <c r="I428" s="468"/>
      <c r="L428" s="485"/>
      <c r="M428" s="486"/>
      <c r="N428" s="485"/>
    </row>
    <row r="429" spans="1:14" s="467" customFormat="1">
      <c r="A429" s="465"/>
      <c r="B429" s="529" t="s">
        <v>1526</v>
      </c>
      <c r="C429" s="530">
        <v>1000000000</v>
      </c>
      <c r="D429" s="530">
        <v>1000838356.1643834</v>
      </c>
      <c r="E429" s="530">
        <v>1000000</v>
      </c>
      <c r="F429" s="530">
        <v>1004999999.9999999</v>
      </c>
      <c r="G429" s="532"/>
      <c r="I429" s="468"/>
      <c r="L429" s="485"/>
      <c r="M429" s="486"/>
      <c r="N429" s="485"/>
    </row>
    <row r="430" spans="1:14" s="467" customFormat="1">
      <c r="A430" s="465"/>
      <c r="B430" s="529" t="s">
        <v>1523</v>
      </c>
      <c r="C430" s="530">
        <v>852000000</v>
      </c>
      <c r="D430" s="530">
        <v>852640750.68493152</v>
      </c>
      <c r="E430" s="530">
        <v>1000000</v>
      </c>
      <c r="F430" s="530">
        <v>852426852.00000012</v>
      </c>
      <c r="G430" s="532"/>
      <c r="I430" s="468"/>
      <c r="L430" s="485"/>
      <c r="M430" s="486"/>
      <c r="N430" s="485"/>
    </row>
    <row r="431" spans="1:14" s="467" customFormat="1">
      <c r="A431" s="465"/>
      <c r="B431" s="529" t="s">
        <v>637</v>
      </c>
      <c r="C431" s="530">
        <v>103596500</v>
      </c>
      <c r="D431" s="530">
        <v>100233972.60273974</v>
      </c>
      <c r="E431" s="530">
        <v>1000000</v>
      </c>
      <c r="F431" s="530">
        <v>105558200</v>
      </c>
      <c r="G431" s="532"/>
      <c r="I431" s="468"/>
      <c r="L431" s="485"/>
      <c r="M431" s="486"/>
      <c r="N431" s="485"/>
    </row>
    <row r="432" spans="1:14" s="467" customFormat="1">
      <c r="A432" s="465"/>
      <c r="B432" s="529" t="s">
        <v>1272</v>
      </c>
      <c r="C432" s="530">
        <v>77009775</v>
      </c>
      <c r="D432" s="530">
        <v>76330110.228679761</v>
      </c>
      <c r="E432" s="530">
        <v>1000000</v>
      </c>
      <c r="F432" s="530">
        <v>77196074.999999985</v>
      </c>
      <c r="G432" s="532"/>
      <c r="I432" s="468"/>
      <c r="L432" s="485"/>
      <c r="M432" s="486"/>
      <c r="N432" s="485"/>
    </row>
    <row r="433" spans="1:14" s="467" customFormat="1">
      <c r="A433" s="465"/>
      <c r="B433" s="529" t="s">
        <v>1527</v>
      </c>
      <c r="C433" s="530">
        <v>69986560</v>
      </c>
      <c r="D433" s="530">
        <v>69795193.910958916</v>
      </c>
      <c r="E433" s="530">
        <v>6870810</v>
      </c>
      <c r="F433" s="530">
        <v>69395181</v>
      </c>
      <c r="G433" s="532"/>
      <c r="I433" s="468"/>
      <c r="L433" s="485"/>
      <c r="M433" s="486"/>
      <c r="N433" s="485"/>
    </row>
    <row r="434" spans="1:14" s="467" customFormat="1">
      <c r="A434" s="465"/>
      <c r="B434" s="794" t="s">
        <v>1714</v>
      </c>
      <c r="C434" s="530"/>
      <c r="D434" s="530"/>
      <c r="E434" s="530"/>
      <c r="F434" s="530"/>
      <c r="G434" s="532"/>
      <c r="I434" s="468"/>
      <c r="L434" s="485"/>
      <c r="M434" s="486"/>
      <c r="N434" s="485"/>
    </row>
    <row r="435" spans="1:14" s="467" customFormat="1">
      <c r="A435" s="465"/>
      <c r="B435" s="529" t="s">
        <v>1535</v>
      </c>
      <c r="C435" s="530">
        <v>0</v>
      </c>
      <c r="D435" s="530">
        <v>35095890.410958767</v>
      </c>
      <c r="E435" s="530">
        <v>0</v>
      </c>
      <c r="F435" s="530">
        <v>35095890.410958767</v>
      </c>
      <c r="G435" s="532"/>
      <c r="I435" s="468"/>
      <c r="L435" s="485"/>
      <c r="M435" s="486"/>
      <c r="N435" s="485"/>
    </row>
    <row r="436" spans="1:14" s="467" customFormat="1">
      <c r="A436" s="465"/>
      <c r="B436" s="529" t="s">
        <v>1524</v>
      </c>
      <c r="C436" s="530">
        <v>0</v>
      </c>
      <c r="D436" s="530">
        <v>115931506.84931421</v>
      </c>
      <c r="E436" s="530">
        <v>0</v>
      </c>
      <c r="F436" s="530">
        <v>115931506.84931421</v>
      </c>
      <c r="G436" s="532"/>
      <c r="I436" s="468"/>
      <c r="L436" s="485"/>
      <c r="M436" s="486"/>
      <c r="N436" s="485"/>
    </row>
    <row r="437" spans="1:14" s="467" customFormat="1">
      <c r="A437" s="465"/>
      <c r="B437" s="529" t="s">
        <v>1524</v>
      </c>
      <c r="C437" s="530">
        <v>0</v>
      </c>
      <c r="D437" s="530">
        <v>104400684.93150711</v>
      </c>
      <c r="E437" s="530">
        <v>0</v>
      </c>
      <c r="F437" s="530">
        <v>104400684.93150711</v>
      </c>
      <c r="G437" s="532"/>
      <c r="I437" s="468"/>
      <c r="L437" s="485"/>
      <c r="M437" s="486"/>
      <c r="N437" s="485"/>
    </row>
    <row r="438" spans="1:14" s="467" customFormat="1">
      <c r="A438" s="465"/>
      <c r="B438" s="529" t="s">
        <v>1534</v>
      </c>
      <c r="C438" s="530">
        <v>0</v>
      </c>
      <c r="D438" s="530">
        <v>44943342.465756416</v>
      </c>
      <c r="E438" s="530">
        <v>0</v>
      </c>
      <c r="F438" s="530">
        <v>44943342.465756416</v>
      </c>
      <c r="G438" s="532"/>
      <c r="I438" s="468"/>
      <c r="L438" s="485"/>
      <c r="M438" s="486"/>
      <c r="N438" s="485"/>
    </row>
    <row r="439" spans="1:14" s="467" customFormat="1">
      <c r="A439" s="465"/>
      <c r="B439" s="529" t="s">
        <v>1522</v>
      </c>
      <c r="C439" s="530">
        <v>0</v>
      </c>
      <c r="D439" s="530">
        <v>157950684.93151188</v>
      </c>
      <c r="E439" s="530">
        <v>0</v>
      </c>
      <c r="F439" s="530">
        <v>157950684.93151188</v>
      </c>
      <c r="G439" s="532"/>
      <c r="I439" s="468"/>
      <c r="L439" s="485"/>
      <c r="M439" s="486"/>
      <c r="N439" s="485"/>
    </row>
    <row r="440" spans="1:14" s="467" customFormat="1">
      <c r="A440" s="465"/>
      <c r="B440" s="529" t="s">
        <v>1523</v>
      </c>
      <c r="C440" s="530">
        <v>0</v>
      </c>
      <c r="D440" s="530">
        <v>1128082.1917808056</v>
      </c>
      <c r="E440" s="530">
        <v>0</v>
      </c>
      <c r="F440" s="530">
        <v>1128082.1917808056</v>
      </c>
      <c r="G440" s="532"/>
      <c r="I440" s="468"/>
      <c r="L440" s="485"/>
      <c r="M440" s="486"/>
      <c r="N440" s="485"/>
    </row>
    <row r="441" spans="1:14" s="467" customFormat="1">
      <c r="A441" s="465"/>
      <c r="B441" s="529" t="s">
        <v>1532</v>
      </c>
      <c r="C441" s="530">
        <v>0</v>
      </c>
      <c r="D441" s="530">
        <v>10404109.589041129</v>
      </c>
      <c r="E441" s="530">
        <v>0</v>
      </c>
      <c r="F441" s="530">
        <v>10404109.589041129</v>
      </c>
      <c r="G441" s="532"/>
      <c r="I441" s="468"/>
      <c r="L441" s="485"/>
      <c r="M441" s="486"/>
      <c r="N441" s="485"/>
    </row>
    <row r="442" spans="1:14" s="467" customFormat="1">
      <c r="A442" s="465"/>
      <c r="B442" s="529" t="s">
        <v>1532</v>
      </c>
      <c r="C442" s="530">
        <v>0</v>
      </c>
      <c r="D442" s="530">
        <v>10404109.589041129</v>
      </c>
      <c r="E442" s="530">
        <v>0</v>
      </c>
      <c r="F442" s="530">
        <v>10404109.589041129</v>
      </c>
      <c r="G442" s="532"/>
      <c r="I442" s="468"/>
      <c r="L442" s="485"/>
      <c r="M442" s="486"/>
      <c r="N442" s="485"/>
    </row>
    <row r="443" spans="1:14" s="467" customFormat="1">
      <c r="A443" s="465"/>
      <c r="B443" s="529" t="s">
        <v>1532</v>
      </c>
      <c r="C443" s="530">
        <v>0</v>
      </c>
      <c r="D443" s="530">
        <v>10404109.589041129</v>
      </c>
      <c r="E443" s="530">
        <v>0</v>
      </c>
      <c r="F443" s="530">
        <v>10404109.589041129</v>
      </c>
      <c r="G443" s="532"/>
      <c r="I443" s="468"/>
      <c r="L443" s="485"/>
      <c r="M443" s="486"/>
      <c r="N443" s="485"/>
    </row>
    <row r="444" spans="1:14" s="467" customFormat="1">
      <c r="A444" s="465"/>
      <c r="B444" s="529" t="s">
        <v>1532</v>
      </c>
      <c r="C444" s="530">
        <v>0</v>
      </c>
      <c r="D444" s="530">
        <v>10404109.589041129</v>
      </c>
      <c r="E444" s="530">
        <v>0</v>
      </c>
      <c r="F444" s="530">
        <v>10404109.589041129</v>
      </c>
      <c r="G444" s="532"/>
      <c r="I444" s="468"/>
      <c r="L444" s="485"/>
      <c r="M444" s="486"/>
      <c r="N444" s="485"/>
    </row>
    <row r="445" spans="1:14" s="467" customFormat="1">
      <c r="A445" s="465"/>
      <c r="B445" s="529" t="s">
        <v>1532</v>
      </c>
      <c r="C445" s="530">
        <v>0</v>
      </c>
      <c r="D445" s="530">
        <v>10404109.589041129</v>
      </c>
      <c r="E445" s="530">
        <v>0</v>
      </c>
      <c r="F445" s="530">
        <v>10404109.589041129</v>
      </c>
      <c r="G445" s="532"/>
      <c r="I445" s="468"/>
      <c r="L445" s="485"/>
      <c r="M445" s="486"/>
      <c r="N445" s="485"/>
    </row>
    <row r="446" spans="1:14" s="467" customFormat="1">
      <c r="A446" s="465"/>
      <c r="B446" s="529" t="s">
        <v>1532</v>
      </c>
      <c r="C446" s="530">
        <v>0</v>
      </c>
      <c r="D446" s="530">
        <v>10404109.589041129</v>
      </c>
      <c r="E446" s="530">
        <v>0</v>
      </c>
      <c r="F446" s="530">
        <v>10404109.589041129</v>
      </c>
      <c r="G446" s="532"/>
      <c r="I446" s="468"/>
      <c r="L446" s="485"/>
      <c r="M446" s="486"/>
      <c r="N446" s="485"/>
    </row>
    <row r="447" spans="1:14" s="467" customFormat="1">
      <c r="A447" s="465"/>
      <c r="B447" s="529" t="s">
        <v>1532</v>
      </c>
      <c r="C447" s="530">
        <v>0</v>
      </c>
      <c r="D447" s="530">
        <v>10404109.589041129</v>
      </c>
      <c r="E447" s="530">
        <v>0</v>
      </c>
      <c r="F447" s="530">
        <v>10404109.589041129</v>
      </c>
      <c r="G447" s="532"/>
      <c r="I447" s="468"/>
      <c r="L447" s="485"/>
      <c r="M447" s="486"/>
      <c r="N447" s="485"/>
    </row>
    <row r="448" spans="1:14" s="467" customFormat="1">
      <c r="A448" s="465"/>
      <c r="B448" s="529" t="s">
        <v>1532</v>
      </c>
      <c r="C448" s="530">
        <v>0</v>
      </c>
      <c r="D448" s="530">
        <v>10404109.589041129</v>
      </c>
      <c r="E448" s="530">
        <v>0</v>
      </c>
      <c r="F448" s="530">
        <v>10404109.589041129</v>
      </c>
      <c r="G448" s="532"/>
      <c r="I448" s="468"/>
      <c r="L448" s="485"/>
      <c r="M448" s="486"/>
      <c r="N448" s="485"/>
    </row>
    <row r="449" spans="1:14" s="467" customFormat="1">
      <c r="A449" s="465"/>
      <c r="B449" s="529" t="s">
        <v>1532</v>
      </c>
      <c r="C449" s="530">
        <v>0</v>
      </c>
      <c r="D449" s="530">
        <v>10404109.589041129</v>
      </c>
      <c r="E449" s="530">
        <v>0</v>
      </c>
      <c r="F449" s="530">
        <v>10404109.589041129</v>
      </c>
      <c r="G449" s="532"/>
      <c r="I449" s="468"/>
      <c r="L449" s="485"/>
      <c r="M449" s="486"/>
      <c r="N449" s="485"/>
    </row>
    <row r="450" spans="1:14" s="467" customFormat="1">
      <c r="A450" s="465"/>
      <c r="B450" s="529" t="s">
        <v>1532</v>
      </c>
      <c r="C450" s="530">
        <v>0</v>
      </c>
      <c r="D450" s="530">
        <v>10404109.589041129</v>
      </c>
      <c r="E450" s="530">
        <v>0</v>
      </c>
      <c r="F450" s="530">
        <v>10404109.589041129</v>
      </c>
      <c r="G450" s="532"/>
      <c r="I450" s="468"/>
      <c r="L450" s="485"/>
      <c r="M450" s="486"/>
      <c r="N450" s="485"/>
    </row>
    <row r="451" spans="1:14" s="467" customFormat="1">
      <c r="A451" s="465"/>
      <c r="B451" s="529" t="s">
        <v>1532</v>
      </c>
      <c r="C451" s="530">
        <v>0</v>
      </c>
      <c r="D451" s="530">
        <v>10404109.589041129</v>
      </c>
      <c r="E451" s="530">
        <v>0</v>
      </c>
      <c r="F451" s="530">
        <v>10404109.589041129</v>
      </c>
      <c r="G451" s="532"/>
      <c r="I451" s="468"/>
      <c r="L451" s="485"/>
      <c r="M451" s="486"/>
      <c r="N451" s="485"/>
    </row>
    <row r="452" spans="1:14" s="467" customFormat="1">
      <c r="A452" s="465"/>
      <c r="B452" s="529" t="s">
        <v>1532</v>
      </c>
      <c r="C452" s="530">
        <v>0</v>
      </c>
      <c r="D452" s="530">
        <v>10404109.589041129</v>
      </c>
      <c r="E452" s="530">
        <v>0</v>
      </c>
      <c r="F452" s="530">
        <v>10404109.589041129</v>
      </c>
      <c r="G452" s="532"/>
      <c r="I452" s="468"/>
      <c r="L452" s="485"/>
      <c r="M452" s="486"/>
      <c r="N452" s="485"/>
    </row>
    <row r="453" spans="1:14" s="467" customFormat="1">
      <c r="A453" s="465"/>
      <c r="B453" s="529" t="s">
        <v>1532</v>
      </c>
      <c r="C453" s="530">
        <v>0</v>
      </c>
      <c r="D453" s="530">
        <v>10404109.589041129</v>
      </c>
      <c r="E453" s="530">
        <v>0</v>
      </c>
      <c r="F453" s="530">
        <v>10404109.589041129</v>
      </c>
      <c r="G453" s="532"/>
      <c r="I453" s="468"/>
      <c r="L453" s="485"/>
      <c r="M453" s="486"/>
      <c r="N453" s="485"/>
    </row>
    <row r="454" spans="1:14" s="467" customFormat="1">
      <c r="A454" s="465"/>
      <c r="B454" s="529" t="s">
        <v>1532</v>
      </c>
      <c r="C454" s="530">
        <v>0</v>
      </c>
      <c r="D454" s="530">
        <v>10404109.589041129</v>
      </c>
      <c r="E454" s="530">
        <v>0</v>
      </c>
      <c r="F454" s="530">
        <v>10404109.589041129</v>
      </c>
      <c r="G454" s="532"/>
      <c r="I454" s="468"/>
      <c r="L454" s="485"/>
      <c r="M454" s="486"/>
      <c r="N454" s="485"/>
    </row>
    <row r="455" spans="1:14" s="467" customFormat="1">
      <c r="A455" s="465"/>
      <c r="B455" s="529" t="s">
        <v>1532</v>
      </c>
      <c r="C455" s="530">
        <v>0</v>
      </c>
      <c r="D455" s="530">
        <v>10404109.589041129</v>
      </c>
      <c r="E455" s="530">
        <v>0</v>
      </c>
      <c r="F455" s="530">
        <v>10404109.589041129</v>
      </c>
      <c r="G455" s="532"/>
      <c r="I455" s="468"/>
      <c r="L455" s="485"/>
      <c r="M455" s="486"/>
      <c r="N455" s="485"/>
    </row>
    <row r="456" spans="1:14" s="467" customFormat="1">
      <c r="A456" s="465"/>
      <c r="B456" s="529" t="s">
        <v>1532</v>
      </c>
      <c r="C456" s="530">
        <v>0</v>
      </c>
      <c r="D456" s="530">
        <v>10404109.589041129</v>
      </c>
      <c r="E456" s="530">
        <v>0</v>
      </c>
      <c r="F456" s="530">
        <v>10404109.589041129</v>
      </c>
      <c r="G456" s="532"/>
      <c r="I456" s="468"/>
      <c r="L456" s="485"/>
      <c r="M456" s="486"/>
      <c r="N456" s="485"/>
    </row>
    <row r="457" spans="1:14" s="467" customFormat="1">
      <c r="A457" s="465"/>
      <c r="B457" s="529" t="s">
        <v>1533</v>
      </c>
      <c r="C457" s="530">
        <v>0</v>
      </c>
      <c r="D457" s="530">
        <v>13337982.191780828</v>
      </c>
      <c r="E457" s="530">
        <v>0</v>
      </c>
      <c r="F457" s="530">
        <v>13337982.191780828</v>
      </c>
      <c r="G457" s="532"/>
      <c r="I457" s="468"/>
      <c r="L457" s="485"/>
      <c r="M457" s="486"/>
      <c r="N457" s="485"/>
    </row>
    <row r="458" spans="1:14" s="467" customFormat="1">
      <c r="A458" s="465"/>
      <c r="B458" s="529" t="s">
        <v>1533</v>
      </c>
      <c r="C458" s="530">
        <v>0</v>
      </c>
      <c r="D458" s="530">
        <v>13337982.191780828</v>
      </c>
      <c r="E458" s="530">
        <v>0</v>
      </c>
      <c r="F458" s="530">
        <v>13337982.191780828</v>
      </c>
      <c r="G458" s="532"/>
      <c r="I458" s="468"/>
      <c r="L458" s="485"/>
      <c r="M458" s="486"/>
      <c r="N458" s="485"/>
    </row>
    <row r="459" spans="1:14" s="467" customFormat="1">
      <c r="A459" s="465"/>
      <c r="B459" s="529" t="s">
        <v>1533</v>
      </c>
      <c r="C459" s="530">
        <v>0</v>
      </c>
      <c r="D459" s="530">
        <v>13337982.191780828</v>
      </c>
      <c r="E459" s="530">
        <v>0</v>
      </c>
      <c r="F459" s="530">
        <v>13337982.191780828</v>
      </c>
      <c r="G459" s="532"/>
      <c r="I459" s="468"/>
      <c r="L459" s="485"/>
      <c r="M459" s="486"/>
      <c r="N459" s="485"/>
    </row>
    <row r="460" spans="1:14" s="467" customFormat="1">
      <c r="A460" s="465"/>
      <c r="B460" s="529" t="s">
        <v>1533</v>
      </c>
      <c r="C460" s="530">
        <v>0</v>
      </c>
      <c r="D460" s="530">
        <v>13337982.191780828</v>
      </c>
      <c r="E460" s="530">
        <v>0</v>
      </c>
      <c r="F460" s="530">
        <v>13337982.191780828</v>
      </c>
      <c r="G460" s="532"/>
      <c r="I460" s="468"/>
      <c r="L460" s="485"/>
      <c r="M460" s="486"/>
      <c r="N460" s="485"/>
    </row>
    <row r="461" spans="1:14" s="467" customFormat="1">
      <c r="A461" s="465"/>
      <c r="B461" s="529" t="s">
        <v>1533</v>
      </c>
      <c r="C461" s="530">
        <v>0</v>
      </c>
      <c r="D461" s="530">
        <v>13337982.191780828</v>
      </c>
      <c r="E461" s="530">
        <v>0</v>
      </c>
      <c r="F461" s="530">
        <v>13337982.191780828</v>
      </c>
      <c r="G461" s="532"/>
      <c r="I461" s="468"/>
      <c r="L461" s="485"/>
      <c r="M461" s="486"/>
      <c r="N461" s="485"/>
    </row>
    <row r="462" spans="1:14" s="467" customFormat="1">
      <c r="A462" s="465"/>
      <c r="B462" s="529" t="s">
        <v>1533</v>
      </c>
      <c r="C462" s="530">
        <v>0</v>
      </c>
      <c r="D462" s="530">
        <v>13337982.191780828</v>
      </c>
      <c r="E462" s="530">
        <v>0</v>
      </c>
      <c r="F462" s="530">
        <v>13337982.191780828</v>
      </c>
      <c r="G462" s="532"/>
      <c r="I462" s="468"/>
      <c r="L462" s="485"/>
      <c r="M462" s="486"/>
      <c r="N462" s="485"/>
    </row>
    <row r="463" spans="1:14" s="467" customFormat="1">
      <c r="A463" s="465"/>
      <c r="B463" s="529" t="s">
        <v>1533</v>
      </c>
      <c r="C463" s="530">
        <v>0</v>
      </c>
      <c r="D463" s="530">
        <v>13337982.191780828</v>
      </c>
      <c r="E463" s="530">
        <v>0</v>
      </c>
      <c r="F463" s="530">
        <v>13337982.191780828</v>
      </c>
      <c r="G463" s="532"/>
      <c r="I463" s="468"/>
      <c r="L463" s="485"/>
      <c r="M463" s="486"/>
      <c r="N463" s="485"/>
    </row>
    <row r="464" spans="1:14" s="467" customFormat="1">
      <c r="A464" s="465"/>
      <c r="B464" s="529" t="s">
        <v>1533</v>
      </c>
      <c r="C464" s="530">
        <v>0</v>
      </c>
      <c r="D464" s="530">
        <v>13337982.191780828</v>
      </c>
      <c r="E464" s="530">
        <v>0</v>
      </c>
      <c r="F464" s="530">
        <v>13337982.191780828</v>
      </c>
      <c r="G464" s="532"/>
      <c r="I464" s="468"/>
      <c r="L464" s="485"/>
      <c r="M464" s="486"/>
      <c r="N464" s="485"/>
    </row>
    <row r="465" spans="1:14" s="467" customFormat="1">
      <c r="A465" s="465"/>
      <c r="B465" s="529" t="s">
        <v>1533</v>
      </c>
      <c r="C465" s="530">
        <v>0</v>
      </c>
      <c r="D465" s="530">
        <v>13337982.191780828</v>
      </c>
      <c r="E465" s="530">
        <v>0</v>
      </c>
      <c r="F465" s="530">
        <v>13337982.191780828</v>
      </c>
      <c r="G465" s="532"/>
      <c r="I465" s="468"/>
      <c r="L465" s="485"/>
      <c r="M465" s="486"/>
      <c r="N465" s="485"/>
    </row>
    <row r="466" spans="1:14" s="467" customFormat="1">
      <c r="A466" s="465"/>
      <c r="B466" s="529" t="s">
        <v>1533</v>
      </c>
      <c r="C466" s="530">
        <v>0</v>
      </c>
      <c r="D466" s="530">
        <v>13337982.191780828</v>
      </c>
      <c r="E466" s="530">
        <v>0</v>
      </c>
      <c r="F466" s="530">
        <v>13337982.191780828</v>
      </c>
      <c r="G466" s="532"/>
      <c r="I466" s="468"/>
      <c r="L466" s="485"/>
      <c r="M466" s="486"/>
      <c r="N466" s="485"/>
    </row>
    <row r="467" spans="1:14" s="467" customFormat="1">
      <c r="A467" s="465"/>
      <c r="B467" s="529" t="s">
        <v>1528</v>
      </c>
      <c r="C467" s="530">
        <v>0</v>
      </c>
      <c r="D467" s="530">
        <v>10673285.671232935</v>
      </c>
      <c r="E467" s="530">
        <v>0</v>
      </c>
      <c r="F467" s="530">
        <v>10673285.671232935</v>
      </c>
      <c r="G467" s="532"/>
      <c r="I467" s="468"/>
      <c r="L467" s="485"/>
      <c r="M467" s="486"/>
      <c r="N467" s="485"/>
    </row>
    <row r="468" spans="1:14" s="467" customFormat="1">
      <c r="A468" s="465"/>
      <c r="B468" s="529" t="s">
        <v>1529</v>
      </c>
      <c r="C468" s="530">
        <v>0</v>
      </c>
      <c r="D468" s="530">
        <v>5567225.3368027424</v>
      </c>
      <c r="E468" s="530">
        <v>0</v>
      </c>
      <c r="F468" s="530">
        <v>5567225.3368027424</v>
      </c>
      <c r="G468" s="532"/>
      <c r="I468" s="468"/>
      <c r="L468" s="485"/>
      <c r="M468" s="486"/>
      <c r="N468" s="485"/>
    </row>
    <row r="469" spans="1:14" s="467" customFormat="1">
      <c r="A469" s="465"/>
      <c r="B469" s="529" t="s">
        <v>1530</v>
      </c>
      <c r="C469" s="530">
        <v>0</v>
      </c>
      <c r="D469" s="530">
        <v>4899147.3030904122</v>
      </c>
      <c r="E469" s="530">
        <v>0</v>
      </c>
      <c r="F469" s="530">
        <v>4899147.3030904122</v>
      </c>
      <c r="G469" s="532"/>
      <c r="I469" s="468"/>
      <c r="L469" s="485"/>
      <c r="M469" s="486"/>
      <c r="N469" s="485"/>
    </row>
    <row r="470" spans="1:14" s="467" customFormat="1">
      <c r="A470" s="465"/>
      <c r="B470" s="529" t="s">
        <v>1538</v>
      </c>
      <c r="C470" s="530">
        <v>0</v>
      </c>
      <c r="D470" s="530">
        <v>817532.26931506838</v>
      </c>
      <c r="E470" s="530">
        <v>0</v>
      </c>
      <c r="F470" s="530">
        <v>817532.26931506838</v>
      </c>
      <c r="G470" s="532"/>
      <c r="I470" s="468"/>
      <c r="L470" s="485"/>
      <c r="M470" s="486"/>
      <c r="N470" s="485"/>
    </row>
    <row r="471" spans="1:14" s="467" customFormat="1">
      <c r="A471" s="465"/>
      <c r="B471" s="529" t="s">
        <v>1538</v>
      </c>
      <c r="C471" s="530">
        <v>0</v>
      </c>
      <c r="D471" s="530">
        <v>817532.26931506838</v>
      </c>
      <c r="E471" s="530">
        <v>0</v>
      </c>
      <c r="F471" s="530">
        <v>817532.26931506838</v>
      </c>
      <c r="G471" s="532"/>
      <c r="I471" s="468"/>
      <c r="L471" s="485"/>
      <c r="M471" s="486"/>
      <c r="N471" s="485"/>
    </row>
    <row r="472" spans="1:14" s="467" customFormat="1">
      <c r="A472" s="465"/>
      <c r="B472" s="529" t="s">
        <v>1538</v>
      </c>
      <c r="C472" s="530">
        <v>0</v>
      </c>
      <c r="D472" s="530">
        <v>817532.26931506838</v>
      </c>
      <c r="E472" s="530">
        <v>0</v>
      </c>
      <c r="F472" s="530">
        <v>817532.26931506838</v>
      </c>
      <c r="G472" s="532"/>
      <c r="I472" s="468"/>
      <c r="L472" s="485"/>
      <c r="M472" s="486"/>
      <c r="N472" s="485"/>
    </row>
    <row r="473" spans="1:14" s="467" customFormat="1">
      <c r="A473" s="465"/>
      <c r="B473" s="529" t="s">
        <v>1538</v>
      </c>
      <c r="C473" s="530">
        <v>0</v>
      </c>
      <c r="D473" s="530">
        <v>817532.26931506838</v>
      </c>
      <c r="E473" s="530">
        <v>0</v>
      </c>
      <c r="F473" s="530">
        <v>817532.26931506838</v>
      </c>
      <c r="G473" s="532"/>
      <c r="I473" s="468"/>
      <c r="L473" s="485"/>
      <c r="M473" s="486"/>
      <c r="N473" s="485"/>
    </row>
    <row r="474" spans="1:14" s="467" customFormat="1">
      <c r="A474" s="465"/>
      <c r="B474" s="529" t="s">
        <v>1538</v>
      </c>
      <c r="C474" s="530">
        <v>0</v>
      </c>
      <c r="D474" s="530">
        <v>817532.26931506838</v>
      </c>
      <c r="E474" s="530">
        <v>0</v>
      </c>
      <c r="F474" s="530">
        <v>817532.26931506838</v>
      </c>
      <c r="G474" s="532"/>
      <c r="I474" s="468"/>
      <c r="L474" s="485"/>
      <c r="M474" s="486"/>
      <c r="N474" s="485"/>
    </row>
    <row r="475" spans="1:14" s="467" customFormat="1">
      <c r="A475" s="465"/>
      <c r="B475" s="529" t="s">
        <v>1538</v>
      </c>
      <c r="C475" s="530">
        <v>0</v>
      </c>
      <c r="D475" s="530">
        <v>817532.26931506838</v>
      </c>
      <c r="E475" s="530">
        <v>0</v>
      </c>
      <c r="F475" s="530">
        <v>817532.26931506838</v>
      </c>
      <c r="G475" s="532"/>
      <c r="I475" s="468"/>
      <c r="L475" s="485"/>
      <c r="M475" s="486"/>
      <c r="N475" s="485"/>
    </row>
    <row r="476" spans="1:14" s="467" customFormat="1">
      <c r="A476" s="465"/>
      <c r="B476" s="529" t="s">
        <v>1538</v>
      </c>
      <c r="C476" s="530">
        <v>0</v>
      </c>
      <c r="D476" s="530">
        <v>817532.26931506838</v>
      </c>
      <c r="E476" s="530">
        <v>0</v>
      </c>
      <c r="F476" s="530">
        <v>817532.26931506838</v>
      </c>
      <c r="G476" s="532"/>
      <c r="I476" s="468"/>
      <c r="L476" s="485"/>
      <c r="M476" s="486"/>
      <c r="N476" s="485"/>
    </row>
    <row r="477" spans="1:14" s="467" customFormat="1">
      <c r="A477" s="465"/>
      <c r="B477" s="529" t="s">
        <v>1538</v>
      </c>
      <c r="C477" s="530">
        <v>0</v>
      </c>
      <c r="D477" s="530">
        <v>817532.26931506838</v>
      </c>
      <c r="E477" s="530">
        <v>0</v>
      </c>
      <c r="F477" s="530">
        <v>817532.26931506838</v>
      </c>
      <c r="G477" s="532"/>
      <c r="I477" s="468"/>
      <c r="L477" s="485"/>
      <c r="M477" s="486"/>
      <c r="N477" s="485"/>
    </row>
    <row r="478" spans="1:14" s="467" customFormat="1">
      <c r="A478" s="465"/>
      <c r="B478" s="529" t="s">
        <v>1538</v>
      </c>
      <c r="C478" s="530">
        <v>0</v>
      </c>
      <c r="D478" s="530">
        <v>817532.26931506838</v>
      </c>
      <c r="E478" s="530">
        <v>0</v>
      </c>
      <c r="F478" s="530">
        <v>817532.26931506838</v>
      </c>
      <c r="G478" s="532"/>
      <c r="I478" s="468"/>
      <c r="L478" s="485"/>
      <c r="M478" s="486"/>
      <c r="N478" s="485"/>
    </row>
    <row r="479" spans="1:14" s="467" customFormat="1">
      <c r="A479" s="465"/>
      <c r="B479" s="529" t="s">
        <v>1538</v>
      </c>
      <c r="C479" s="530">
        <v>0</v>
      </c>
      <c r="D479" s="530">
        <v>817532.26931506838</v>
      </c>
      <c r="E479" s="530">
        <v>0</v>
      </c>
      <c r="F479" s="530">
        <v>817532.26931506838</v>
      </c>
      <c r="G479" s="532"/>
      <c r="I479" s="468"/>
      <c r="L479" s="485"/>
      <c r="M479" s="486"/>
      <c r="N479" s="485"/>
    </row>
    <row r="480" spans="1:14" s="467" customFormat="1">
      <c r="A480" s="465"/>
      <c r="B480" s="529" t="s">
        <v>1538</v>
      </c>
      <c r="C480" s="530">
        <v>0</v>
      </c>
      <c r="D480" s="530">
        <v>1226298.4039726034</v>
      </c>
      <c r="E480" s="530">
        <v>0</v>
      </c>
      <c r="F480" s="530">
        <v>1226298.4039726034</v>
      </c>
      <c r="G480" s="532"/>
      <c r="I480" s="468"/>
      <c r="L480" s="485"/>
      <c r="M480" s="486"/>
      <c r="N480" s="485"/>
    </row>
    <row r="481" spans="1:14" s="467" customFormat="1">
      <c r="A481" s="465"/>
      <c r="B481" s="529" t="s">
        <v>1538</v>
      </c>
      <c r="C481" s="530">
        <v>0</v>
      </c>
      <c r="D481" s="530">
        <v>1226298.4039726034</v>
      </c>
      <c r="E481" s="530">
        <v>0</v>
      </c>
      <c r="F481" s="530">
        <v>1226298.4039726034</v>
      </c>
      <c r="G481" s="532"/>
      <c r="I481" s="468"/>
      <c r="L481" s="485"/>
      <c r="M481" s="486"/>
      <c r="N481" s="485"/>
    </row>
    <row r="482" spans="1:14" s="467" customFormat="1">
      <c r="A482" s="465"/>
      <c r="B482" s="529" t="s">
        <v>1538</v>
      </c>
      <c r="C482" s="530">
        <v>0</v>
      </c>
      <c r="D482" s="530">
        <v>1226298.4039726034</v>
      </c>
      <c r="E482" s="530">
        <v>0</v>
      </c>
      <c r="F482" s="530">
        <v>1226298.4039726034</v>
      </c>
      <c r="G482" s="532"/>
      <c r="I482" s="468"/>
      <c r="L482" s="485"/>
      <c r="M482" s="486"/>
      <c r="N482" s="485"/>
    </row>
    <row r="483" spans="1:14" s="467" customFormat="1">
      <c r="A483" s="465"/>
      <c r="B483" s="529" t="s">
        <v>1538</v>
      </c>
      <c r="C483" s="530">
        <v>0</v>
      </c>
      <c r="D483" s="530">
        <v>1226298.4039726034</v>
      </c>
      <c r="E483" s="530">
        <v>0</v>
      </c>
      <c r="F483" s="530">
        <v>1226298.4039726034</v>
      </c>
      <c r="G483" s="532"/>
      <c r="I483" s="468"/>
      <c r="L483" s="485"/>
      <c r="M483" s="486"/>
      <c r="N483" s="485"/>
    </row>
    <row r="484" spans="1:14" s="467" customFormat="1">
      <c r="A484" s="465"/>
      <c r="B484" s="529" t="s">
        <v>1538</v>
      </c>
      <c r="C484" s="530">
        <v>0</v>
      </c>
      <c r="D484" s="530">
        <v>1226298.4039726034</v>
      </c>
      <c r="E484" s="530">
        <v>0</v>
      </c>
      <c r="F484" s="530">
        <v>1226298.4039726034</v>
      </c>
      <c r="G484" s="532"/>
      <c r="I484" s="468"/>
      <c r="L484" s="485"/>
      <c r="M484" s="486"/>
      <c r="N484" s="485"/>
    </row>
    <row r="485" spans="1:14" s="467" customFormat="1">
      <c r="A485" s="465"/>
      <c r="B485" s="529" t="s">
        <v>1538</v>
      </c>
      <c r="C485" s="530">
        <v>0</v>
      </c>
      <c r="D485" s="530">
        <v>2043830.6732876718</v>
      </c>
      <c r="E485" s="530">
        <v>0</v>
      </c>
      <c r="F485" s="530">
        <v>2043830.6732876718</v>
      </c>
      <c r="G485" s="532"/>
      <c r="I485" s="468"/>
      <c r="L485" s="485"/>
      <c r="M485" s="486"/>
      <c r="N485" s="485"/>
    </row>
    <row r="486" spans="1:14" s="467" customFormat="1">
      <c r="A486" s="465"/>
      <c r="B486" s="529" t="s">
        <v>1538</v>
      </c>
      <c r="C486" s="530">
        <v>0</v>
      </c>
      <c r="D486" s="530">
        <v>2043830.6732876718</v>
      </c>
      <c r="E486" s="530">
        <v>0</v>
      </c>
      <c r="F486" s="530">
        <v>2043830.6732876718</v>
      </c>
      <c r="G486" s="532"/>
      <c r="I486" s="468"/>
      <c r="L486" s="485"/>
      <c r="M486" s="486"/>
      <c r="N486" s="485"/>
    </row>
    <row r="487" spans="1:14" s="467" customFormat="1">
      <c r="A487" s="465"/>
      <c r="B487" s="529" t="s">
        <v>1538</v>
      </c>
      <c r="C487" s="530">
        <v>0</v>
      </c>
      <c r="D487" s="530">
        <v>2043830.6732876718</v>
      </c>
      <c r="E487" s="530">
        <v>0</v>
      </c>
      <c r="F487" s="530">
        <v>2043830.6732876718</v>
      </c>
      <c r="G487" s="532"/>
      <c r="I487" s="468"/>
      <c r="L487" s="485"/>
      <c r="M487" s="486"/>
      <c r="N487" s="485"/>
    </row>
    <row r="488" spans="1:14" s="467" customFormat="1">
      <c r="A488" s="465"/>
      <c r="B488" s="529" t="s">
        <v>1538</v>
      </c>
      <c r="C488" s="530">
        <v>0</v>
      </c>
      <c r="D488" s="530">
        <v>2043830.6732876718</v>
      </c>
      <c r="E488" s="530">
        <v>0</v>
      </c>
      <c r="F488" s="530">
        <v>2043830.6732876718</v>
      </c>
      <c r="G488" s="532"/>
      <c r="I488" s="468"/>
      <c r="L488" s="485"/>
      <c r="M488" s="486"/>
      <c r="N488" s="485"/>
    </row>
    <row r="489" spans="1:14" s="467" customFormat="1">
      <c r="A489" s="465"/>
      <c r="B489" s="529" t="s">
        <v>1538</v>
      </c>
      <c r="C489" s="530">
        <v>0</v>
      </c>
      <c r="D489" s="530">
        <v>2043830.6732876718</v>
      </c>
      <c r="E489" s="530">
        <v>0</v>
      </c>
      <c r="F489" s="530">
        <v>2043830.6732876718</v>
      </c>
      <c r="G489" s="532"/>
      <c r="I489" s="468"/>
      <c r="L489" s="485"/>
      <c r="M489" s="486"/>
      <c r="N489" s="485"/>
    </row>
    <row r="490" spans="1:14" s="467" customFormat="1">
      <c r="A490" s="465"/>
      <c r="B490" s="529" t="s">
        <v>1538</v>
      </c>
      <c r="C490" s="530">
        <v>0</v>
      </c>
      <c r="D490" s="530">
        <v>358851.11181780789</v>
      </c>
      <c r="E490" s="530">
        <v>0</v>
      </c>
      <c r="F490" s="530">
        <v>358851.11181780789</v>
      </c>
      <c r="G490" s="532"/>
      <c r="I490" s="468"/>
      <c r="L490" s="485"/>
      <c r="M490" s="486"/>
      <c r="N490" s="485"/>
    </row>
    <row r="491" spans="1:14" s="467" customFormat="1">
      <c r="A491" s="465"/>
      <c r="B491" s="529" t="s">
        <v>1538</v>
      </c>
      <c r="C491" s="530">
        <v>0</v>
      </c>
      <c r="D491" s="530">
        <v>358851.11181780789</v>
      </c>
      <c r="E491" s="530">
        <v>0</v>
      </c>
      <c r="F491" s="530">
        <v>358851.11181780789</v>
      </c>
      <c r="G491" s="532"/>
      <c r="I491" s="468"/>
      <c r="L491" s="485"/>
      <c r="M491" s="486"/>
      <c r="N491" s="485"/>
    </row>
    <row r="492" spans="1:14" s="467" customFormat="1">
      <c r="A492" s="465"/>
      <c r="B492" s="529" t="s">
        <v>1538</v>
      </c>
      <c r="C492" s="530">
        <v>0</v>
      </c>
      <c r="D492" s="530">
        <v>358851.11181780789</v>
      </c>
      <c r="E492" s="530">
        <v>0</v>
      </c>
      <c r="F492" s="530">
        <v>358851.11181780789</v>
      </c>
      <c r="G492" s="532"/>
      <c r="I492" s="468"/>
      <c r="L492" s="485"/>
      <c r="M492" s="486"/>
      <c r="N492" s="485"/>
    </row>
    <row r="493" spans="1:14" s="467" customFormat="1">
      <c r="A493" s="465"/>
      <c r="B493" s="529" t="s">
        <v>1538</v>
      </c>
      <c r="C493" s="530">
        <v>0</v>
      </c>
      <c r="D493" s="530">
        <v>358851.11181780789</v>
      </c>
      <c r="E493" s="530">
        <v>0</v>
      </c>
      <c r="F493" s="530">
        <v>358851.11181780789</v>
      </c>
      <c r="G493" s="532"/>
      <c r="I493" s="468"/>
      <c r="L493" s="485"/>
      <c r="M493" s="486"/>
      <c r="N493" s="485"/>
    </row>
    <row r="494" spans="1:14" s="467" customFormat="1">
      <c r="A494" s="465"/>
      <c r="B494" s="529" t="s">
        <v>1538</v>
      </c>
      <c r="C494" s="530">
        <v>0</v>
      </c>
      <c r="D494" s="530">
        <v>358851.11181780789</v>
      </c>
      <c r="E494" s="530">
        <v>0</v>
      </c>
      <c r="F494" s="530">
        <v>358851.11181780789</v>
      </c>
      <c r="G494" s="532"/>
      <c r="I494" s="468"/>
      <c r="L494" s="485"/>
      <c r="M494" s="486"/>
      <c r="N494" s="485"/>
    </row>
    <row r="495" spans="1:14" s="467" customFormat="1">
      <c r="A495" s="465"/>
      <c r="B495" s="529" t="s">
        <v>1538</v>
      </c>
      <c r="C495" s="530">
        <v>0</v>
      </c>
      <c r="D495" s="530">
        <v>358851.11181780789</v>
      </c>
      <c r="E495" s="530">
        <v>0</v>
      </c>
      <c r="F495" s="530">
        <v>358851.11181780789</v>
      </c>
      <c r="G495" s="532"/>
      <c r="I495" s="468"/>
      <c r="L495" s="485"/>
      <c r="M495" s="486"/>
      <c r="N495" s="485"/>
    </row>
    <row r="496" spans="1:14" s="467" customFormat="1">
      <c r="A496" s="465"/>
      <c r="B496" s="529" t="s">
        <v>1538</v>
      </c>
      <c r="C496" s="530">
        <v>0</v>
      </c>
      <c r="D496" s="530">
        <v>358851.11181780789</v>
      </c>
      <c r="E496" s="530">
        <v>0</v>
      </c>
      <c r="F496" s="530">
        <v>358851.11181780789</v>
      </c>
      <c r="G496" s="532"/>
      <c r="I496" s="468"/>
      <c r="L496" s="485"/>
      <c r="M496" s="486"/>
      <c r="N496" s="485"/>
    </row>
    <row r="497" spans="1:14" s="467" customFormat="1">
      <c r="A497" s="465"/>
      <c r="B497" s="529" t="s">
        <v>1538</v>
      </c>
      <c r="C497" s="530">
        <v>0</v>
      </c>
      <c r="D497" s="530">
        <v>358851.11181780789</v>
      </c>
      <c r="E497" s="530">
        <v>0</v>
      </c>
      <c r="F497" s="530">
        <v>358851.11181780789</v>
      </c>
      <c r="G497" s="532"/>
      <c r="I497" s="468"/>
      <c r="L497" s="485"/>
      <c r="M497" s="486"/>
      <c r="N497" s="485"/>
    </row>
    <row r="498" spans="1:14" s="467" customFormat="1">
      <c r="A498" s="465"/>
      <c r="B498" s="529" t="s">
        <v>1538</v>
      </c>
      <c r="C498" s="530">
        <v>0</v>
      </c>
      <c r="D498" s="530">
        <v>358851.11181780789</v>
      </c>
      <c r="E498" s="530">
        <v>0</v>
      </c>
      <c r="F498" s="530">
        <v>358851.11181780789</v>
      </c>
      <c r="G498" s="532"/>
      <c r="I498" s="468"/>
      <c r="L498" s="485"/>
      <c r="M498" s="486"/>
      <c r="N498" s="485"/>
    </row>
    <row r="499" spans="1:14" s="467" customFormat="1">
      <c r="A499" s="465"/>
      <c r="B499" s="529" t="s">
        <v>1538</v>
      </c>
      <c r="C499" s="530">
        <v>0</v>
      </c>
      <c r="D499" s="530">
        <v>358851.11181780789</v>
      </c>
      <c r="E499" s="530">
        <v>0</v>
      </c>
      <c r="F499" s="530">
        <v>358851.11181780789</v>
      </c>
      <c r="G499" s="532"/>
      <c r="I499" s="468"/>
      <c r="L499" s="485"/>
      <c r="M499" s="486"/>
      <c r="N499" s="485"/>
    </row>
    <row r="500" spans="1:14" s="467" customFormat="1">
      <c r="A500" s="465"/>
      <c r="B500" s="529" t="s">
        <v>1531</v>
      </c>
      <c r="C500" s="530">
        <v>0</v>
      </c>
      <c r="D500" s="530">
        <v>1796053767.71328</v>
      </c>
      <c r="E500" s="530">
        <v>0</v>
      </c>
      <c r="F500" s="530">
        <v>1796053767.71328</v>
      </c>
      <c r="G500" s="532"/>
      <c r="I500" s="468"/>
      <c r="L500" s="485"/>
      <c r="M500" s="486"/>
      <c r="N500" s="485"/>
    </row>
    <row r="501" spans="1:14" s="843" customFormat="1">
      <c r="B501" s="904" t="s">
        <v>1274</v>
      </c>
      <c r="C501" s="530">
        <v>0</v>
      </c>
      <c r="D501" s="530"/>
      <c r="E501" s="530">
        <v>0</v>
      </c>
      <c r="F501" s="530"/>
      <c r="G501" s="467"/>
      <c r="I501" s="902"/>
      <c r="M501" s="903"/>
    </row>
    <row r="502" spans="1:14" s="843" customFormat="1">
      <c r="B502" s="905" t="s">
        <v>1535</v>
      </c>
      <c r="C502" s="530">
        <v>0</v>
      </c>
      <c r="D502" s="530">
        <v>15000000000</v>
      </c>
      <c r="E502" s="530">
        <v>0</v>
      </c>
      <c r="F502" s="530">
        <v>15000000000</v>
      </c>
      <c r="G502" s="467"/>
      <c r="I502" s="902"/>
      <c r="M502" s="903"/>
    </row>
    <row r="503" spans="1:14" s="843" customFormat="1">
      <c r="B503" s="905" t="s">
        <v>1524</v>
      </c>
      <c r="C503" s="530">
        <v>0</v>
      </c>
      <c r="D503" s="530">
        <v>7750000000</v>
      </c>
      <c r="E503" s="530">
        <v>0</v>
      </c>
      <c r="F503" s="530">
        <v>7750000000</v>
      </c>
      <c r="G503" s="467"/>
      <c r="I503" s="902"/>
      <c r="M503" s="903"/>
    </row>
    <row r="504" spans="1:14" s="843" customFormat="1">
      <c r="B504" s="905" t="s">
        <v>1524</v>
      </c>
      <c r="C504" s="530">
        <v>0</v>
      </c>
      <c r="D504" s="530">
        <v>6250000000</v>
      </c>
      <c r="E504" s="530">
        <v>0</v>
      </c>
      <c r="F504" s="530">
        <v>6250000000</v>
      </c>
      <c r="G504" s="467"/>
      <c r="I504" s="902"/>
      <c r="M504" s="903"/>
    </row>
    <row r="505" spans="1:14" s="843" customFormat="1">
      <c r="B505" s="905" t="s">
        <v>1534</v>
      </c>
      <c r="C505" s="530">
        <v>0</v>
      </c>
      <c r="D505" s="530">
        <v>2771000000</v>
      </c>
      <c r="E505" s="530">
        <v>0</v>
      </c>
      <c r="F505" s="530">
        <v>2771000000</v>
      </c>
      <c r="G505" s="467"/>
      <c r="I505" s="902"/>
      <c r="M505" s="903"/>
    </row>
    <row r="506" spans="1:14" s="843" customFormat="1">
      <c r="B506" s="905" t="s">
        <v>1522</v>
      </c>
      <c r="C506" s="530">
        <v>0</v>
      </c>
      <c r="D506" s="530">
        <v>7000000000</v>
      </c>
      <c r="E506" s="530">
        <v>0</v>
      </c>
      <c r="F506" s="530">
        <v>7000000000</v>
      </c>
      <c r="G506" s="467"/>
      <c r="I506" s="902"/>
      <c r="M506" s="903"/>
    </row>
    <row r="507" spans="1:14" s="843" customFormat="1">
      <c r="B507" s="905" t="s">
        <v>1523</v>
      </c>
      <c r="C507" s="530">
        <v>0</v>
      </c>
      <c r="D507" s="530">
        <v>1500000000</v>
      </c>
      <c r="E507" s="530">
        <v>0</v>
      </c>
      <c r="F507" s="530">
        <v>1500000000</v>
      </c>
      <c r="G507" s="467"/>
      <c r="I507" s="902"/>
      <c r="M507" s="903"/>
    </row>
    <row r="508" spans="1:14" s="843" customFormat="1">
      <c r="B508" s="905" t="s">
        <v>1532</v>
      </c>
      <c r="C508" s="530">
        <v>0</v>
      </c>
      <c r="D508" s="530">
        <v>250000000</v>
      </c>
      <c r="E508" s="530">
        <v>0</v>
      </c>
      <c r="F508" s="530">
        <v>250000000</v>
      </c>
      <c r="G508" s="467"/>
      <c r="I508" s="902"/>
      <c r="M508" s="903"/>
    </row>
    <row r="509" spans="1:14" s="843" customFormat="1">
      <c r="B509" s="905" t="s">
        <v>1532</v>
      </c>
      <c r="C509" s="530">
        <v>0</v>
      </c>
      <c r="D509" s="530">
        <v>250000000</v>
      </c>
      <c r="E509" s="530">
        <v>0</v>
      </c>
      <c r="F509" s="530">
        <v>250000000</v>
      </c>
      <c r="G509" s="467"/>
      <c r="I509" s="902"/>
      <c r="M509" s="903"/>
    </row>
    <row r="510" spans="1:14" s="843" customFormat="1">
      <c r="B510" s="905" t="s">
        <v>1532</v>
      </c>
      <c r="C510" s="530">
        <v>0</v>
      </c>
      <c r="D510" s="530">
        <v>250000000</v>
      </c>
      <c r="E510" s="530">
        <v>0</v>
      </c>
      <c r="F510" s="530">
        <v>250000000</v>
      </c>
      <c r="G510" s="467"/>
      <c r="I510" s="902"/>
      <c r="M510" s="903"/>
    </row>
    <row r="511" spans="1:14" s="843" customFormat="1">
      <c r="B511" s="905" t="s">
        <v>1532</v>
      </c>
      <c r="C511" s="530">
        <v>0</v>
      </c>
      <c r="D511" s="530">
        <v>250000000</v>
      </c>
      <c r="E511" s="530">
        <v>0</v>
      </c>
      <c r="F511" s="530">
        <v>250000000</v>
      </c>
      <c r="G511" s="467"/>
      <c r="I511" s="902"/>
      <c r="M511" s="903"/>
    </row>
    <row r="512" spans="1:14" s="843" customFormat="1">
      <c r="B512" s="905" t="s">
        <v>1532</v>
      </c>
      <c r="C512" s="530">
        <v>0</v>
      </c>
      <c r="D512" s="530">
        <v>250000000</v>
      </c>
      <c r="E512" s="530">
        <v>0</v>
      </c>
      <c r="F512" s="530">
        <v>250000000</v>
      </c>
      <c r="G512" s="467"/>
      <c r="I512" s="902"/>
      <c r="M512" s="903"/>
    </row>
    <row r="513" spans="2:13" s="843" customFormat="1">
      <c r="B513" s="905" t="s">
        <v>1532</v>
      </c>
      <c r="C513" s="530">
        <v>0</v>
      </c>
      <c r="D513" s="530">
        <v>250000000</v>
      </c>
      <c r="E513" s="530">
        <v>0</v>
      </c>
      <c r="F513" s="530">
        <v>250000000</v>
      </c>
      <c r="G513" s="467"/>
      <c r="I513" s="902"/>
      <c r="M513" s="903"/>
    </row>
    <row r="514" spans="2:13" s="843" customFormat="1">
      <c r="B514" s="905" t="s">
        <v>1532</v>
      </c>
      <c r="C514" s="530">
        <v>0</v>
      </c>
      <c r="D514" s="530">
        <v>250000000</v>
      </c>
      <c r="E514" s="530">
        <v>0</v>
      </c>
      <c r="F514" s="530">
        <v>250000000</v>
      </c>
      <c r="G514" s="467"/>
      <c r="I514" s="902"/>
      <c r="M514" s="903"/>
    </row>
    <row r="515" spans="2:13" s="843" customFormat="1">
      <c r="B515" s="905" t="s">
        <v>1532</v>
      </c>
      <c r="C515" s="530">
        <v>0</v>
      </c>
      <c r="D515" s="530">
        <v>250000000</v>
      </c>
      <c r="E515" s="530">
        <v>0</v>
      </c>
      <c r="F515" s="530">
        <v>250000000</v>
      </c>
      <c r="G515" s="467"/>
      <c r="I515" s="902"/>
      <c r="M515" s="903"/>
    </row>
    <row r="516" spans="2:13" s="843" customFormat="1">
      <c r="B516" s="905" t="s">
        <v>1532</v>
      </c>
      <c r="C516" s="530">
        <v>0</v>
      </c>
      <c r="D516" s="530">
        <v>250000000</v>
      </c>
      <c r="E516" s="530">
        <v>0</v>
      </c>
      <c r="F516" s="530">
        <v>250000000</v>
      </c>
      <c r="G516" s="467"/>
      <c r="I516" s="902"/>
      <c r="M516" s="903"/>
    </row>
    <row r="517" spans="2:13" s="843" customFormat="1">
      <c r="B517" s="905" t="s">
        <v>1532</v>
      </c>
      <c r="C517" s="530">
        <v>0</v>
      </c>
      <c r="D517" s="530">
        <v>250000000</v>
      </c>
      <c r="E517" s="530">
        <v>0</v>
      </c>
      <c r="F517" s="530">
        <v>250000000</v>
      </c>
      <c r="G517" s="467"/>
      <c r="I517" s="902"/>
      <c r="M517" s="903"/>
    </row>
    <row r="518" spans="2:13" s="843" customFormat="1">
      <c r="B518" s="905" t="s">
        <v>1532</v>
      </c>
      <c r="C518" s="530">
        <v>0</v>
      </c>
      <c r="D518" s="530">
        <v>250000000</v>
      </c>
      <c r="E518" s="530">
        <v>0</v>
      </c>
      <c r="F518" s="530">
        <v>250000000</v>
      </c>
      <c r="G518" s="467"/>
      <c r="I518" s="902"/>
      <c r="M518" s="903"/>
    </row>
    <row r="519" spans="2:13" s="843" customFormat="1">
      <c r="B519" s="905" t="s">
        <v>1532</v>
      </c>
      <c r="C519" s="530">
        <v>0</v>
      </c>
      <c r="D519" s="530">
        <v>250000000</v>
      </c>
      <c r="E519" s="530">
        <v>0</v>
      </c>
      <c r="F519" s="530">
        <v>250000000</v>
      </c>
      <c r="G519" s="467"/>
      <c r="I519" s="902"/>
      <c r="M519" s="903"/>
    </row>
    <row r="520" spans="2:13" s="843" customFormat="1">
      <c r="B520" s="905" t="s">
        <v>1532</v>
      </c>
      <c r="C520" s="530">
        <v>0</v>
      </c>
      <c r="D520" s="530">
        <v>250000000</v>
      </c>
      <c r="E520" s="530">
        <v>0</v>
      </c>
      <c r="F520" s="530">
        <v>250000000</v>
      </c>
      <c r="G520" s="467"/>
      <c r="I520" s="902"/>
      <c r="M520" s="903"/>
    </row>
    <row r="521" spans="2:13" s="843" customFormat="1">
      <c r="B521" s="905" t="s">
        <v>1532</v>
      </c>
      <c r="C521" s="530">
        <v>0</v>
      </c>
      <c r="D521" s="530">
        <v>250000000</v>
      </c>
      <c r="E521" s="530">
        <v>0</v>
      </c>
      <c r="F521" s="530">
        <v>250000000</v>
      </c>
      <c r="G521" s="467"/>
      <c r="I521" s="902"/>
      <c r="M521" s="903"/>
    </row>
    <row r="522" spans="2:13" s="843" customFormat="1">
      <c r="B522" s="905" t="s">
        <v>1532</v>
      </c>
      <c r="C522" s="530">
        <v>0</v>
      </c>
      <c r="D522" s="530">
        <v>250000000</v>
      </c>
      <c r="E522" s="530">
        <v>0</v>
      </c>
      <c r="F522" s="530">
        <v>250000000</v>
      </c>
      <c r="G522" s="467"/>
      <c r="I522" s="902"/>
      <c r="M522" s="903"/>
    </row>
    <row r="523" spans="2:13" s="843" customFormat="1">
      <c r="B523" s="905" t="s">
        <v>1532</v>
      </c>
      <c r="C523" s="530">
        <v>0</v>
      </c>
      <c r="D523" s="530">
        <v>250000000</v>
      </c>
      <c r="E523" s="530">
        <v>0</v>
      </c>
      <c r="F523" s="530">
        <v>250000000</v>
      </c>
      <c r="G523" s="467"/>
      <c r="I523" s="902"/>
      <c r="M523" s="903"/>
    </row>
    <row r="524" spans="2:13" s="843" customFormat="1">
      <c r="B524" s="905" t="s">
        <v>1533</v>
      </c>
      <c r="C524" s="530">
        <v>0</v>
      </c>
      <c r="D524" s="530">
        <v>500500000</v>
      </c>
      <c r="E524" s="530">
        <v>0</v>
      </c>
      <c r="F524" s="530">
        <v>500500000</v>
      </c>
      <c r="G524" s="467"/>
      <c r="I524" s="902"/>
      <c r="M524" s="903"/>
    </row>
    <row r="525" spans="2:13" s="843" customFormat="1">
      <c r="B525" s="905" t="s">
        <v>1533</v>
      </c>
      <c r="C525" s="530">
        <v>0</v>
      </c>
      <c r="D525" s="530">
        <v>500500000</v>
      </c>
      <c r="E525" s="530">
        <v>0</v>
      </c>
      <c r="F525" s="530">
        <v>500500000</v>
      </c>
      <c r="G525" s="467"/>
      <c r="I525" s="902"/>
      <c r="M525" s="903"/>
    </row>
    <row r="526" spans="2:13" s="843" customFormat="1">
      <c r="B526" s="905" t="s">
        <v>1533</v>
      </c>
      <c r="C526" s="530">
        <v>0</v>
      </c>
      <c r="D526" s="530">
        <v>500500000</v>
      </c>
      <c r="E526" s="530">
        <v>0</v>
      </c>
      <c r="F526" s="530">
        <v>500500000</v>
      </c>
      <c r="G526" s="467"/>
      <c r="I526" s="902"/>
      <c r="M526" s="903"/>
    </row>
    <row r="527" spans="2:13" s="843" customFormat="1">
      <c r="B527" s="905" t="s">
        <v>1533</v>
      </c>
      <c r="C527" s="530">
        <v>0</v>
      </c>
      <c r="D527" s="530">
        <v>500500000</v>
      </c>
      <c r="E527" s="530">
        <v>0</v>
      </c>
      <c r="F527" s="530">
        <v>500500000</v>
      </c>
      <c r="G527" s="467"/>
      <c r="I527" s="902"/>
      <c r="M527" s="903"/>
    </row>
    <row r="528" spans="2:13" s="843" customFormat="1">
      <c r="B528" s="905" t="s">
        <v>1533</v>
      </c>
      <c r="C528" s="530">
        <v>0</v>
      </c>
      <c r="D528" s="530">
        <v>500500000</v>
      </c>
      <c r="E528" s="530">
        <v>0</v>
      </c>
      <c r="F528" s="530">
        <v>500500000</v>
      </c>
      <c r="G528" s="467"/>
      <c r="I528" s="902"/>
      <c r="M528" s="903"/>
    </row>
    <row r="529" spans="2:13" s="843" customFormat="1">
      <c r="B529" s="905" t="s">
        <v>1533</v>
      </c>
      <c r="C529" s="530">
        <v>0</v>
      </c>
      <c r="D529" s="530">
        <v>500500000</v>
      </c>
      <c r="E529" s="530">
        <v>0</v>
      </c>
      <c r="F529" s="530">
        <v>500500000</v>
      </c>
      <c r="G529" s="467"/>
      <c r="I529" s="902"/>
      <c r="M529" s="903"/>
    </row>
    <row r="530" spans="2:13" s="843" customFormat="1">
      <c r="B530" s="905" t="s">
        <v>1533</v>
      </c>
      <c r="C530" s="530">
        <v>0</v>
      </c>
      <c r="D530" s="530">
        <v>500500000</v>
      </c>
      <c r="E530" s="530">
        <v>0</v>
      </c>
      <c r="F530" s="530">
        <v>500500000</v>
      </c>
      <c r="G530" s="467"/>
      <c r="I530" s="902"/>
      <c r="M530" s="903"/>
    </row>
    <row r="531" spans="2:13" s="843" customFormat="1">
      <c r="B531" s="905" t="s">
        <v>1533</v>
      </c>
      <c r="C531" s="530">
        <v>0</v>
      </c>
      <c r="D531" s="530">
        <v>500500000</v>
      </c>
      <c r="E531" s="530">
        <v>0</v>
      </c>
      <c r="F531" s="530">
        <v>500500000</v>
      </c>
      <c r="G531" s="467"/>
      <c r="I531" s="902"/>
      <c r="M531" s="903"/>
    </row>
    <row r="532" spans="2:13" s="843" customFormat="1">
      <c r="B532" s="905" t="s">
        <v>1533</v>
      </c>
      <c r="C532" s="530">
        <v>0</v>
      </c>
      <c r="D532" s="530">
        <v>500500000</v>
      </c>
      <c r="E532" s="530">
        <v>0</v>
      </c>
      <c r="F532" s="530">
        <v>500500000</v>
      </c>
      <c r="G532" s="467"/>
      <c r="I532" s="902"/>
      <c r="M532" s="903"/>
    </row>
    <row r="533" spans="2:13" s="843" customFormat="1">
      <c r="B533" s="905" t="s">
        <v>1533</v>
      </c>
      <c r="C533" s="530">
        <v>0</v>
      </c>
      <c r="D533" s="530">
        <v>500500000</v>
      </c>
      <c r="E533" s="530">
        <v>0</v>
      </c>
      <c r="F533" s="530">
        <v>500500000</v>
      </c>
      <c r="G533" s="467"/>
      <c r="I533" s="902"/>
      <c r="M533" s="903"/>
    </row>
    <row r="534" spans="2:13" s="843" customFormat="1">
      <c r="B534" s="905" t="s">
        <v>1528</v>
      </c>
      <c r="C534" s="530">
        <v>0</v>
      </c>
      <c r="D534" s="530">
        <v>1731444120</v>
      </c>
      <c r="E534" s="530">
        <v>0</v>
      </c>
      <c r="F534" s="530">
        <v>1731444120</v>
      </c>
      <c r="G534" s="467"/>
      <c r="I534" s="902"/>
      <c r="M534" s="903"/>
    </row>
    <row r="535" spans="2:13" s="843" customFormat="1">
      <c r="B535" s="905" t="s">
        <v>1529</v>
      </c>
      <c r="C535" s="530">
        <v>0</v>
      </c>
      <c r="D535" s="530">
        <v>343540500</v>
      </c>
      <c r="E535" s="530">
        <v>0</v>
      </c>
      <c r="F535" s="530">
        <v>343540500</v>
      </c>
      <c r="G535" s="467"/>
      <c r="I535" s="902"/>
      <c r="M535" s="903"/>
    </row>
    <row r="536" spans="2:13" s="843" customFormat="1">
      <c r="B536" s="905" t="s">
        <v>1530</v>
      </c>
      <c r="C536" s="530">
        <v>0</v>
      </c>
      <c r="D536" s="530">
        <v>302315640</v>
      </c>
      <c r="E536" s="530">
        <v>0</v>
      </c>
      <c r="F536" s="530">
        <v>302315640</v>
      </c>
      <c r="G536" s="467"/>
      <c r="I536" s="902"/>
      <c r="M536" s="903"/>
    </row>
    <row r="537" spans="2:13" s="843" customFormat="1">
      <c r="B537" s="905" t="s">
        <v>1538</v>
      </c>
      <c r="C537" s="530">
        <v>0</v>
      </c>
      <c r="D537" s="530">
        <v>68708100</v>
      </c>
      <c r="E537" s="530">
        <v>0</v>
      </c>
      <c r="F537" s="530">
        <v>68708100</v>
      </c>
      <c r="G537" s="467"/>
      <c r="I537" s="902"/>
      <c r="M537" s="903"/>
    </row>
    <row r="538" spans="2:13" s="843" customFormat="1">
      <c r="B538" s="905" t="s">
        <v>1538</v>
      </c>
      <c r="C538" s="530">
        <v>0</v>
      </c>
      <c r="D538" s="530">
        <v>68708100</v>
      </c>
      <c r="E538" s="530">
        <v>0</v>
      </c>
      <c r="F538" s="530">
        <v>68708100</v>
      </c>
      <c r="G538" s="467"/>
      <c r="I538" s="902"/>
      <c r="M538" s="903"/>
    </row>
    <row r="539" spans="2:13" s="843" customFormat="1">
      <c r="B539" s="905" t="s">
        <v>1538</v>
      </c>
      <c r="C539" s="530">
        <v>0</v>
      </c>
      <c r="D539" s="530">
        <v>68708100</v>
      </c>
      <c r="E539" s="530">
        <v>0</v>
      </c>
      <c r="F539" s="530">
        <v>68708100</v>
      </c>
      <c r="G539" s="467"/>
      <c r="I539" s="902"/>
      <c r="M539" s="903"/>
    </row>
    <row r="540" spans="2:13" s="843" customFormat="1">
      <c r="B540" s="905" t="s">
        <v>1538</v>
      </c>
      <c r="C540" s="530">
        <v>0</v>
      </c>
      <c r="D540" s="530">
        <v>68708100</v>
      </c>
      <c r="E540" s="530">
        <v>0</v>
      </c>
      <c r="F540" s="530">
        <v>68708100</v>
      </c>
      <c r="G540" s="467"/>
      <c r="I540" s="902"/>
      <c r="M540" s="903"/>
    </row>
    <row r="541" spans="2:13" s="843" customFormat="1">
      <c r="B541" s="905" t="s">
        <v>1538</v>
      </c>
      <c r="C541" s="530">
        <v>0</v>
      </c>
      <c r="D541" s="530">
        <v>68708100</v>
      </c>
      <c r="E541" s="530">
        <v>0</v>
      </c>
      <c r="F541" s="530">
        <v>68708100</v>
      </c>
      <c r="G541" s="467"/>
      <c r="I541" s="902"/>
      <c r="M541" s="903"/>
    </row>
    <row r="542" spans="2:13" s="843" customFormat="1">
      <c r="B542" s="905" t="s">
        <v>1538</v>
      </c>
      <c r="C542" s="530">
        <v>0</v>
      </c>
      <c r="D542" s="530">
        <v>68708100</v>
      </c>
      <c r="E542" s="530">
        <v>0</v>
      </c>
      <c r="F542" s="530">
        <v>68708100</v>
      </c>
      <c r="G542" s="467"/>
      <c r="I542" s="902"/>
      <c r="M542" s="903"/>
    </row>
    <row r="543" spans="2:13" s="843" customFormat="1">
      <c r="B543" s="905" t="s">
        <v>1538</v>
      </c>
      <c r="C543" s="530">
        <v>0</v>
      </c>
      <c r="D543" s="530">
        <v>68708100</v>
      </c>
      <c r="E543" s="530">
        <v>0</v>
      </c>
      <c r="F543" s="530">
        <v>68708100</v>
      </c>
      <c r="G543" s="467"/>
      <c r="I543" s="902"/>
      <c r="M543" s="903"/>
    </row>
    <row r="544" spans="2:13" s="843" customFormat="1">
      <c r="B544" s="905" t="s">
        <v>1538</v>
      </c>
      <c r="C544" s="530">
        <v>0</v>
      </c>
      <c r="D544" s="530">
        <v>68708100</v>
      </c>
      <c r="E544" s="530">
        <v>0</v>
      </c>
      <c r="F544" s="530">
        <v>68708100</v>
      </c>
      <c r="G544" s="467"/>
      <c r="I544" s="902"/>
      <c r="M544" s="903"/>
    </row>
    <row r="545" spans="2:13" s="843" customFormat="1">
      <c r="B545" s="905" t="s">
        <v>1538</v>
      </c>
      <c r="C545" s="530">
        <v>0</v>
      </c>
      <c r="D545" s="530">
        <v>68708100</v>
      </c>
      <c r="E545" s="530">
        <v>0</v>
      </c>
      <c r="F545" s="530">
        <v>68708100</v>
      </c>
      <c r="G545" s="467"/>
      <c r="I545" s="902"/>
      <c r="M545" s="903"/>
    </row>
    <row r="546" spans="2:13" s="843" customFormat="1">
      <c r="B546" s="905" t="s">
        <v>1538</v>
      </c>
      <c r="C546" s="530">
        <v>0</v>
      </c>
      <c r="D546" s="530">
        <v>68708100</v>
      </c>
      <c r="E546" s="530">
        <v>0</v>
      </c>
      <c r="F546" s="530">
        <v>68708100</v>
      </c>
      <c r="G546" s="467"/>
      <c r="I546" s="902"/>
      <c r="M546" s="903"/>
    </row>
    <row r="547" spans="2:13" s="843" customFormat="1">
      <c r="B547" s="905" t="s">
        <v>1538</v>
      </c>
      <c r="C547" s="530">
        <v>0</v>
      </c>
      <c r="D547" s="530">
        <v>103062150</v>
      </c>
      <c r="E547" s="530">
        <v>0</v>
      </c>
      <c r="F547" s="530">
        <v>103062150</v>
      </c>
      <c r="G547" s="467"/>
      <c r="I547" s="902"/>
      <c r="M547" s="903"/>
    </row>
    <row r="548" spans="2:13" s="843" customFormat="1">
      <c r="B548" s="905" t="s">
        <v>1538</v>
      </c>
      <c r="C548" s="530">
        <v>0</v>
      </c>
      <c r="D548" s="530">
        <v>103062150</v>
      </c>
      <c r="E548" s="530">
        <v>0</v>
      </c>
      <c r="F548" s="530">
        <v>103062150</v>
      </c>
      <c r="G548" s="467"/>
      <c r="I548" s="902"/>
      <c r="M548" s="903"/>
    </row>
    <row r="549" spans="2:13" s="843" customFormat="1">
      <c r="B549" s="905" t="s">
        <v>1538</v>
      </c>
      <c r="C549" s="530">
        <v>0</v>
      </c>
      <c r="D549" s="530">
        <v>103062150</v>
      </c>
      <c r="E549" s="530">
        <v>0</v>
      </c>
      <c r="F549" s="530">
        <v>103062150</v>
      </c>
      <c r="G549" s="467"/>
      <c r="I549" s="902"/>
      <c r="M549" s="903"/>
    </row>
    <row r="550" spans="2:13" s="843" customFormat="1">
      <c r="B550" s="905" t="s">
        <v>1538</v>
      </c>
      <c r="C550" s="530">
        <v>0</v>
      </c>
      <c r="D550" s="530">
        <v>103062150</v>
      </c>
      <c r="E550" s="530">
        <v>0</v>
      </c>
      <c r="F550" s="530">
        <v>103062150</v>
      </c>
      <c r="G550" s="467"/>
      <c r="I550" s="902"/>
      <c r="M550" s="903"/>
    </row>
    <row r="551" spans="2:13" s="843" customFormat="1">
      <c r="B551" s="905" t="s">
        <v>1538</v>
      </c>
      <c r="C551" s="530">
        <v>0</v>
      </c>
      <c r="D551" s="530">
        <v>103062150</v>
      </c>
      <c r="E551" s="530">
        <v>0</v>
      </c>
      <c r="F551" s="530">
        <v>103062150</v>
      </c>
      <c r="G551" s="467"/>
      <c r="I551" s="902"/>
      <c r="M551" s="903"/>
    </row>
    <row r="552" spans="2:13" s="843" customFormat="1">
      <c r="B552" s="905" t="s">
        <v>1538</v>
      </c>
      <c r="C552" s="530">
        <v>0</v>
      </c>
      <c r="D552" s="530">
        <v>171770250</v>
      </c>
      <c r="E552" s="530">
        <v>0</v>
      </c>
      <c r="F552" s="530">
        <v>171770250</v>
      </c>
      <c r="G552" s="467"/>
      <c r="I552" s="902"/>
      <c r="M552" s="903"/>
    </row>
    <row r="553" spans="2:13" s="843" customFormat="1">
      <c r="B553" s="905" t="s">
        <v>1538</v>
      </c>
      <c r="C553" s="530">
        <v>0</v>
      </c>
      <c r="D553" s="530">
        <v>171770250</v>
      </c>
      <c r="E553" s="530">
        <v>0</v>
      </c>
      <c r="F553" s="530">
        <v>171770250</v>
      </c>
      <c r="G553" s="467"/>
      <c r="I553" s="902"/>
      <c r="M553" s="903"/>
    </row>
    <row r="554" spans="2:13" s="843" customFormat="1">
      <c r="B554" s="905" t="s">
        <v>1538</v>
      </c>
      <c r="C554" s="530">
        <v>0</v>
      </c>
      <c r="D554" s="530">
        <v>171770250</v>
      </c>
      <c r="E554" s="530">
        <v>0</v>
      </c>
      <c r="F554" s="530">
        <v>171770250</v>
      </c>
      <c r="G554" s="467"/>
      <c r="I554" s="902"/>
      <c r="M554" s="903"/>
    </row>
    <row r="555" spans="2:13" s="843" customFormat="1">
      <c r="B555" s="905" t="s">
        <v>1538</v>
      </c>
      <c r="C555" s="530">
        <v>0</v>
      </c>
      <c r="D555" s="530">
        <v>171770250</v>
      </c>
      <c r="E555" s="530">
        <v>0</v>
      </c>
      <c r="F555" s="530">
        <v>171770250</v>
      </c>
      <c r="G555" s="467"/>
      <c r="I555" s="902"/>
      <c r="M555" s="903"/>
    </row>
    <row r="556" spans="2:13" s="843" customFormat="1">
      <c r="B556" s="905" t="s">
        <v>1538</v>
      </c>
      <c r="C556" s="530">
        <v>0</v>
      </c>
      <c r="D556" s="530">
        <v>171770250</v>
      </c>
      <c r="E556" s="530">
        <v>0</v>
      </c>
      <c r="F556" s="530">
        <v>171770250</v>
      </c>
      <c r="G556" s="467"/>
      <c r="I556" s="902"/>
      <c r="M556" s="903"/>
    </row>
    <row r="557" spans="2:13" s="843" customFormat="1">
      <c r="B557" s="905" t="s">
        <v>1538</v>
      </c>
      <c r="C557" s="530">
        <v>0</v>
      </c>
      <c r="D557" s="530">
        <v>68708100</v>
      </c>
      <c r="E557" s="530">
        <v>0</v>
      </c>
      <c r="F557" s="530">
        <v>68708100</v>
      </c>
      <c r="G557" s="467"/>
      <c r="I557" s="902"/>
      <c r="M557" s="903"/>
    </row>
    <row r="558" spans="2:13" s="843" customFormat="1">
      <c r="B558" s="905" t="s">
        <v>1538</v>
      </c>
      <c r="C558" s="530">
        <v>0</v>
      </c>
      <c r="D558" s="530">
        <v>68708100</v>
      </c>
      <c r="E558" s="530">
        <v>0</v>
      </c>
      <c r="F558" s="530">
        <v>68708100</v>
      </c>
      <c r="G558" s="467"/>
      <c r="I558" s="902"/>
      <c r="M558" s="903"/>
    </row>
    <row r="559" spans="2:13" s="843" customFormat="1">
      <c r="B559" s="905" t="s">
        <v>1538</v>
      </c>
      <c r="C559" s="530">
        <v>0</v>
      </c>
      <c r="D559" s="530">
        <v>68708100</v>
      </c>
      <c r="E559" s="530">
        <v>0</v>
      </c>
      <c r="F559" s="530">
        <v>68708100</v>
      </c>
      <c r="G559" s="467"/>
      <c r="I559" s="902"/>
      <c r="M559" s="903"/>
    </row>
    <row r="560" spans="2:13" s="843" customFormat="1">
      <c r="B560" s="905" t="s">
        <v>1538</v>
      </c>
      <c r="C560" s="530">
        <v>0</v>
      </c>
      <c r="D560" s="530">
        <v>68708100</v>
      </c>
      <c r="E560" s="530">
        <v>0</v>
      </c>
      <c r="F560" s="530">
        <v>68708100</v>
      </c>
      <c r="G560" s="467"/>
      <c r="I560" s="902"/>
      <c r="M560" s="903"/>
    </row>
    <row r="561" spans="1:14" s="843" customFormat="1">
      <c r="B561" s="905" t="s">
        <v>1538</v>
      </c>
      <c r="C561" s="530">
        <v>0</v>
      </c>
      <c r="D561" s="530">
        <v>68708100</v>
      </c>
      <c r="E561" s="530">
        <v>0</v>
      </c>
      <c r="F561" s="530">
        <v>68708100</v>
      </c>
      <c r="G561" s="467"/>
      <c r="I561" s="902"/>
      <c r="M561" s="903"/>
    </row>
    <row r="562" spans="1:14" s="843" customFormat="1">
      <c r="B562" s="905" t="s">
        <v>1538</v>
      </c>
      <c r="C562" s="530">
        <v>0</v>
      </c>
      <c r="D562" s="530">
        <v>68708100</v>
      </c>
      <c r="E562" s="530">
        <v>0</v>
      </c>
      <c r="F562" s="530">
        <v>68708100</v>
      </c>
      <c r="G562" s="467"/>
      <c r="I562" s="902"/>
      <c r="M562" s="903"/>
    </row>
    <row r="563" spans="1:14" s="843" customFormat="1">
      <c r="B563" s="905" t="s">
        <v>1538</v>
      </c>
      <c r="C563" s="530">
        <v>0</v>
      </c>
      <c r="D563" s="530">
        <v>68708100</v>
      </c>
      <c r="E563" s="530">
        <v>0</v>
      </c>
      <c r="F563" s="530">
        <v>68708100</v>
      </c>
      <c r="G563" s="467"/>
      <c r="I563" s="902"/>
      <c r="M563" s="903"/>
    </row>
    <row r="564" spans="1:14" s="843" customFormat="1">
      <c r="B564" s="905" t="s">
        <v>1538</v>
      </c>
      <c r="C564" s="530">
        <v>0</v>
      </c>
      <c r="D564" s="530">
        <v>68708100</v>
      </c>
      <c r="E564" s="530">
        <v>0</v>
      </c>
      <c r="F564" s="530">
        <v>68708100</v>
      </c>
      <c r="G564" s="467"/>
      <c r="I564" s="902"/>
      <c r="M564" s="903"/>
    </row>
    <row r="565" spans="1:14" s="843" customFormat="1">
      <c r="B565" s="905" t="s">
        <v>1538</v>
      </c>
      <c r="C565" s="530">
        <v>0</v>
      </c>
      <c r="D565" s="530">
        <v>68708100</v>
      </c>
      <c r="E565" s="530">
        <v>0</v>
      </c>
      <c r="F565" s="530">
        <v>68708100</v>
      </c>
      <c r="G565" s="467"/>
      <c r="I565" s="902"/>
      <c r="M565" s="903"/>
    </row>
    <row r="566" spans="1:14" s="843" customFormat="1">
      <c r="B566" s="905" t="s">
        <v>1538</v>
      </c>
      <c r="C566" s="530">
        <v>0</v>
      </c>
      <c r="D566" s="530">
        <v>68708100</v>
      </c>
      <c r="E566" s="530">
        <v>0</v>
      </c>
      <c r="F566" s="530">
        <v>68708100</v>
      </c>
      <c r="G566" s="467"/>
      <c r="I566" s="902"/>
      <c r="M566" s="903"/>
    </row>
    <row r="567" spans="1:14" s="843" customFormat="1">
      <c r="B567" s="905" t="s">
        <v>1531</v>
      </c>
      <c r="C567" s="530">
        <v>0</v>
      </c>
      <c r="D567" s="530">
        <v>16787697422.160002</v>
      </c>
      <c r="E567" s="530">
        <v>0</v>
      </c>
      <c r="F567" s="530">
        <v>16787697422.160002</v>
      </c>
      <c r="G567" s="467"/>
      <c r="I567" s="902"/>
      <c r="M567" s="903"/>
    </row>
    <row r="568" spans="1:14" s="843" customFormat="1">
      <c r="B568" s="905" t="s">
        <v>1531</v>
      </c>
      <c r="C568" s="530">
        <v>0</v>
      </c>
      <c r="D568" s="530">
        <v>63420669</v>
      </c>
      <c r="E568" s="530">
        <v>0</v>
      </c>
      <c r="F568" s="530">
        <v>63420669</v>
      </c>
      <c r="G568" s="467"/>
      <c r="I568" s="902"/>
      <c r="M568" s="903"/>
    </row>
    <row r="569" spans="1:14" s="467" customFormat="1">
      <c r="A569" s="465"/>
      <c r="B569" s="418" t="s">
        <v>1441</v>
      </c>
      <c r="C569" s="533"/>
      <c r="D569" s="534">
        <f>+SUM(D357:D568)</f>
        <v>87224765300.84375</v>
      </c>
      <c r="E569" s="534"/>
      <c r="F569" s="534">
        <f>+SUM(F357:F568)</f>
        <v>87241474956.813599</v>
      </c>
      <c r="G569" s="505">
        <f>+D569-BG!D23</f>
        <v>-0.15625</v>
      </c>
      <c r="H569" s="505"/>
      <c r="I569" s="468"/>
      <c r="L569" s="485"/>
      <c r="M569" s="485"/>
      <c r="N569" s="485"/>
    </row>
    <row r="570" spans="1:14" s="467" customFormat="1">
      <c r="A570" s="465"/>
      <c r="B570" s="418" t="s">
        <v>1282</v>
      </c>
      <c r="C570" s="529"/>
      <c r="D570" s="534">
        <v>29161895047</v>
      </c>
      <c r="E570" s="534"/>
      <c r="F570" s="534">
        <v>29162326753</v>
      </c>
      <c r="H570" s="505"/>
      <c r="I570" s="468"/>
      <c r="L570" s="485"/>
      <c r="M570" s="485"/>
      <c r="N570" s="485"/>
    </row>
    <row r="571" spans="1:14" s="467" customFormat="1">
      <c r="A571" s="465"/>
      <c r="B571" s="1002" t="s">
        <v>1592</v>
      </c>
      <c r="C571" s="1002"/>
      <c r="D571" s="1002"/>
      <c r="E571" s="1002"/>
      <c r="F571" s="1002"/>
      <c r="I571" s="468"/>
      <c r="L571" s="485"/>
      <c r="M571" s="485"/>
      <c r="N571" s="485"/>
    </row>
    <row r="572" spans="1:14" s="467" customFormat="1">
      <c r="A572" s="465"/>
      <c r="B572" s="535" t="s">
        <v>669</v>
      </c>
      <c r="C572" s="536">
        <v>200000000</v>
      </c>
      <c r="D572" s="536">
        <v>900000000</v>
      </c>
      <c r="E572" s="536">
        <v>200000000</v>
      </c>
      <c r="F572" s="536">
        <v>900000000</v>
      </c>
      <c r="I572" s="468"/>
      <c r="L572" s="485"/>
      <c r="M572" s="485"/>
      <c r="N572" s="485"/>
    </row>
    <row r="573" spans="1:14" s="467" customFormat="1">
      <c r="A573" s="465"/>
      <c r="B573" s="535" t="s">
        <v>481</v>
      </c>
      <c r="C573" s="536">
        <v>4999000000</v>
      </c>
      <c r="D573" s="536">
        <f>+G349</f>
        <v>7046406868</v>
      </c>
      <c r="E573" s="536">
        <v>4999000000</v>
      </c>
      <c r="F573" s="536">
        <f>+D573</f>
        <v>7046406868</v>
      </c>
      <c r="I573" s="468"/>
      <c r="L573" s="485"/>
      <c r="M573" s="485"/>
      <c r="N573" s="485"/>
    </row>
    <row r="574" spans="1:14" s="467" customFormat="1">
      <c r="A574" s="465"/>
      <c r="B574" s="418" t="s">
        <v>1441</v>
      </c>
      <c r="C574" s="537"/>
      <c r="D574" s="537">
        <f>+SUM(D572:D573)</f>
        <v>7946406868</v>
      </c>
      <c r="E574" s="534"/>
      <c r="F574" s="537">
        <f>+SUM(F572:F573)</f>
        <v>7946406868</v>
      </c>
      <c r="I574" s="468"/>
      <c r="L574" s="485"/>
      <c r="M574" s="485"/>
      <c r="N574" s="485"/>
    </row>
    <row r="575" spans="1:14" s="467" customFormat="1">
      <c r="A575" s="465"/>
      <c r="B575" s="418" t="s">
        <v>1282</v>
      </c>
      <c r="C575" s="538"/>
      <c r="D575" s="534">
        <v>4454990631</v>
      </c>
      <c r="E575" s="530"/>
      <c r="F575" s="534">
        <v>4454990631</v>
      </c>
      <c r="I575" s="468"/>
      <c r="L575" s="485"/>
      <c r="M575" s="485"/>
      <c r="N575" s="485"/>
    </row>
    <row r="576" spans="1:14" s="467" customFormat="1">
      <c r="A576" s="465"/>
      <c r="I576" s="468"/>
      <c r="L576" s="485"/>
      <c r="M576" s="485"/>
      <c r="N576" s="485"/>
    </row>
    <row r="577" spans="1:14" s="467" customFormat="1">
      <c r="A577" s="465"/>
      <c r="B577" s="403" t="s">
        <v>453</v>
      </c>
      <c r="I577" s="468"/>
      <c r="L577" s="485"/>
      <c r="M577" s="485"/>
      <c r="N577" s="485"/>
    </row>
    <row r="578" spans="1:14" s="467" customFormat="1" ht="55.2" customHeight="1">
      <c r="A578" s="465"/>
      <c r="B578" s="1003" t="s">
        <v>647</v>
      </c>
      <c r="C578" s="1003"/>
      <c r="D578" s="1003"/>
      <c r="E578" s="1003"/>
      <c r="F578" s="1003"/>
      <c r="I578" s="468"/>
      <c r="L578" s="485"/>
      <c r="M578" s="485"/>
      <c r="N578" s="485"/>
    </row>
    <row r="579" spans="1:14" s="467" customFormat="1">
      <c r="A579" s="465"/>
      <c r="B579" s="403"/>
      <c r="I579" s="468"/>
      <c r="L579" s="485"/>
      <c r="M579" s="485"/>
      <c r="N579" s="485"/>
    </row>
    <row r="580" spans="1:14" s="467" customFormat="1">
      <c r="A580" s="465"/>
      <c r="B580" s="539" t="s">
        <v>1594</v>
      </c>
      <c r="I580" s="468"/>
      <c r="L580" s="485"/>
      <c r="M580" s="485"/>
      <c r="N580" s="485"/>
    </row>
    <row r="581" spans="1:14" s="467" customFormat="1">
      <c r="A581" s="465"/>
      <c r="I581" s="468"/>
      <c r="L581" s="485"/>
      <c r="M581" s="485"/>
      <c r="N581" s="485"/>
    </row>
    <row r="582" spans="1:14" s="467" customFormat="1" ht="24.6" customHeight="1">
      <c r="A582" s="465"/>
      <c r="B582" s="457" t="s">
        <v>71</v>
      </c>
      <c r="C582" s="540">
        <v>44561</v>
      </c>
      <c r="D582" s="541">
        <v>44196</v>
      </c>
      <c r="I582" s="468"/>
      <c r="L582" s="485"/>
      <c r="M582" s="485"/>
      <c r="N582" s="485"/>
    </row>
    <row r="583" spans="1:14" s="467" customFormat="1">
      <c r="A583" s="465"/>
      <c r="B583" s="542" t="s">
        <v>454</v>
      </c>
      <c r="C583" s="543"/>
      <c r="D583" s="543"/>
      <c r="I583" s="468"/>
      <c r="L583" s="485"/>
      <c r="M583" s="485"/>
      <c r="N583" s="485"/>
    </row>
    <row r="584" spans="1:14" s="467" customFormat="1">
      <c r="A584" s="465"/>
      <c r="B584" s="544" t="s">
        <v>455</v>
      </c>
      <c r="C584" s="521">
        <f>+Clasificaciones!G210+Clasificaciones!G211+Clasificaciones!G212+Clasificaciones!G213+Clasificaciones!G229</f>
        <v>71252567832</v>
      </c>
      <c r="D584" s="521">
        <v>21919889600</v>
      </c>
      <c r="I584" s="468"/>
      <c r="L584" s="485"/>
      <c r="M584" s="485"/>
      <c r="N584" s="485"/>
    </row>
    <row r="585" spans="1:14" s="467" customFormat="1">
      <c r="A585" s="465"/>
      <c r="B585" s="544" t="s">
        <v>456</v>
      </c>
      <c r="C585" s="521">
        <f>+Clasificaciones!G242+Clasificaciones!G245</f>
        <v>174519</v>
      </c>
      <c r="D585" s="521">
        <v>0</v>
      </c>
      <c r="I585" s="468"/>
      <c r="L585" s="485"/>
      <c r="M585" s="485"/>
      <c r="N585" s="485"/>
    </row>
    <row r="586" spans="1:14" s="467" customFormat="1" ht="33.6">
      <c r="A586" s="465"/>
      <c r="B586" s="545" t="s">
        <v>457</v>
      </c>
      <c r="C586" s="546">
        <f>+SUM(C584:C585)</f>
        <v>71252742351</v>
      </c>
      <c r="D586" s="546">
        <f>+SUM(D584:D585)</f>
        <v>21919889600</v>
      </c>
      <c r="E586" s="547"/>
      <c r="F586" s="548"/>
      <c r="G586" s="523"/>
      <c r="I586" s="468"/>
      <c r="L586" s="485"/>
      <c r="M586" s="485"/>
      <c r="N586" s="485"/>
    </row>
    <row r="587" spans="1:14" s="467" customFormat="1">
      <c r="A587" s="465"/>
      <c r="B587" s="544" t="s">
        <v>690</v>
      </c>
      <c r="C587" s="795">
        <f>+Clasificaciones!G466+Clasificaciones!G467+Clasificaciones!G468</f>
        <v>-67832485056</v>
      </c>
      <c r="D587" s="795">
        <v>-20459910164</v>
      </c>
      <c r="I587" s="468"/>
      <c r="L587" s="485"/>
      <c r="M587" s="485"/>
      <c r="N587" s="485"/>
    </row>
    <row r="588" spans="1:14" s="467" customFormat="1">
      <c r="A588" s="465"/>
      <c r="B588" s="544" t="s">
        <v>1342</v>
      </c>
      <c r="C588" s="795">
        <f>+Clasificaciones!G458+Clasificaciones!G459+Clasificaciones!G460+Clasificaciones!G462+Clasificaciones!G463+Clasificaciones!G464</f>
        <v>-271950997</v>
      </c>
      <c r="D588" s="795">
        <v>-36332893.5</v>
      </c>
      <c r="I588" s="468"/>
      <c r="L588" s="485"/>
      <c r="M588" s="485"/>
      <c r="N588" s="485"/>
    </row>
    <row r="589" spans="1:14" s="467" customFormat="1" ht="33.6">
      <c r="A589" s="465"/>
      <c r="B589" s="545" t="s">
        <v>458</v>
      </c>
      <c r="C589" s="796">
        <f>+C587+C588</f>
        <v>-68104436053</v>
      </c>
      <c r="D589" s="796">
        <f>+D587+D588</f>
        <v>-20496243057.5</v>
      </c>
      <c r="E589" s="550"/>
      <c r="F589" s="523"/>
      <c r="G589" s="523"/>
      <c r="I589" s="468"/>
      <c r="L589" s="485"/>
      <c r="M589" s="485"/>
      <c r="N589" s="485"/>
    </row>
    <row r="590" spans="1:14" s="467" customFormat="1">
      <c r="A590" s="465"/>
      <c r="B590" s="545" t="s">
        <v>1595</v>
      </c>
      <c r="C590" s="549">
        <f>+C586+C589</f>
        <v>3148306298</v>
      </c>
      <c r="D590" s="549">
        <f>+D586+D589</f>
        <v>1423646542.5</v>
      </c>
      <c r="E590" s="550"/>
      <c r="F590" s="523"/>
      <c r="G590" s="523"/>
      <c r="I590" s="468"/>
      <c r="L590" s="485"/>
      <c r="M590" s="485"/>
      <c r="N590" s="485"/>
    </row>
    <row r="591" spans="1:14" s="467" customFormat="1">
      <c r="A591" s="465"/>
      <c r="I591" s="468"/>
      <c r="L591" s="485"/>
      <c r="M591" s="485"/>
      <c r="N591" s="485"/>
    </row>
    <row r="592" spans="1:14">
      <c r="B592" s="403" t="s">
        <v>251</v>
      </c>
      <c r="C592" s="338"/>
      <c r="D592" s="338"/>
      <c r="E592" s="338"/>
    </row>
    <row r="593" spans="2:6">
      <c r="B593" s="338"/>
      <c r="C593" s="338"/>
      <c r="D593" s="338"/>
      <c r="E593" s="338"/>
    </row>
    <row r="594" spans="2:6">
      <c r="B594" s="551" t="s">
        <v>459</v>
      </c>
      <c r="C594" s="411"/>
      <c r="D594" s="338"/>
      <c r="E594" s="338"/>
    </row>
    <row r="595" spans="2:6">
      <c r="B595" s="338"/>
      <c r="C595" s="338"/>
      <c r="D595" s="338"/>
      <c r="E595" s="338"/>
    </row>
    <row r="596" spans="2:6">
      <c r="B596" s="338" t="s">
        <v>460</v>
      </c>
      <c r="C596" s="338"/>
      <c r="D596" s="338"/>
      <c r="E596" s="338"/>
    </row>
    <row r="597" spans="2:6">
      <c r="B597" s="338"/>
      <c r="C597" s="338"/>
      <c r="D597" s="338"/>
      <c r="E597" s="338"/>
    </row>
    <row r="598" spans="2:6" ht="29.4" customHeight="1">
      <c r="B598" s="388" t="s">
        <v>71</v>
      </c>
      <c r="C598" s="540">
        <v>44561</v>
      </c>
      <c r="D598" s="541">
        <v>44196</v>
      </c>
      <c r="E598" s="338"/>
    </row>
    <row r="599" spans="2:6">
      <c r="B599" s="544" t="s">
        <v>1278</v>
      </c>
      <c r="C599" s="552">
        <f>+Clasificaciones!G249</f>
        <v>61105608</v>
      </c>
      <c r="D599" s="552">
        <f>+Clasificaciones!K249</f>
        <v>110000</v>
      </c>
      <c r="E599" s="338"/>
    </row>
    <row r="600" spans="2:6">
      <c r="B600" s="544" t="s">
        <v>1277</v>
      </c>
      <c r="C600" s="552">
        <f>+Clasificaciones!G250</f>
        <v>11910755</v>
      </c>
      <c r="D600" s="552">
        <f>+Clasificaciones!K250</f>
        <v>3987206</v>
      </c>
      <c r="E600" s="338"/>
    </row>
    <row r="601" spans="2:6">
      <c r="B601" s="553" t="s">
        <v>72</v>
      </c>
      <c r="C601" s="554">
        <f>SUM(C599:C600)</f>
        <v>73016363</v>
      </c>
      <c r="D601" s="554">
        <f>SUM(D599:D600)</f>
        <v>4097206</v>
      </c>
      <c r="E601" s="339">
        <f>+C601-BG!D32</f>
        <v>0</v>
      </c>
      <c r="F601" s="463">
        <f>+D601-BG!F32</f>
        <v>0</v>
      </c>
    </row>
    <row r="602" spans="2:6">
      <c r="B602" s="555"/>
      <c r="D602" s="556"/>
      <c r="E602" s="338"/>
    </row>
    <row r="603" spans="2:6">
      <c r="B603" s="551" t="s">
        <v>461</v>
      </c>
      <c r="D603" s="556"/>
      <c r="E603" s="338"/>
    </row>
    <row r="604" spans="2:6" ht="9.6" customHeight="1">
      <c r="B604" s="557"/>
      <c r="C604" s="338"/>
      <c r="D604" s="338"/>
      <c r="E604" s="338"/>
    </row>
    <row r="605" spans="2:6">
      <c r="B605" s="1004" t="s">
        <v>735</v>
      </c>
      <c r="C605" s="1004"/>
      <c r="D605" s="1004"/>
      <c r="E605" s="338"/>
    </row>
    <row r="606" spans="2:6">
      <c r="B606" s="558"/>
      <c r="C606" s="558"/>
      <c r="D606" s="558"/>
      <c r="E606" s="338"/>
    </row>
    <row r="607" spans="2:6" ht="27.6" customHeight="1">
      <c r="B607" s="388" t="s">
        <v>71</v>
      </c>
      <c r="C607" s="540">
        <v>44561</v>
      </c>
      <c r="D607" s="541">
        <v>44196</v>
      </c>
      <c r="E607" s="338"/>
    </row>
    <row r="608" spans="2:6">
      <c r="B608" s="544" t="s">
        <v>1315</v>
      </c>
      <c r="C608" s="552">
        <f>+VLOOKUP(B608,Clasificaciones!D4:G265,4,FALSE)</f>
        <v>3975686</v>
      </c>
      <c r="D608" s="552">
        <f>+VLOOKUP(B608,Clasificaciones!D4:K265,8,FALSE)</f>
        <v>266036645</v>
      </c>
      <c r="E608" s="338"/>
    </row>
    <row r="609" spans="2:6">
      <c r="B609" s="544" t="s">
        <v>1316</v>
      </c>
      <c r="C609" s="552">
        <f>+VLOOKUP(B609,Clasificaciones!D5:G266,4,FALSE)</f>
        <v>2997734</v>
      </c>
      <c r="D609" s="552">
        <f>+VLOOKUP(B609,Clasificaciones!D5:K266,8,FALSE)</f>
        <v>0</v>
      </c>
      <c r="E609" s="338"/>
    </row>
    <row r="610" spans="2:6">
      <c r="B610" s="544" t="s">
        <v>1075</v>
      </c>
      <c r="C610" s="552">
        <f>+VLOOKUP(B610,Clasificaciones!D6:G267,4,FALSE)</f>
        <v>3300000</v>
      </c>
      <c r="D610" s="552">
        <f>+VLOOKUP(B610,Clasificaciones!D6:K267,8,FALSE)</f>
        <v>0</v>
      </c>
      <c r="E610" s="338"/>
    </row>
    <row r="611" spans="2:6">
      <c r="B611" s="544" t="s">
        <v>811</v>
      </c>
      <c r="C611" s="552">
        <f>+VLOOKUP(B611,Clasificaciones!D7:G268,4,FALSE)</f>
        <v>51047566</v>
      </c>
      <c r="D611" s="552">
        <f>+VLOOKUP(B611,Clasificaciones!D7:K268,8,FALSE)</f>
        <v>0</v>
      </c>
      <c r="E611" s="338"/>
    </row>
    <row r="612" spans="2:6">
      <c r="B612" s="544" t="s">
        <v>1625</v>
      </c>
      <c r="C612" s="552">
        <f>+VLOOKUP(B612,Clasificaciones!D8:G269,4,FALSE)</f>
        <v>1448246165</v>
      </c>
      <c r="D612" s="552">
        <f>+VLOOKUP(B612,Clasificaciones!D8:K269,8,FALSE)</f>
        <v>0</v>
      </c>
      <c r="E612" s="338"/>
    </row>
    <row r="613" spans="2:6">
      <c r="B613" s="553" t="s">
        <v>72</v>
      </c>
      <c r="C613" s="554">
        <f>+SUM(C608:C612)</f>
        <v>1509567151</v>
      </c>
      <c r="D613" s="554">
        <f>+SUM(D608:D612)</f>
        <v>266036645</v>
      </c>
      <c r="E613" s="339">
        <f>+C613-BG!D33</f>
        <v>0</v>
      </c>
      <c r="F613" s="463">
        <f>+D613-BG!F33</f>
        <v>0</v>
      </c>
    </row>
    <row r="614" spans="2:6">
      <c r="B614" s="555"/>
      <c r="D614" s="556"/>
      <c r="E614" s="338"/>
    </row>
    <row r="615" spans="2:6">
      <c r="B615" s="559" t="s">
        <v>462</v>
      </c>
      <c r="D615" s="556"/>
      <c r="E615" s="338"/>
    </row>
    <row r="616" spans="2:6" ht="19.95" customHeight="1">
      <c r="B616" s="560" t="s">
        <v>1596</v>
      </c>
      <c r="D616" s="556"/>
      <c r="E616" s="338"/>
    </row>
    <row r="617" spans="2:6">
      <c r="B617" s="555"/>
      <c r="D617" s="556"/>
      <c r="E617" s="338"/>
    </row>
    <row r="618" spans="2:6" ht="33.6">
      <c r="B618" s="551" t="s">
        <v>463</v>
      </c>
      <c r="D618" s="556"/>
      <c r="E618" s="338"/>
    </row>
    <row r="619" spans="2:6">
      <c r="B619" s="558" t="s">
        <v>1597</v>
      </c>
      <c r="D619" s="556"/>
      <c r="E619" s="338"/>
    </row>
    <row r="620" spans="2:6" ht="21.6" customHeight="1">
      <c r="B620" s="558"/>
      <c r="D620" s="556"/>
      <c r="E620" s="338"/>
    </row>
    <row r="621" spans="2:6" ht="14.4" customHeight="1">
      <c r="B621" s="1005" t="s">
        <v>464</v>
      </c>
      <c r="C621" s="1005"/>
      <c r="D621" s="1005"/>
      <c r="E621" s="338"/>
    </row>
    <row r="622" spans="2:6">
      <c r="B622" s="558"/>
      <c r="D622" s="556"/>
      <c r="E622" s="338"/>
    </row>
    <row r="623" spans="2:6" ht="27.6" customHeight="1">
      <c r="B623" s="388" t="s">
        <v>71</v>
      </c>
      <c r="C623" s="540">
        <v>44561</v>
      </c>
      <c r="D623" s="541">
        <v>44196</v>
      </c>
      <c r="E623" s="338"/>
    </row>
    <row r="624" spans="2:6">
      <c r="B624" s="544" t="s">
        <v>612</v>
      </c>
      <c r="C624" s="561">
        <f>+Clasificaciones!G294+2</f>
        <v>2276740</v>
      </c>
      <c r="D624" s="521">
        <v>6370138</v>
      </c>
      <c r="E624" s="338"/>
    </row>
    <row r="625" spans="1:14">
      <c r="B625" s="553" t="s">
        <v>72</v>
      </c>
      <c r="C625" s="562">
        <f>+SUM(C624:C624)</f>
        <v>2276740</v>
      </c>
      <c r="D625" s="562">
        <f>+SUM(D624:D624)</f>
        <v>6370138</v>
      </c>
      <c r="E625" s="339">
        <f>+C625-BG!D36</f>
        <v>0</v>
      </c>
    </row>
    <row r="626" spans="1:14">
      <c r="B626" s="563"/>
      <c r="C626" s="564"/>
      <c r="D626" s="564"/>
      <c r="E626" s="339"/>
    </row>
    <row r="627" spans="1:14">
      <c r="B627" s="403" t="s">
        <v>465</v>
      </c>
    </row>
    <row r="628" spans="1:14">
      <c r="B628" s="557" t="s">
        <v>466</v>
      </c>
    </row>
    <row r="629" spans="1:14">
      <c r="B629" s="557"/>
    </row>
    <row r="630" spans="1:14" s="566" customFormat="1" ht="20.399999999999999" customHeight="1">
      <c r="A630" s="565"/>
      <c r="B630" s="988" t="s">
        <v>1276</v>
      </c>
      <c r="C630" s="988" t="s">
        <v>361</v>
      </c>
      <c r="D630" s="988"/>
      <c r="E630" s="988"/>
      <c r="F630" s="988"/>
      <c r="G630" s="988"/>
      <c r="H630" s="1006" t="s">
        <v>362</v>
      </c>
      <c r="I630" s="1007"/>
      <c r="J630" s="1007"/>
      <c r="K630" s="1007"/>
      <c r="L630" s="1007"/>
      <c r="M630" s="1007"/>
      <c r="N630" s="691"/>
    </row>
    <row r="631" spans="1:14" s="414" customFormat="1" ht="36.6" customHeight="1">
      <c r="A631" s="412"/>
      <c r="B631" s="988"/>
      <c r="C631" s="388" t="s">
        <v>357</v>
      </c>
      <c r="D631" s="388" t="s">
        <v>358</v>
      </c>
      <c r="E631" s="388" t="s">
        <v>359</v>
      </c>
      <c r="F631" s="388" t="s">
        <v>467</v>
      </c>
      <c r="G631" s="388" t="s">
        <v>468</v>
      </c>
      <c r="H631" s="388" t="s">
        <v>360</v>
      </c>
      <c r="I631" s="415" t="s">
        <v>358</v>
      </c>
      <c r="J631" s="415" t="s">
        <v>359</v>
      </c>
      <c r="K631" s="415" t="s">
        <v>467</v>
      </c>
      <c r="L631" s="415" t="s">
        <v>1599</v>
      </c>
      <c r="M631" s="415" t="s">
        <v>1600</v>
      </c>
      <c r="N631" s="689"/>
    </row>
    <row r="632" spans="1:14" s="571" customFormat="1">
      <c r="A632" s="567"/>
      <c r="B632" s="568" t="s">
        <v>1279</v>
      </c>
      <c r="C632" s="569">
        <v>1307727</v>
      </c>
      <c r="D632" s="569">
        <v>247701051</v>
      </c>
      <c r="E632" s="569">
        <v>0</v>
      </c>
      <c r="F632" s="569" t="s">
        <v>452</v>
      </c>
      <c r="G632" s="570">
        <f>SUM(C632:F632)</f>
        <v>249008778</v>
      </c>
      <c r="H632" s="569">
        <v>0</v>
      </c>
      <c r="I632" s="569">
        <v>-588477</v>
      </c>
      <c r="J632" s="569">
        <v>0</v>
      </c>
      <c r="K632" s="569">
        <v>0</v>
      </c>
      <c r="L632" s="579">
        <f>+SUM(H632:K632)</f>
        <v>-588477</v>
      </c>
      <c r="M632" s="579">
        <f>+G632+L632</f>
        <v>248420301</v>
      </c>
      <c r="N632" s="692"/>
    </row>
    <row r="633" spans="1:14" s="571" customFormat="1">
      <c r="A633" s="567"/>
      <c r="B633" s="568" t="s">
        <v>696</v>
      </c>
      <c r="C633" s="569">
        <v>16238918</v>
      </c>
      <c r="D633" s="569">
        <v>341269314</v>
      </c>
      <c r="E633" s="569">
        <v>0</v>
      </c>
      <c r="F633" s="569">
        <v>0</v>
      </c>
      <c r="G633" s="570">
        <f>SUM(C633:F633)</f>
        <v>357508232</v>
      </c>
      <c r="H633" s="569">
        <v>-2839598</v>
      </c>
      <c r="I633" s="570">
        <v>-7113513</v>
      </c>
      <c r="J633" s="570">
        <v>0</v>
      </c>
      <c r="K633" s="570">
        <v>0</v>
      </c>
      <c r="L633" s="579">
        <f>+SUM(H633:K633)</f>
        <v>-9953111</v>
      </c>
      <c r="M633" s="579">
        <f>+G633+L633</f>
        <v>347555121</v>
      </c>
      <c r="N633" s="692"/>
    </row>
    <row r="634" spans="1:14" s="571" customFormat="1">
      <c r="A634" s="567"/>
      <c r="B634" s="568" t="s">
        <v>164</v>
      </c>
      <c r="C634" s="569">
        <v>0</v>
      </c>
      <c r="D634" s="569">
        <v>122540485</v>
      </c>
      <c r="E634" s="569">
        <v>0</v>
      </c>
      <c r="F634" s="569">
        <v>0</v>
      </c>
      <c r="G634" s="570">
        <f>SUM(C634:F634)</f>
        <v>122540485</v>
      </c>
      <c r="H634" s="572">
        <v>0</v>
      </c>
      <c r="I634" s="572">
        <v>0</v>
      </c>
      <c r="J634" s="572">
        <v>0</v>
      </c>
      <c r="K634" s="572">
        <v>0</v>
      </c>
      <c r="L634" s="579">
        <f>+SUM(H634:K634)</f>
        <v>0</v>
      </c>
      <c r="M634" s="579">
        <f>+G634+L634</f>
        <v>122540485</v>
      </c>
      <c r="N634" s="692"/>
    </row>
    <row r="635" spans="1:14" s="571" customFormat="1">
      <c r="A635" s="567"/>
      <c r="B635" s="568" t="s">
        <v>1120</v>
      </c>
      <c r="C635" s="569">
        <v>0</v>
      </c>
      <c r="D635" s="569">
        <v>316522493</v>
      </c>
      <c r="E635" s="569">
        <v>0</v>
      </c>
      <c r="F635" s="569">
        <v>0</v>
      </c>
      <c r="G635" s="570">
        <f>SUM(C635:F635)</f>
        <v>316522493</v>
      </c>
      <c r="H635" s="572">
        <v>0</v>
      </c>
      <c r="I635" s="572">
        <v>0</v>
      </c>
      <c r="J635" s="572">
        <v>0</v>
      </c>
      <c r="K635" s="572">
        <v>0</v>
      </c>
      <c r="L635" s="579">
        <f>+SUM(H635:K635)</f>
        <v>0</v>
      </c>
      <c r="M635" s="579">
        <f>+G635+L635</f>
        <v>316522493</v>
      </c>
      <c r="N635" s="692"/>
    </row>
    <row r="636" spans="1:14" s="574" customFormat="1">
      <c r="A636" s="573"/>
      <c r="B636" s="553" t="s">
        <v>1455</v>
      </c>
      <c r="C636" s="572">
        <f>+SUM(C632:C635)</f>
        <v>17546645</v>
      </c>
      <c r="D636" s="572">
        <f>+SUM(D632:D635)</f>
        <v>1028033343</v>
      </c>
      <c r="E636" s="572" t="s">
        <v>469</v>
      </c>
      <c r="F636" s="572" t="s">
        <v>426</v>
      </c>
      <c r="G636" s="572">
        <f>+SUM(G632:G635)</f>
        <v>1045579988</v>
      </c>
      <c r="H636" s="572">
        <f>+SUM(H632:H635)</f>
        <v>-2839598</v>
      </c>
      <c r="I636" s="572">
        <f t="shared" ref="I636:K636" si="6">+SUM(I632:I635)</f>
        <v>-7701990</v>
      </c>
      <c r="J636" s="572">
        <f t="shared" si="6"/>
        <v>0</v>
      </c>
      <c r="K636" s="572">
        <f t="shared" si="6"/>
        <v>0</v>
      </c>
      <c r="L636" s="662">
        <f>+SUM(L632:L635)</f>
        <v>-10541588</v>
      </c>
      <c r="M636" s="662">
        <f>+SUM(M632:M635)</f>
        <v>1035038400</v>
      </c>
      <c r="N636" s="497">
        <f>+M636-BG!D65-BG!D66</f>
        <v>0</v>
      </c>
    </row>
    <row r="637" spans="1:14" s="574" customFormat="1">
      <c r="A637" s="573"/>
      <c r="B637" s="553" t="s">
        <v>1262</v>
      </c>
      <c r="C637" s="572">
        <v>15775540</v>
      </c>
      <c r="D637" s="572">
        <v>1771105</v>
      </c>
      <c r="E637" s="572" t="s">
        <v>469</v>
      </c>
      <c r="F637" s="572" t="s">
        <v>426</v>
      </c>
      <c r="G637" s="572">
        <v>17546645</v>
      </c>
      <c r="H637" s="575">
        <v>0</v>
      </c>
      <c r="I637" s="575">
        <v>-2839598</v>
      </c>
      <c r="J637" s="575">
        <v>0</v>
      </c>
      <c r="K637" s="575">
        <v>0</v>
      </c>
      <c r="L637" s="693">
        <v>-2839598</v>
      </c>
      <c r="M637" s="662">
        <f>+G637+L637</f>
        <v>14707047</v>
      </c>
      <c r="N637" s="694"/>
    </row>
    <row r="638" spans="1:14">
      <c r="B638" s="403"/>
      <c r="G638" s="450">
        <f>+G636-BG!D65</f>
        <v>0</v>
      </c>
      <c r="L638" s="450">
        <f>+L636-BG!D66</f>
        <v>0</v>
      </c>
    </row>
    <row r="639" spans="1:14">
      <c r="B639" s="403"/>
    </row>
    <row r="640" spans="1:14">
      <c r="B640" s="576" t="s">
        <v>470</v>
      </c>
      <c r="C640" s="577"/>
    </row>
    <row r="641" spans="2:8">
      <c r="B641" s="558" t="s">
        <v>471</v>
      </c>
    </row>
    <row r="642" spans="2:8">
      <c r="B642" s="557"/>
    </row>
    <row r="643" spans="2:8">
      <c r="B643" s="388" t="s">
        <v>277</v>
      </c>
    </row>
    <row r="644" spans="2:8" ht="28.95" customHeight="1">
      <c r="B644" s="388" t="s">
        <v>71</v>
      </c>
      <c r="C644" s="388" t="s">
        <v>697</v>
      </c>
      <c r="D644" s="388" t="s">
        <v>698</v>
      </c>
      <c r="E644" s="388" t="s">
        <v>699</v>
      </c>
      <c r="F644" s="388" t="s">
        <v>1601</v>
      </c>
      <c r="G644" s="463"/>
    </row>
    <row r="645" spans="2:8">
      <c r="B645" s="578" t="s">
        <v>472</v>
      </c>
      <c r="C645" s="579">
        <v>189194183</v>
      </c>
      <c r="D645" s="579">
        <v>154984777</v>
      </c>
      <c r="E645" s="579">
        <v>-38037943</v>
      </c>
      <c r="F645" s="579">
        <f>SUM(C645:E645)</f>
        <v>306141017</v>
      </c>
      <c r="G645" s="463"/>
      <c r="H645" s="450"/>
    </row>
    <row r="646" spans="2:8">
      <c r="B646" s="578" t="s">
        <v>97</v>
      </c>
      <c r="C646" s="579">
        <v>6399988</v>
      </c>
      <c r="D646" s="579">
        <v>0</v>
      </c>
      <c r="E646" s="579">
        <f>-1600009+10</f>
        <v>-1599999</v>
      </c>
      <c r="F646" s="579">
        <f>SUM(C646:E646)</f>
        <v>4799989</v>
      </c>
      <c r="G646" s="463"/>
      <c r="H646" s="450"/>
    </row>
    <row r="647" spans="2:8">
      <c r="B647" s="578" t="s">
        <v>841</v>
      </c>
      <c r="C647" s="579">
        <v>538704564</v>
      </c>
      <c r="D647" s="579">
        <v>72925401</v>
      </c>
      <c r="E647" s="579">
        <v>-130145465</v>
      </c>
      <c r="F647" s="579">
        <f>SUM(C647:E647)</f>
        <v>481484500</v>
      </c>
      <c r="G647" s="463"/>
      <c r="H647" s="450"/>
    </row>
    <row r="648" spans="2:8">
      <c r="B648" s="553" t="s">
        <v>1455</v>
      </c>
      <c r="C648" s="572">
        <f>SUM(C645:C647)</f>
        <v>734298735</v>
      </c>
      <c r="D648" s="572">
        <f>SUM(D645:D647)</f>
        <v>227910178</v>
      </c>
      <c r="E648" s="572">
        <f>SUM(E645:E647)</f>
        <v>-169783407</v>
      </c>
      <c r="F648" s="572">
        <f>SUM(F645:F647)</f>
        <v>792425506</v>
      </c>
      <c r="G648" s="463"/>
      <c r="H648" s="463"/>
    </row>
    <row r="649" spans="2:8">
      <c r="B649" s="553" t="s">
        <v>1262</v>
      </c>
      <c r="C649" s="572">
        <v>644088416</v>
      </c>
      <c r="D649" s="572">
        <v>219028147</v>
      </c>
      <c r="E649" s="572">
        <v>-128817828</v>
      </c>
      <c r="F649" s="572">
        <v>734298735</v>
      </c>
      <c r="G649" s="463"/>
    </row>
    <row r="650" spans="2:8">
      <c r="B650" s="393"/>
      <c r="C650" s="580"/>
      <c r="D650" s="580"/>
      <c r="E650" s="580"/>
      <c r="F650" s="580"/>
      <c r="G650" s="463"/>
    </row>
    <row r="651" spans="2:8">
      <c r="B651" s="388" t="s">
        <v>169</v>
      </c>
      <c r="C651" s="580"/>
      <c r="D651" s="580"/>
      <c r="E651" s="580"/>
      <c r="F651" s="580"/>
      <c r="G651" s="463"/>
    </row>
    <row r="652" spans="2:8" ht="28.95" customHeight="1">
      <c r="B652" s="388" t="s">
        <v>71</v>
      </c>
      <c r="C652" s="388" t="s">
        <v>697</v>
      </c>
      <c r="D652" s="388" t="s">
        <v>698</v>
      </c>
      <c r="E652" s="388" t="s">
        <v>699</v>
      </c>
      <c r="F652" s="388" t="s">
        <v>700</v>
      </c>
      <c r="G652" s="463"/>
    </row>
    <row r="653" spans="2:8">
      <c r="B653" s="581" t="s">
        <v>427</v>
      </c>
      <c r="C653" s="579">
        <v>57764419</v>
      </c>
      <c r="D653" s="579">
        <v>0</v>
      </c>
      <c r="E653" s="579">
        <v>-7235861</v>
      </c>
      <c r="F653" s="579">
        <f>+C653+D653+E653+5</f>
        <v>50528563</v>
      </c>
      <c r="G653" s="463"/>
    </row>
    <row r="654" spans="2:8">
      <c r="B654" s="581" t="s">
        <v>473</v>
      </c>
      <c r="C654" s="579">
        <v>-36056876</v>
      </c>
      <c r="D654" s="579">
        <v>0</v>
      </c>
      <c r="E654" s="579">
        <v>0</v>
      </c>
      <c r="F654" s="579">
        <f>+C654+D654+E654</f>
        <v>-36056876</v>
      </c>
    </row>
    <row r="655" spans="2:8">
      <c r="B655" s="553" t="s">
        <v>1455</v>
      </c>
      <c r="C655" s="582">
        <f>+SUM(C653:C654)</f>
        <v>21707543</v>
      </c>
      <c r="D655" s="582">
        <f>+SUM(D653:D654)</f>
        <v>0</v>
      </c>
      <c r="E655" s="582">
        <f>+SUM(E653:E654)</f>
        <v>-7235861</v>
      </c>
      <c r="F655" s="582">
        <f>+SUM(F653:F654)</f>
        <v>14471687</v>
      </c>
      <c r="G655" s="450">
        <f>+F655+F648-BG!D68</f>
        <v>0</v>
      </c>
    </row>
    <row r="656" spans="2:8">
      <c r="B656" s="553" t="s">
        <v>1262</v>
      </c>
      <c r="C656" s="582">
        <v>28943411</v>
      </c>
      <c r="D656" s="582">
        <v>0</v>
      </c>
      <c r="E656" s="582">
        <v>-7235868</v>
      </c>
      <c r="F656" s="582">
        <v>21707543</v>
      </c>
      <c r="G656" s="450">
        <f>+F656+F649-BG!F68</f>
        <v>0</v>
      </c>
    </row>
    <row r="657" spans="2:6">
      <c r="B657" s="583"/>
      <c r="C657" s="584"/>
      <c r="D657" s="583"/>
      <c r="F657" s="463"/>
    </row>
    <row r="658" spans="2:6">
      <c r="B658" s="583"/>
      <c r="C658" s="584"/>
      <c r="D658" s="583"/>
      <c r="F658" s="463"/>
    </row>
    <row r="659" spans="2:6">
      <c r="B659" s="403" t="s">
        <v>1598</v>
      </c>
      <c r="C659" s="411"/>
      <c r="D659" s="585"/>
      <c r="F659" s="586"/>
    </row>
    <row r="660" spans="2:6" ht="16.2" customHeight="1">
      <c r="B660" s="557" t="s">
        <v>703</v>
      </c>
      <c r="D660" s="585"/>
    </row>
    <row r="661" spans="2:6" ht="12.45" customHeight="1">
      <c r="B661" s="557"/>
      <c r="D661" s="585"/>
    </row>
    <row r="662" spans="2:6" ht="27.6" customHeight="1">
      <c r="B662" s="388" t="s">
        <v>71</v>
      </c>
      <c r="C662" s="540">
        <v>44561</v>
      </c>
      <c r="D662" s="541">
        <v>44196</v>
      </c>
      <c r="E662" s="338"/>
    </row>
    <row r="663" spans="2:6">
      <c r="B663" s="544" t="s">
        <v>817</v>
      </c>
      <c r="C663" s="561">
        <f>+SUMIF(Clasificaciones!D:D,'Nota 5'!B663,Clasificaciones!G:G)</f>
        <v>263473908</v>
      </c>
      <c r="D663" s="521">
        <v>96802560</v>
      </c>
    </row>
    <row r="664" spans="2:6">
      <c r="B664" s="544" t="s">
        <v>704</v>
      </c>
      <c r="C664" s="561">
        <f>+SUMIF(Clasificaciones!D:D,'Nota 5'!B664,Clasificaciones!G:G)</f>
        <v>0</v>
      </c>
      <c r="D664" s="521">
        <f>+SUMIF(Clasificaciones!D:D,'Nota 5'!B664,Clasificaciones!K:K)</f>
        <v>17653690</v>
      </c>
    </row>
    <row r="665" spans="2:6">
      <c r="B665" s="544" t="s">
        <v>818</v>
      </c>
      <c r="C665" s="561">
        <f>+SUMIF(Clasificaciones!D:D,'Nota 5'!B665,Clasificaciones!G:G)</f>
        <v>129477</v>
      </c>
      <c r="D665" s="521">
        <v>0</v>
      </c>
    </row>
    <row r="666" spans="2:6">
      <c r="B666" s="544" t="s">
        <v>1085</v>
      </c>
      <c r="C666" s="561">
        <f>+SUMIF(Clasificaciones!D:D,'Nota 5'!B666,Clasificaciones!G:G)</f>
        <v>0</v>
      </c>
      <c r="D666" s="521">
        <f>+SUMIF(Clasificaciones!D:D,'Nota 5'!B666,Clasificaciones!K:K)</f>
        <v>15626149</v>
      </c>
    </row>
    <row r="667" spans="2:6">
      <c r="B667" s="544" t="s">
        <v>1346</v>
      </c>
      <c r="C667" s="561">
        <f>+SUMIF(Clasificaciones!D:D,'Nota 5'!B667,Clasificaciones!G:G)</f>
        <v>6444980</v>
      </c>
      <c r="D667" s="521">
        <v>6170980</v>
      </c>
    </row>
    <row r="668" spans="2:6">
      <c r="B668" s="544" t="s">
        <v>1602</v>
      </c>
      <c r="C668" s="561">
        <f>+SUMIF(Clasificaciones!D:D,'Nota 5'!B668,Clasificaciones!G:G)</f>
        <v>5866855</v>
      </c>
      <c r="D668" s="521"/>
    </row>
    <row r="669" spans="2:6">
      <c r="B669" s="544" t="s">
        <v>1094</v>
      </c>
      <c r="C669" s="561">
        <f>+SUMIF(Clasificaciones!D:D,'Nota 5'!B669,Clasificaciones!G:G)</f>
        <v>2472234</v>
      </c>
      <c r="D669" s="521">
        <v>0</v>
      </c>
    </row>
    <row r="670" spans="2:6">
      <c r="B670" s="544" t="s">
        <v>1363</v>
      </c>
      <c r="C670" s="561">
        <f>+SUMIF(Clasificaciones!D:D,'Nota 5'!B670,Clasificaciones!G:G)</f>
        <v>12613510</v>
      </c>
      <c r="D670" s="521"/>
    </row>
    <row r="671" spans="2:6">
      <c r="B671" s="544" t="s">
        <v>1364</v>
      </c>
      <c r="C671" s="561">
        <f>+SUMIF(Clasificaciones!D:D,'Nota 5'!B671,Clasificaciones!G:G)</f>
        <v>1360304</v>
      </c>
      <c r="D671" s="521"/>
    </row>
    <row r="672" spans="2:6">
      <c r="B672" s="544" t="s">
        <v>1318</v>
      </c>
      <c r="C672" s="561">
        <f>+SUMIF(Clasificaciones!D:D,'Nota 5'!B672,Clasificaciones!G:G)</f>
        <v>12374918</v>
      </c>
      <c r="D672" s="521">
        <v>0</v>
      </c>
    </row>
    <row r="673" spans="2:6">
      <c r="B673" s="553" t="s">
        <v>72</v>
      </c>
      <c r="C673" s="562">
        <f>SUM(C663:C672)</f>
        <v>304736186</v>
      </c>
      <c r="D673" s="562">
        <f>SUM(D663:D672)</f>
        <v>136253379</v>
      </c>
      <c r="E673" s="463">
        <f>+C673-BG!D42-BG!D75</f>
        <v>0</v>
      </c>
      <c r="F673" s="587">
        <f>+D673-BG!F42-BG!F75</f>
        <v>0</v>
      </c>
    </row>
    <row r="674" spans="2:6">
      <c r="B674" s="403"/>
      <c r="D674" s="585"/>
    </row>
    <row r="675" spans="2:6">
      <c r="B675" s="403"/>
      <c r="D675" s="585"/>
    </row>
    <row r="676" spans="2:6">
      <c r="B676" s="588" t="s">
        <v>648</v>
      </c>
      <c r="C676" s="453"/>
      <c r="D676" s="585"/>
    </row>
    <row r="677" spans="2:6">
      <c r="B677" s="402" t="s">
        <v>706</v>
      </c>
      <c r="D677" s="585"/>
    </row>
    <row r="678" spans="2:6">
      <c r="D678" s="585"/>
    </row>
    <row r="679" spans="2:6" ht="16.8" customHeight="1">
      <c r="B679" s="988" t="s">
        <v>1281</v>
      </c>
      <c r="C679" s="999" t="s">
        <v>1280</v>
      </c>
      <c r="D679" s="988" t="s">
        <v>474</v>
      </c>
    </row>
    <row r="680" spans="2:6">
      <c r="B680" s="988"/>
      <c r="C680" s="1000"/>
      <c r="D680" s="988"/>
      <c r="E680" s="417"/>
    </row>
    <row r="681" spans="2:6">
      <c r="B681" s="589" t="s">
        <v>436</v>
      </c>
      <c r="C681" s="590"/>
      <c r="D681" s="591"/>
    </row>
    <row r="682" spans="2:6">
      <c r="B682" s="592" t="s">
        <v>365</v>
      </c>
      <c r="C682" s="593">
        <v>1848050034</v>
      </c>
      <c r="D682" s="593">
        <v>0</v>
      </c>
    </row>
    <row r="683" spans="2:6">
      <c r="B683" s="553" t="s">
        <v>1441</v>
      </c>
      <c r="C683" s="562">
        <f>SUM(C682)</f>
        <v>1848050034</v>
      </c>
      <c r="D683" s="561">
        <v>0</v>
      </c>
      <c r="E683" s="594">
        <f>+C683-BG!J27</f>
        <v>0</v>
      </c>
      <c r="F683" s="594"/>
    </row>
    <row r="684" spans="2:6">
      <c r="B684" s="553" t="s">
        <v>1282</v>
      </c>
      <c r="C684" s="562">
        <v>1047146584</v>
      </c>
      <c r="D684" s="561">
        <v>0</v>
      </c>
      <c r="E684" s="594">
        <f>+C684-BG!L26</f>
        <v>0</v>
      </c>
      <c r="F684" s="594"/>
    </row>
    <row r="685" spans="2:6">
      <c r="B685" s="563"/>
      <c r="C685" s="595"/>
      <c r="D685" s="595"/>
    </row>
    <row r="686" spans="2:6">
      <c r="B686" s="563"/>
      <c r="C686" s="595"/>
      <c r="D686" s="595"/>
    </row>
    <row r="687" spans="2:6">
      <c r="B687" s="403" t="s">
        <v>650</v>
      </c>
      <c r="C687" s="411"/>
      <c r="D687" s="585"/>
    </row>
    <row r="688" spans="2:6">
      <c r="B688" s="402" t="s">
        <v>706</v>
      </c>
      <c r="D688" s="585"/>
    </row>
    <row r="689" spans="2:8">
      <c r="D689" s="585"/>
    </row>
    <row r="690" spans="2:8" ht="16.8" customHeight="1">
      <c r="B690" s="988" t="s">
        <v>71</v>
      </c>
      <c r="C690" s="999" t="s">
        <v>1280</v>
      </c>
      <c r="D690" s="988" t="s">
        <v>474</v>
      </c>
    </row>
    <row r="691" spans="2:8">
      <c r="B691" s="988"/>
      <c r="C691" s="1000"/>
      <c r="D691" s="988"/>
      <c r="E691" s="417"/>
    </row>
    <row r="692" spans="2:8">
      <c r="B692" s="568" t="s">
        <v>1605</v>
      </c>
      <c r="C692" s="561">
        <f>-SUMIF(Clasificaciones!D:D,'Nota 5'!B692,Clasificaciones!G:G)</f>
        <v>121171240</v>
      </c>
      <c r="D692" s="561" t="s">
        <v>469</v>
      </c>
      <c r="E692" s="417"/>
      <c r="G692" s="596"/>
      <c r="H692" s="596"/>
    </row>
    <row r="693" spans="2:8">
      <c r="B693" s="568" t="s">
        <v>1627</v>
      </c>
      <c r="C693" s="561">
        <f>-SUMIF(Clasificaciones!D:D,'Nota 5'!B693,Clasificaciones!G:G)</f>
        <v>1073195</v>
      </c>
      <c r="D693" s="561"/>
      <c r="E693" s="417"/>
      <c r="G693" s="596"/>
      <c r="H693" s="596"/>
    </row>
    <row r="694" spans="2:8">
      <c r="B694" s="568" t="s">
        <v>1319</v>
      </c>
      <c r="C694" s="561">
        <f>-SUMIF(Clasificaciones!D:D,'Nota 5'!B694,Clasificaciones!G:G)</f>
        <v>18310822</v>
      </c>
      <c r="D694" s="561" t="s">
        <v>469</v>
      </c>
      <c r="E694" s="417"/>
      <c r="G694" s="596"/>
      <c r="H694" s="596"/>
    </row>
    <row r="695" spans="2:8">
      <c r="B695" s="568" t="s">
        <v>1608</v>
      </c>
      <c r="C695" s="561">
        <f>-SUMIF(Clasificaciones!D:D,'Nota 5'!B695,Clasificaciones!G:G)</f>
        <v>4507528</v>
      </c>
      <c r="D695" s="561"/>
      <c r="E695" s="417"/>
      <c r="G695" s="596"/>
      <c r="H695" s="596"/>
    </row>
    <row r="696" spans="2:8">
      <c r="B696" s="568" t="s">
        <v>1604</v>
      </c>
      <c r="C696" s="561">
        <f>-SUMIF(Clasificaciones!D:D,'Nota 5'!B696,Clasificaciones!G:G)</f>
        <v>2895175</v>
      </c>
      <c r="D696" s="561">
        <v>0</v>
      </c>
      <c r="G696" s="448"/>
    </row>
    <row r="697" spans="2:8">
      <c r="B697" s="553" t="s">
        <v>1441</v>
      </c>
      <c r="C697" s="562">
        <f>SUM(C692:C696)</f>
        <v>147957960</v>
      </c>
      <c r="D697" s="561" t="s">
        <v>469</v>
      </c>
      <c r="E697" s="463">
        <f>+C697-BG!J19</f>
        <v>0</v>
      </c>
      <c r="F697" s="448"/>
      <c r="G697" s="448"/>
      <c r="H697" s="448"/>
    </row>
    <row r="698" spans="2:8">
      <c r="B698" s="553" t="s">
        <v>1282</v>
      </c>
      <c r="C698" s="562">
        <v>39116775</v>
      </c>
      <c r="D698" s="562" t="s">
        <v>469</v>
      </c>
      <c r="E698" s="463">
        <f>+C698-BG!L19</f>
        <v>0</v>
      </c>
      <c r="F698" s="463"/>
      <c r="G698" s="448"/>
    </row>
    <row r="699" spans="2:8">
      <c r="B699" s="563"/>
      <c r="C699" s="595"/>
      <c r="D699" s="595"/>
      <c r="H699" s="448"/>
    </row>
    <row r="700" spans="2:8">
      <c r="B700" s="563"/>
      <c r="C700" s="595"/>
      <c r="D700" s="595"/>
      <c r="H700" s="448"/>
    </row>
    <row r="701" spans="2:8">
      <c r="B701" s="403" t="s">
        <v>651</v>
      </c>
      <c r="C701" s="411"/>
      <c r="D701" s="585"/>
    </row>
    <row r="702" spans="2:8">
      <c r="B702" s="402" t="s">
        <v>706</v>
      </c>
      <c r="D702" s="585"/>
    </row>
    <row r="703" spans="2:8">
      <c r="D703" s="585"/>
    </row>
    <row r="704" spans="2:8" ht="16.8" customHeight="1">
      <c r="B704" s="988" t="s">
        <v>71</v>
      </c>
      <c r="C704" s="999" t="s">
        <v>1280</v>
      </c>
      <c r="D704" s="988" t="s">
        <v>474</v>
      </c>
    </row>
    <row r="705" spans="2:8">
      <c r="B705" s="988"/>
      <c r="C705" s="1000"/>
      <c r="D705" s="988"/>
      <c r="E705" s="417"/>
    </row>
    <row r="706" spans="2:8">
      <c r="B706" s="459" t="s">
        <v>1283</v>
      </c>
      <c r="C706" s="561">
        <f>-SUMIF(Clasificaciones!D:D,'Nota 5'!B706,Clasificaciones!G:G)</f>
        <v>136664966</v>
      </c>
      <c r="D706" s="597">
        <v>0</v>
      </c>
    </row>
    <row r="707" spans="2:8">
      <c r="B707" s="459" t="s">
        <v>1607</v>
      </c>
      <c r="C707" s="561">
        <f>-SUMIF(Clasificaciones!D:D,'Nota 5'!B707,Clasificaciones!G:G)</f>
        <v>18833871</v>
      </c>
      <c r="D707" s="597">
        <v>0</v>
      </c>
      <c r="G707" s="596"/>
      <c r="H707" s="596"/>
    </row>
    <row r="708" spans="2:8">
      <c r="B708" s="459" t="s">
        <v>1606</v>
      </c>
      <c r="C708" s="561">
        <f>-SUMIF(Clasificaciones!D:D,'Nota 5'!B708,Clasificaciones!G:G)</f>
        <v>92979900</v>
      </c>
      <c r="D708" s="597">
        <v>0</v>
      </c>
      <c r="G708" s="596"/>
      <c r="H708" s="596"/>
    </row>
    <row r="709" spans="2:8">
      <c r="B709" s="553" t="s">
        <v>1441</v>
      </c>
      <c r="C709" s="598">
        <f>SUM(C706:C708)</f>
        <v>248478737</v>
      </c>
      <c r="D709" s="599">
        <v>0</v>
      </c>
      <c r="E709" s="463">
        <f>+C709-BG!J20</f>
        <v>0</v>
      </c>
      <c r="F709" s="594"/>
      <c r="G709" s="448"/>
    </row>
    <row r="710" spans="2:8">
      <c r="B710" s="553" t="s">
        <v>1282</v>
      </c>
      <c r="C710" s="598">
        <v>75670731</v>
      </c>
      <c r="D710" s="599">
        <v>0</v>
      </c>
      <c r="E710" s="463">
        <f>+C710-BG!L20</f>
        <v>0</v>
      </c>
    </row>
    <row r="711" spans="2:8">
      <c r="C711" s="600"/>
      <c r="D711" s="585"/>
    </row>
    <row r="712" spans="2:8">
      <c r="B712" s="403" t="s">
        <v>475</v>
      </c>
      <c r="C712" s="411"/>
      <c r="D712" s="338"/>
    </row>
    <row r="713" spans="2:8">
      <c r="B713" s="588"/>
      <c r="C713" s="338"/>
      <c r="D713" s="338"/>
    </row>
    <row r="714" spans="2:8">
      <c r="B714" s="988" t="s">
        <v>71</v>
      </c>
      <c r="C714" s="999" t="s">
        <v>1280</v>
      </c>
      <c r="D714" s="988" t="s">
        <v>474</v>
      </c>
    </row>
    <row r="715" spans="2:8">
      <c r="B715" s="988"/>
      <c r="C715" s="1000"/>
      <c r="D715" s="988"/>
      <c r="E715" s="417"/>
    </row>
    <row r="716" spans="2:8">
      <c r="B716" s="459" t="s">
        <v>86</v>
      </c>
      <c r="C716" s="561">
        <f>-SUMIF(Clasificaciones!D:D,'Nota 5'!B716,Clasificaciones!G:G)</f>
        <v>152286289</v>
      </c>
      <c r="D716" s="601">
        <v>0</v>
      </c>
    </row>
    <row r="717" spans="2:8">
      <c r="B717" s="459" t="s">
        <v>865</v>
      </c>
      <c r="C717" s="561">
        <f>-SUMIF(Clasificaciones!D:D,'Nota 5'!B717,Clasificaciones!G:G)</f>
        <v>9036062</v>
      </c>
      <c r="D717" s="601">
        <v>0</v>
      </c>
    </row>
    <row r="718" spans="2:8">
      <c r="B718" s="459" t="s">
        <v>866</v>
      </c>
      <c r="C718" s="561">
        <f>-SUMIF(Clasificaciones!D:D,'Nota 5'!B718,Clasificaciones!G:G)</f>
        <v>16334400</v>
      </c>
      <c r="D718" s="601">
        <v>0</v>
      </c>
    </row>
    <row r="719" spans="2:8">
      <c r="B719" s="459" t="s">
        <v>176</v>
      </c>
      <c r="C719" s="561">
        <f>-SUMIF(Clasificaciones!D:D,'Nota 5'!B719,Clasificaciones!G:G)</f>
        <v>63856962</v>
      </c>
      <c r="D719" s="601">
        <v>0</v>
      </c>
    </row>
    <row r="720" spans="2:8">
      <c r="B720" s="553" t="s">
        <v>1441</v>
      </c>
      <c r="C720" s="598">
        <f>SUM(C716:C719)</f>
        <v>241513713</v>
      </c>
      <c r="D720" s="601">
        <v>0</v>
      </c>
      <c r="E720" s="463">
        <f>+C720-BG!J30</f>
        <v>0</v>
      </c>
    </row>
    <row r="721" spans="2:9">
      <c r="B721" s="553" t="s">
        <v>1282</v>
      </c>
      <c r="C721" s="598">
        <v>399252449</v>
      </c>
      <c r="D721" s="602">
        <v>0</v>
      </c>
      <c r="E721" s="463">
        <f>+C721-BG!L30</f>
        <v>0</v>
      </c>
    </row>
    <row r="722" spans="2:9">
      <c r="B722" s="403"/>
      <c r="D722" s="585"/>
    </row>
    <row r="723" spans="2:9">
      <c r="B723" s="403"/>
      <c r="D723" s="585"/>
    </row>
    <row r="724" spans="2:9">
      <c r="B724" s="403" t="s">
        <v>715</v>
      </c>
      <c r="D724" s="585"/>
    </row>
    <row r="725" spans="2:9" ht="10.199999999999999" customHeight="1">
      <c r="B725" s="588"/>
      <c r="D725" s="585"/>
    </row>
    <row r="726" spans="2:9">
      <c r="B726" s="322" t="s">
        <v>1641</v>
      </c>
      <c r="C726" s="322"/>
      <c r="D726" s="322"/>
    </row>
    <row r="727" spans="2:9">
      <c r="B727" s="403"/>
      <c r="D727" s="585"/>
    </row>
    <row r="728" spans="2:9">
      <c r="B728" s="403"/>
      <c r="D728" s="585"/>
    </row>
    <row r="729" spans="2:9">
      <c r="B729" s="403" t="s">
        <v>476</v>
      </c>
      <c r="C729" s="453"/>
      <c r="D729" s="585"/>
    </row>
    <row r="730" spans="2:9">
      <c r="B730" s="403"/>
      <c r="D730" s="585"/>
    </row>
    <row r="731" spans="2:9" ht="38.4" customHeight="1">
      <c r="B731" s="388" t="s">
        <v>595</v>
      </c>
      <c r="C731" s="388" t="s">
        <v>711</v>
      </c>
      <c r="D731" s="388" t="s">
        <v>1642</v>
      </c>
      <c r="E731" s="388" t="s">
        <v>713</v>
      </c>
      <c r="F731" s="388" t="s">
        <v>714</v>
      </c>
      <c r="G731" s="540">
        <v>44561</v>
      </c>
      <c r="H731" s="540">
        <v>44196</v>
      </c>
      <c r="I731" s="428"/>
    </row>
    <row r="732" spans="2:9" ht="36" customHeight="1">
      <c r="B732" s="391" t="s">
        <v>365</v>
      </c>
      <c r="C732" s="391" t="s">
        <v>363</v>
      </c>
      <c r="D732" s="391" t="s">
        <v>477</v>
      </c>
      <c r="E732" s="391" t="s">
        <v>478</v>
      </c>
      <c r="F732" s="391" t="s">
        <v>426</v>
      </c>
      <c r="G732" s="603">
        <f>+BG!J27</f>
        <v>1848050034</v>
      </c>
      <c r="H732" s="603">
        <v>1047146584</v>
      </c>
      <c r="I732" s="604"/>
    </row>
    <row r="733" spans="2:9" ht="22.2" customHeight="1">
      <c r="B733" s="888" t="s">
        <v>365</v>
      </c>
      <c r="C733" s="391" t="s">
        <v>363</v>
      </c>
      <c r="D733" s="391" t="s">
        <v>1348</v>
      </c>
      <c r="E733" s="391" t="s">
        <v>426</v>
      </c>
      <c r="F733" s="605">
        <v>44778</v>
      </c>
      <c r="G733" s="603">
        <f>-Clasificaciones!G460-Clasificaciones!G464-Clasificaciones!G468</f>
        <v>3377697668</v>
      </c>
      <c r="H733" s="603">
        <v>0</v>
      </c>
      <c r="I733" s="604"/>
    </row>
    <row r="734" spans="2:9" ht="36" customHeight="1">
      <c r="B734" s="888" t="s">
        <v>365</v>
      </c>
      <c r="C734" s="391" t="s">
        <v>363</v>
      </c>
      <c r="D734" s="391" t="s">
        <v>1643</v>
      </c>
      <c r="E734" s="391" t="s">
        <v>426</v>
      </c>
      <c r="F734" s="391" t="s">
        <v>426</v>
      </c>
      <c r="G734" s="603">
        <v>4059103</v>
      </c>
      <c r="H734" s="603">
        <v>0</v>
      </c>
      <c r="I734" s="604"/>
    </row>
    <row r="735" spans="2:9" ht="36" customHeight="1">
      <c r="B735" s="391" t="s">
        <v>365</v>
      </c>
      <c r="C735" s="391" t="s">
        <v>363</v>
      </c>
      <c r="D735" s="391" t="s">
        <v>1706</v>
      </c>
      <c r="E735" s="391" t="s">
        <v>426</v>
      </c>
      <c r="F735" s="391" t="s">
        <v>426</v>
      </c>
      <c r="G735" s="603">
        <v>66925000</v>
      </c>
      <c r="H735" s="603">
        <v>0</v>
      </c>
      <c r="I735" s="604"/>
    </row>
    <row r="736" spans="2:9" ht="36" customHeight="1">
      <c r="B736" s="391" t="s">
        <v>365</v>
      </c>
      <c r="C736" s="391" t="s">
        <v>363</v>
      </c>
      <c r="D736" s="391" t="s">
        <v>1644</v>
      </c>
      <c r="E736" s="391" t="s">
        <v>426</v>
      </c>
      <c r="F736" s="391" t="s">
        <v>426</v>
      </c>
      <c r="G736" s="603">
        <v>31738636</v>
      </c>
      <c r="H736" s="603">
        <v>0</v>
      </c>
      <c r="I736" s="604"/>
    </row>
    <row r="737" spans="2:9" ht="36" customHeight="1">
      <c r="B737" s="391" t="s">
        <v>616</v>
      </c>
      <c r="C737" s="391" t="s">
        <v>363</v>
      </c>
      <c r="D737" s="391" t="s">
        <v>1645</v>
      </c>
      <c r="E737" s="391" t="s">
        <v>426</v>
      </c>
      <c r="F737" s="391" t="s">
        <v>426</v>
      </c>
      <c r="G737" s="603">
        <v>17359589</v>
      </c>
      <c r="H737" s="603">
        <v>0</v>
      </c>
      <c r="I737" s="604"/>
    </row>
    <row r="738" spans="2:9" ht="36" customHeight="1">
      <c r="B738" s="888" t="s">
        <v>537</v>
      </c>
      <c r="C738" s="888" t="s">
        <v>110</v>
      </c>
      <c r="D738" s="888" t="s">
        <v>645</v>
      </c>
      <c r="E738" s="888" t="s">
        <v>426</v>
      </c>
      <c r="F738" s="888" t="s">
        <v>426</v>
      </c>
      <c r="G738" s="603">
        <v>0</v>
      </c>
      <c r="H738" s="603">
        <v>50000000</v>
      </c>
      <c r="I738" s="604"/>
    </row>
    <row r="739" spans="2:9" ht="36" customHeight="1">
      <c r="B739" s="888" t="s">
        <v>538</v>
      </c>
      <c r="C739" s="888" t="s">
        <v>336</v>
      </c>
      <c r="D739" s="888" t="s">
        <v>645</v>
      </c>
      <c r="E739" s="888" t="s">
        <v>426</v>
      </c>
      <c r="F739" s="888" t="s">
        <v>426</v>
      </c>
      <c r="G739" s="603">
        <v>0</v>
      </c>
      <c r="H739" s="603">
        <v>50000000</v>
      </c>
      <c r="I739" s="604"/>
    </row>
    <row r="740" spans="2:9" ht="36" customHeight="1">
      <c r="B740" s="888" t="s">
        <v>548</v>
      </c>
      <c r="C740" s="888" t="s">
        <v>1284</v>
      </c>
      <c r="D740" s="888" t="s">
        <v>645</v>
      </c>
      <c r="E740" s="888" t="s">
        <v>426</v>
      </c>
      <c r="F740" s="888" t="s">
        <v>426</v>
      </c>
      <c r="G740" s="603">
        <v>0</v>
      </c>
      <c r="H740" s="603">
        <v>50000000</v>
      </c>
      <c r="I740" s="604"/>
    </row>
    <row r="741" spans="2:9">
      <c r="B741" s="553" t="s">
        <v>364</v>
      </c>
      <c r="C741" s="606"/>
      <c r="D741" s="606"/>
      <c r="E741" s="606"/>
      <c r="F741" s="606"/>
      <c r="G741" s="607">
        <f>+SUM(G732:G737)</f>
        <v>5345830030</v>
      </c>
      <c r="H741" s="607">
        <f>+SUM(H732:H740)</f>
        <v>1197146584</v>
      </c>
    </row>
    <row r="742" spans="2:9">
      <c r="B742" s="608"/>
      <c r="C742" s="600"/>
      <c r="D742" s="585"/>
    </row>
    <row r="743" spans="2:9">
      <c r="B743" s="608"/>
      <c r="C743" s="600"/>
      <c r="D743" s="585"/>
    </row>
    <row r="744" spans="2:9">
      <c r="B744" s="608"/>
      <c r="C744" s="600"/>
      <c r="D744" s="585"/>
    </row>
    <row r="745" spans="2:9">
      <c r="B745" s="403" t="s">
        <v>479</v>
      </c>
      <c r="D745" s="585"/>
    </row>
    <row r="746" spans="2:9" ht="9" customHeight="1">
      <c r="B746" s="588"/>
      <c r="D746" s="585"/>
    </row>
    <row r="747" spans="2:9">
      <c r="B747" s="338" t="s">
        <v>1646</v>
      </c>
      <c r="D747" s="585"/>
    </row>
    <row r="748" spans="2:9">
      <c r="B748" s="403"/>
      <c r="D748" s="585"/>
    </row>
    <row r="749" spans="2:9">
      <c r="B749" s="403"/>
      <c r="D749" s="585"/>
    </row>
    <row r="750" spans="2:9">
      <c r="B750" s="403" t="s">
        <v>480</v>
      </c>
      <c r="C750" s="411"/>
      <c r="D750" s="585"/>
    </row>
    <row r="751" spans="2:9">
      <c r="B751" s="403"/>
      <c r="D751" s="585"/>
    </row>
    <row r="752" spans="2:9" ht="19.2" customHeight="1">
      <c r="B752" s="1009" t="s">
        <v>71</v>
      </c>
      <c r="C752" s="999" t="s">
        <v>1647</v>
      </c>
      <c r="D752" s="988" t="s">
        <v>1648</v>
      </c>
      <c r="E752" s="417"/>
    </row>
    <row r="753" spans="2:6" ht="16.95" customHeight="1">
      <c r="B753" s="1009"/>
      <c r="C753" s="1000"/>
      <c r="D753" s="988"/>
    </row>
    <row r="754" spans="2:6">
      <c r="B754" s="568" t="s">
        <v>627</v>
      </c>
      <c r="C754" s="561">
        <f>-SUMIF(Clasificaciones!D:D,'Nota 5'!B754,Clasificaciones!G:G)</f>
        <v>526231282</v>
      </c>
      <c r="D754" s="609">
        <v>0</v>
      </c>
    </row>
    <row r="755" spans="2:6">
      <c r="B755" s="568" t="s">
        <v>1417</v>
      </c>
      <c r="C755" s="561">
        <f>-SUMIF(Clasificaciones!D:D,'Nota 5'!B755,Clasificaciones!G:G)</f>
        <v>112790000</v>
      </c>
      <c r="D755" s="609">
        <v>0</v>
      </c>
    </row>
    <row r="756" spans="2:6">
      <c r="B756" s="568" t="s">
        <v>180</v>
      </c>
      <c r="C756" s="561">
        <f>-SUMIF(Clasificaciones!D:D,'Nota 5'!B756,Clasificaciones!G:G)</f>
        <v>70938000</v>
      </c>
      <c r="D756" s="609">
        <v>0</v>
      </c>
    </row>
    <row r="757" spans="2:6">
      <c r="B757" s="568" t="s">
        <v>1649</v>
      </c>
      <c r="C757" s="561">
        <f>-SUMIF(Clasificaciones!D:D,'Nota 5'!B757,Clasificaciones!G:G)</f>
        <v>6780241</v>
      </c>
      <c r="D757" s="609">
        <v>0</v>
      </c>
    </row>
    <row r="758" spans="2:6">
      <c r="B758" s="568" t="s">
        <v>1650</v>
      </c>
      <c r="C758" s="561">
        <f>-SUMIF(Clasificaciones!D:D,'Nota 5'!B758,Clasificaciones!G:G)</f>
        <v>686536</v>
      </c>
      <c r="D758" s="609">
        <v>0</v>
      </c>
    </row>
    <row r="759" spans="2:6">
      <c r="B759" s="568" t="s">
        <v>1367</v>
      </c>
      <c r="C759" s="561">
        <f>-SUMIF(Clasificaciones!D:D,'Nota 5'!B759,Clasificaciones!G:G)</f>
        <v>50000000</v>
      </c>
      <c r="D759" s="609">
        <v>0</v>
      </c>
    </row>
    <row r="760" spans="2:6">
      <c r="B760" s="568" t="s">
        <v>1651</v>
      </c>
      <c r="C760" s="561">
        <f>-SUMIF(Clasificaciones!D:D,'Nota 5'!B760,Clasificaciones!G:G)</f>
        <v>2899473</v>
      </c>
      <c r="D760" s="609">
        <v>0</v>
      </c>
    </row>
    <row r="761" spans="2:6">
      <c r="B761" s="568" t="s">
        <v>1419</v>
      </c>
      <c r="C761" s="561">
        <f>-SUMIF(Clasificaciones!D:D,'Nota 5'!B761,Clasificaciones!G:G)</f>
        <v>1599181</v>
      </c>
      <c r="D761" s="609">
        <v>0</v>
      </c>
    </row>
    <row r="762" spans="2:6">
      <c r="B762" s="568" t="s">
        <v>1652</v>
      </c>
      <c r="C762" s="561">
        <f>-SUMIF(Clasificaciones!D:D,'Nota 5'!B762,Clasificaciones!G:G)</f>
        <v>80000000</v>
      </c>
      <c r="D762" s="609">
        <v>0</v>
      </c>
    </row>
    <row r="763" spans="2:6">
      <c r="B763" s="568" t="s">
        <v>1421</v>
      </c>
      <c r="C763" s="561">
        <f>-SUMIF(Clasificaciones!D:D,'Nota 5'!B763,Clasificaciones!G:G)</f>
        <v>2672862</v>
      </c>
      <c r="D763" s="609">
        <v>0</v>
      </c>
    </row>
    <row r="764" spans="2:6">
      <c r="B764" s="553" t="s">
        <v>1441</v>
      </c>
      <c r="C764" s="562">
        <f>+SUM(C754:C763)</f>
        <v>854597575</v>
      </c>
      <c r="D764" s="610">
        <v>0</v>
      </c>
      <c r="F764" s="463">
        <f>+C764-BG!J39</f>
        <v>0</v>
      </c>
    </row>
    <row r="765" spans="2:6">
      <c r="B765" s="553" t="s">
        <v>1282</v>
      </c>
      <c r="C765" s="562">
        <v>608986540</v>
      </c>
      <c r="D765" s="610">
        <v>0</v>
      </c>
      <c r="F765" s="463">
        <f>+C765-BG!L39</f>
        <v>0</v>
      </c>
    </row>
    <row r="766" spans="2:6">
      <c r="B766" s="555"/>
      <c r="C766" s="611"/>
    </row>
    <row r="767" spans="2:6">
      <c r="B767" s="555"/>
      <c r="C767" s="611"/>
    </row>
    <row r="768" spans="2:6">
      <c r="B768" s="403" t="s">
        <v>1653</v>
      </c>
      <c r="C768" s="612"/>
    </row>
    <row r="769" spans="1:14">
      <c r="B769" s="402" t="s">
        <v>717</v>
      </c>
      <c r="C769" s="612"/>
    </row>
    <row r="771" spans="1:14" ht="17.399999999999999" customHeight="1">
      <c r="B771" s="988" t="s">
        <v>595</v>
      </c>
      <c r="C771" s="988" t="s">
        <v>711</v>
      </c>
      <c r="D771" s="988" t="s">
        <v>712</v>
      </c>
      <c r="E771" s="1009" t="s">
        <v>718</v>
      </c>
      <c r="F771" s="1009"/>
      <c r="G771" s="417"/>
    </row>
    <row r="772" spans="1:14" ht="19.2" customHeight="1">
      <c r="B772" s="988"/>
      <c r="C772" s="988"/>
      <c r="D772" s="988"/>
      <c r="E772" s="540">
        <v>44561</v>
      </c>
      <c r="F772" s="541">
        <v>44196</v>
      </c>
    </row>
    <row r="773" spans="1:14" s="710" customFormat="1" ht="16.8" customHeight="1">
      <c r="A773" s="709"/>
      <c r="B773" s="443" t="s">
        <v>451</v>
      </c>
      <c r="C773" s="391" t="s">
        <v>363</v>
      </c>
      <c r="D773" s="391" t="s">
        <v>652</v>
      </c>
      <c r="E773" s="613">
        <f>+Clasificaciones!$G$16+Clasificaciones!$G$17+Clasificaciones!$G$39+Clasificaciones!$G$38</f>
        <v>1993772737</v>
      </c>
      <c r="F773" s="613">
        <v>323082699</v>
      </c>
      <c r="G773" s="797"/>
      <c r="I773" s="798"/>
      <c r="L773" s="714"/>
      <c r="M773" s="714"/>
      <c r="N773" s="714"/>
    </row>
    <row r="774" spans="1:14" s="710" customFormat="1" ht="16.8" customHeight="1">
      <c r="A774" s="709"/>
      <c r="B774" s="443" t="s">
        <v>451</v>
      </c>
      <c r="C774" s="391" t="s">
        <v>363</v>
      </c>
      <c r="D774" s="391" t="s">
        <v>639</v>
      </c>
      <c r="E774" s="799">
        <f>+Clasificaciones!$G$94+Clasificaciones!$G$96+Clasificaciones!$G$97+Clasificaciones!$G$132+Clasificaciones!$G$133+Clasificaciones!$G$147+Clasificaciones!$G$165+Clasificaciones!$G$166+Clasificaciones!$G$180</f>
        <v>9986890201</v>
      </c>
      <c r="F774" s="613">
        <v>831247873</v>
      </c>
      <c r="G774" s="800"/>
      <c r="I774" s="798"/>
      <c r="L774" s="714"/>
      <c r="M774" s="714"/>
      <c r="N774" s="714"/>
    </row>
    <row r="775" spans="1:14" s="710" customFormat="1" ht="33" customHeight="1">
      <c r="A775" s="709"/>
      <c r="B775" s="443" t="s">
        <v>451</v>
      </c>
      <c r="C775" s="391" t="s">
        <v>363</v>
      </c>
      <c r="D775" s="391" t="s">
        <v>976</v>
      </c>
      <c r="E775" s="615">
        <f>+Clasificaciones!G212+Clasificaciones!G213+Clasificaciones!G229+Clasificaciones!G468+Clasificaciones!G460+Clasificaciones!G464</f>
        <v>17473245904</v>
      </c>
      <c r="F775" s="613">
        <v>5204095600</v>
      </c>
      <c r="G775" s="802"/>
      <c r="I775" s="798"/>
      <c r="L775" s="714"/>
      <c r="M775" s="714"/>
      <c r="N775" s="714"/>
    </row>
    <row r="776" spans="1:14" s="710" customFormat="1" ht="16.8" customHeight="1">
      <c r="A776" s="709"/>
      <c r="B776" s="443" t="s">
        <v>481</v>
      </c>
      <c r="C776" s="391" t="s">
        <v>363</v>
      </c>
      <c r="D776" s="391" t="s">
        <v>640</v>
      </c>
      <c r="E776" s="615">
        <f>+Clasificaciones!$G$324</f>
        <v>4999000000</v>
      </c>
      <c r="F776" s="613">
        <v>3499000000</v>
      </c>
      <c r="G776" s="801"/>
      <c r="I776" s="798"/>
      <c r="J776" s="798"/>
      <c r="K776" s="798"/>
      <c r="L776" s="714"/>
      <c r="M776" s="714"/>
      <c r="N776" s="714"/>
    </row>
    <row r="777" spans="1:14" s="710" customFormat="1" ht="33" customHeight="1">
      <c r="A777" s="709"/>
      <c r="B777" s="443" t="s">
        <v>481</v>
      </c>
      <c r="C777" s="391" t="s">
        <v>363</v>
      </c>
      <c r="D777" s="391" t="s">
        <v>641</v>
      </c>
      <c r="E777" s="615">
        <f>+Clasificaciones!$G$330</f>
        <v>2047406868</v>
      </c>
      <c r="F777" s="613">
        <v>103990631</v>
      </c>
      <c r="G777" s="802"/>
      <c r="I777" s="798"/>
      <c r="L777" s="714"/>
      <c r="M777" s="714"/>
      <c r="N777" s="714"/>
    </row>
    <row r="778" spans="1:14" s="710" customFormat="1" ht="35.4" customHeight="1">
      <c r="A778" s="709"/>
      <c r="B778" s="443" t="s">
        <v>451</v>
      </c>
      <c r="C778" s="391" t="s">
        <v>363</v>
      </c>
      <c r="D778" s="391" t="s">
        <v>653</v>
      </c>
      <c r="E778" s="615">
        <f>+Clasificaciones!G447</f>
        <v>-1848050034</v>
      </c>
      <c r="F778" s="613">
        <v>-1047146584</v>
      </c>
      <c r="G778" s="802"/>
      <c r="I778" s="798"/>
      <c r="J778" s="798"/>
      <c r="K778" s="798"/>
      <c r="L778" s="714"/>
      <c r="M778" s="714"/>
      <c r="N778" s="714"/>
    </row>
    <row r="779" spans="1:14" s="710" customFormat="1" ht="36.6" customHeight="1">
      <c r="A779" s="709"/>
      <c r="B779" s="443" t="s">
        <v>451</v>
      </c>
      <c r="C779" s="391" t="s">
        <v>363</v>
      </c>
      <c r="D779" s="391" t="s">
        <v>1643</v>
      </c>
      <c r="E779" s="615">
        <v>-4059103</v>
      </c>
      <c r="F779" s="613">
        <v>0</v>
      </c>
      <c r="G779" s="802"/>
      <c r="I779" s="798"/>
      <c r="L779" s="714"/>
      <c r="M779" s="714"/>
      <c r="N779" s="714"/>
    </row>
    <row r="780" spans="1:14" s="710" customFormat="1" ht="36.6" customHeight="1">
      <c r="A780" s="709"/>
      <c r="B780" s="443" t="s">
        <v>451</v>
      </c>
      <c r="C780" s="391" t="s">
        <v>363</v>
      </c>
      <c r="D780" s="391" t="s">
        <v>1706</v>
      </c>
      <c r="E780" s="615">
        <v>-66925000</v>
      </c>
      <c r="F780" s="613">
        <v>0</v>
      </c>
      <c r="G780" s="802"/>
      <c r="I780" s="798"/>
      <c r="J780" s="798"/>
      <c r="K780" s="798"/>
      <c r="L780" s="714"/>
      <c r="M780" s="714"/>
      <c r="N780" s="714"/>
    </row>
    <row r="781" spans="1:14" s="710" customFormat="1" ht="36.6" customHeight="1">
      <c r="A781" s="709"/>
      <c r="B781" s="443" t="s">
        <v>451</v>
      </c>
      <c r="C781" s="391" t="s">
        <v>363</v>
      </c>
      <c r="D781" s="391" t="s">
        <v>1707</v>
      </c>
      <c r="E781" s="615">
        <v>-31738636</v>
      </c>
      <c r="F781" s="613">
        <v>0</v>
      </c>
      <c r="G781" s="802"/>
      <c r="I781" s="798"/>
      <c r="L781" s="714"/>
      <c r="M781" s="714"/>
      <c r="N781" s="714"/>
    </row>
    <row r="782" spans="1:14" s="710" customFormat="1" ht="36.6" customHeight="1">
      <c r="A782" s="709"/>
      <c r="B782" s="443" t="s">
        <v>481</v>
      </c>
      <c r="C782" s="391" t="s">
        <v>363</v>
      </c>
      <c r="D782" s="391" t="s">
        <v>1708</v>
      </c>
      <c r="E782" s="615">
        <v>-17359589</v>
      </c>
      <c r="F782" s="613">
        <v>0</v>
      </c>
      <c r="G782" s="802"/>
      <c r="I782" s="798"/>
      <c r="J782" s="798"/>
      <c r="K782" s="798"/>
      <c r="L782" s="714"/>
      <c r="M782" s="714"/>
      <c r="N782" s="714"/>
    </row>
    <row r="783" spans="1:14" s="710" customFormat="1" ht="16.8" customHeight="1">
      <c r="A783" s="709"/>
      <c r="B783" s="443" t="s">
        <v>537</v>
      </c>
      <c r="C783" s="391" t="s">
        <v>644</v>
      </c>
      <c r="D783" s="391" t="s">
        <v>645</v>
      </c>
      <c r="E783" s="615">
        <v>0</v>
      </c>
      <c r="F783" s="613">
        <v>-50000000</v>
      </c>
      <c r="G783" s="801"/>
      <c r="I783" s="798"/>
      <c r="L783" s="714"/>
      <c r="M783" s="714"/>
      <c r="N783" s="714"/>
    </row>
    <row r="784" spans="1:14" s="710" customFormat="1" ht="16.8" customHeight="1">
      <c r="A784" s="709"/>
      <c r="B784" s="443" t="s">
        <v>538</v>
      </c>
      <c r="C784" s="391" t="s">
        <v>336</v>
      </c>
      <c r="D784" s="391" t="s">
        <v>645</v>
      </c>
      <c r="E784" s="615">
        <v>0</v>
      </c>
      <c r="F784" s="613">
        <v>-50000000</v>
      </c>
      <c r="G784" s="801"/>
      <c r="I784" s="798"/>
      <c r="J784" s="798"/>
      <c r="K784" s="798"/>
      <c r="L784" s="714"/>
      <c r="M784" s="714"/>
      <c r="N784" s="714"/>
    </row>
    <row r="785" spans="1:14" s="710" customFormat="1" ht="16.8" customHeight="1">
      <c r="A785" s="709"/>
      <c r="B785" s="443" t="s">
        <v>541</v>
      </c>
      <c r="C785" s="391" t="s">
        <v>1284</v>
      </c>
      <c r="D785" s="391" t="s">
        <v>645</v>
      </c>
      <c r="E785" s="615">
        <v>0</v>
      </c>
      <c r="F785" s="613">
        <v>-50000000</v>
      </c>
      <c r="G785" s="801"/>
      <c r="I785" s="798"/>
      <c r="L785" s="714"/>
      <c r="M785" s="714"/>
      <c r="N785" s="714"/>
    </row>
    <row r="786" spans="1:14">
      <c r="B786" s="617" t="s">
        <v>364</v>
      </c>
      <c r="C786" s="618"/>
      <c r="D786" s="618"/>
      <c r="E786" s="572">
        <f>SUM(E773:E785)</f>
        <v>34532183348</v>
      </c>
      <c r="F786" s="572">
        <f>SUM(F773:F785)</f>
        <v>8764270219</v>
      </c>
      <c r="G786" s="454"/>
      <c r="I786" s="798"/>
      <c r="J786" s="798"/>
      <c r="K786" s="798"/>
    </row>
    <row r="787" spans="1:14">
      <c r="B787" s="619"/>
      <c r="C787" s="620"/>
      <c r="D787" s="620"/>
      <c r="I787" s="798"/>
      <c r="J787" s="710"/>
      <c r="K787" s="710"/>
    </row>
    <row r="788" spans="1:14">
      <c r="B788" s="619"/>
      <c r="C788" s="620"/>
      <c r="D788" s="620"/>
      <c r="I788" s="798"/>
      <c r="J788" s="798"/>
      <c r="K788" s="798"/>
    </row>
    <row r="789" spans="1:14">
      <c r="B789" s="403" t="s">
        <v>1291</v>
      </c>
      <c r="C789" s="612"/>
      <c r="D789" s="620"/>
      <c r="I789" s="798"/>
      <c r="J789" s="710"/>
      <c r="K789" s="710"/>
    </row>
    <row r="790" spans="1:14" s="417" customFormat="1">
      <c r="A790" s="416"/>
      <c r="B790" s="621" t="s">
        <v>1654</v>
      </c>
      <c r="C790" s="622"/>
      <c r="D790" s="622"/>
      <c r="I790" s="798"/>
      <c r="J790" s="798"/>
      <c r="K790" s="798"/>
    </row>
    <row r="791" spans="1:14">
      <c r="B791" s="560"/>
      <c r="C791" s="620"/>
      <c r="D791" s="620"/>
      <c r="F791" s="623"/>
      <c r="G791" s="623"/>
      <c r="H791" s="624"/>
      <c r="I791" s="625"/>
    </row>
    <row r="792" spans="1:14" ht="30" customHeight="1">
      <c r="B792" s="388" t="s">
        <v>1285</v>
      </c>
      <c r="C792" s="388" t="s">
        <v>1286</v>
      </c>
      <c r="D792" s="388" t="s">
        <v>1287</v>
      </c>
      <c r="E792" s="616"/>
      <c r="F792" s="626"/>
      <c r="G792" s="626"/>
      <c r="H792" s="627"/>
      <c r="I792" s="628"/>
    </row>
    <row r="793" spans="1:14" ht="17.399999999999999" customHeight="1">
      <c r="B793" s="629" t="s">
        <v>451</v>
      </c>
      <c r="C793" s="804"/>
      <c r="D793" s="804"/>
      <c r="E793" s="604"/>
      <c r="F793" s="626"/>
      <c r="G793" s="626"/>
      <c r="H793" s="627"/>
      <c r="I793" s="628"/>
    </row>
    <row r="794" spans="1:14">
      <c r="B794" s="630" t="s">
        <v>906</v>
      </c>
      <c r="C794" s="804">
        <v>5711411</v>
      </c>
      <c r="D794" s="804">
        <v>0</v>
      </c>
      <c r="E794" s="604"/>
      <c r="F794" s="626"/>
      <c r="G794" s="626"/>
      <c r="H794" s="627"/>
      <c r="I794" s="628"/>
    </row>
    <row r="795" spans="1:14">
      <c r="B795" s="630" t="s">
        <v>1289</v>
      </c>
      <c r="C795" s="804">
        <v>1427853</v>
      </c>
      <c r="D795" s="804">
        <v>0</v>
      </c>
      <c r="E795" s="604"/>
      <c r="F795" s="626"/>
      <c r="G795" s="626"/>
      <c r="H795" s="627"/>
      <c r="I795" s="628"/>
    </row>
    <row r="796" spans="1:14" ht="33.6">
      <c r="B796" s="630" t="s">
        <v>1309</v>
      </c>
      <c r="C796" s="804">
        <f>-Clasificaciones!G591-Clasificaciones!G593</f>
        <v>23600608</v>
      </c>
      <c r="D796" s="804">
        <v>0</v>
      </c>
      <c r="E796" s="604"/>
      <c r="F796" s="626"/>
      <c r="G796" s="626"/>
      <c r="H796" s="627"/>
      <c r="I796" s="628"/>
    </row>
    <row r="797" spans="1:14" ht="33.6">
      <c r="B797" s="630" t="s">
        <v>1310</v>
      </c>
      <c r="C797" s="804">
        <f>-Clasificaciones!G594-Clasificaciones!G595</f>
        <v>412517167</v>
      </c>
      <c r="D797" s="804">
        <v>0</v>
      </c>
      <c r="E797" s="604"/>
      <c r="F797" s="626"/>
      <c r="G797" s="626"/>
      <c r="H797" s="627"/>
      <c r="I797" s="628"/>
    </row>
    <row r="798" spans="1:14" ht="16.8" customHeight="1">
      <c r="B798" s="630" t="s">
        <v>1349</v>
      </c>
      <c r="C798" s="804">
        <f>-Clasificaciones!G625-Clasificaciones!G631-Clasificaciones!G633-Clasificaciones!G645-Clasificaciones!G729-Clasificaciones!G735-Clasificaciones!G748</f>
        <v>1034671337</v>
      </c>
      <c r="D798" s="804">
        <v>0</v>
      </c>
      <c r="E798" s="604"/>
      <c r="F798" s="626"/>
      <c r="G798" s="626"/>
      <c r="H798" s="627"/>
      <c r="I798" s="628"/>
    </row>
    <row r="799" spans="1:14" ht="16.8" customHeight="1">
      <c r="B799" s="630" t="s">
        <v>1350</v>
      </c>
      <c r="C799" s="804">
        <f>-Clasificaciones!G629-Clasificaciones!G630-Clasificaciones!G733-Clasificaciones!G734</f>
        <v>532855496</v>
      </c>
      <c r="D799" s="804">
        <v>0</v>
      </c>
      <c r="E799" s="604"/>
      <c r="F799" s="626"/>
      <c r="G799" s="626"/>
      <c r="H799" s="627"/>
      <c r="I799" s="628"/>
    </row>
    <row r="800" spans="1:14" ht="16.8" customHeight="1">
      <c r="B800" s="630" t="s">
        <v>1656</v>
      </c>
      <c r="C800" s="804">
        <v>1774160</v>
      </c>
      <c r="D800" s="804"/>
      <c r="E800" s="604"/>
      <c r="F800" s="626"/>
      <c r="G800" s="626"/>
      <c r="H800" s="627"/>
      <c r="I800" s="628"/>
    </row>
    <row r="801" spans="2:9">
      <c r="B801" s="631" t="s">
        <v>737</v>
      </c>
      <c r="C801" s="804">
        <v>0</v>
      </c>
      <c r="D801" s="804">
        <v>41928662</v>
      </c>
      <c r="E801" s="604"/>
      <c r="F801" s="626"/>
      <c r="G801" s="626"/>
      <c r="H801" s="627"/>
      <c r="I801" s="628"/>
    </row>
    <row r="802" spans="2:9">
      <c r="B802" s="631" t="s">
        <v>1657</v>
      </c>
      <c r="C802" s="804">
        <v>0</v>
      </c>
      <c r="D802" s="804">
        <v>121681818.18000001</v>
      </c>
      <c r="E802" s="604"/>
      <c r="F802" s="626"/>
      <c r="G802" s="626"/>
      <c r="H802" s="627"/>
      <c r="I802" s="628"/>
    </row>
    <row r="803" spans="2:9">
      <c r="B803" s="631" t="s">
        <v>1221</v>
      </c>
      <c r="C803" s="804">
        <v>0</v>
      </c>
      <c r="D803" s="804">
        <v>30227272.359999999</v>
      </c>
      <c r="E803" s="604"/>
      <c r="F803" s="626"/>
      <c r="G803" s="626"/>
      <c r="H803" s="627"/>
      <c r="I803" s="628"/>
    </row>
    <row r="804" spans="2:9">
      <c r="B804" s="631" t="s">
        <v>221</v>
      </c>
      <c r="C804" s="804">
        <v>0</v>
      </c>
      <c r="D804" s="804">
        <f>+Clasificaciones!G850</f>
        <v>275148568</v>
      </c>
      <c r="E804" s="604"/>
      <c r="F804" s="626"/>
      <c r="G804" s="626"/>
      <c r="H804" s="627"/>
      <c r="I804" s="628"/>
    </row>
    <row r="805" spans="2:9">
      <c r="B805" s="631" t="s">
        <v>80</v>
      </c>
      <c r="C805" s="804">
        <v>0</v>
      </c>
      <c r="D805" s="804">
        <f>+Clasificaciones!G852</f>
        <v>11569681</v>
      </c>
      <c r="E805" s="604"/>
      <c r="F805" s="626"/>
      <c r="G805" s="626"/>
      <c r="H805" s="627"/>
      <c r="I805" s="628"/>
    </row>
    <row r="806" spans="2:9" ht="18.600000000000001" customHeight="1">
      <c r="B806" s="629" t="s">
        <v>616</v>
      </c>
      <c r="C806" s="804"/>
      <c r="D806" s="804"/>
      <c r="E806" s="604"/>
      <c r="F806" s="626"/>
      <c r="G806" s="626"/>
      <c r="H806" s="627"/>
      <c r="I806" s="628"/>
    </row>
    <row r="807" spans="2:9">
      <c r="B807" s="926" t="s">
        <v>1425</v>
      </c>
      <c r="C807" s="804">
        <f>-Clasificaciones!G652</f>
        <v>11011210</v>
      </c>
      <c r="D807" s="804"/>
      <c r="E807" s="604"/>
      <c r="F807" s="626"/>
      <c r="G807" s="626"/>
      <c r="H807" s="627"/>
      <c r="I807" s="628"/>
    </row>
    <row r="808" spans="2:9">
      <c r="B808" s="926" t="s">
        <v>1655</v>
      </c>
      <c r="C808" s="804">
        <f>-Clasificaciones!G653</f>
        <v>16516815</v>
      </c>
      <c r="D808" s="804"/>
      <c r="E808" s="604"/>
      <c r="F808" s="626"/>
      <c r="G808" s="626"/>
      <c r="H808" s="627"/>
      <c r="I808" s="628"/>
    </row>
    <row r="809" spans="2:9">
      <c r="B809" s="926" t="s">
        <v>1427</v>
      </c>
      <c r="C809" s="804">
        <f>-Clasificaciones!G654</f>
        <v>55056050</v>
      </c>
      <c r="D809" s="804"/>
      <c r="E809" s="604"/>
      <c r="F809" s="626"/>
      <c r="G809" s="626"/>
      <c r="H809" s="627"/>
      <c r="I809" s="628"/>
    </row>
    <row r="810" spans="2:9">
      <c r="B810" s="926" t="s">
        <v>1658</v>
      </c>
      <c r="C810" s="804">
        <v>183093042</v>
      </c>
      <c r="D810" s="804"/>
      <c r="E810" s="604"/>
      <c r="F810" s="626"/>
      <c r="G810" s="626"/>
      <c r="H810" s="627"/>
      <c r="I810" s="628"/>
    </row>
    <row r="811" spans="2:9">
      <c r="B811" s="926" t="s">
        <v>1659</v>
      </c>
      <c r="C811" s="804">
        <v>1788911</v>
      </c>
      <c r="D811" s="804"/>
      <c r="E811" s="604"/>
      <c r="F811" s="626"/>
      <c r="G811" s="626"/>
      <c r="H811" s="627"/>
      <c r="I811" s="628"/>
    </row>
    <row r="812" spans="2:9">
      <c r="B812" s="926" t="s">
        <v>1660</v>
      </c>
      <c r="C812" s="804">
        <v>122134828</v>
      </c>
      <c r="D812" s="804"/>
      <c r="E812" s="604"/>
      <c r="F812" s="626"/>
      <c r="G812" s="626"/>
      <c r="H812" s="627"/>
      <c r="I812" s="628"/>
    </row>
    <row r="813" spans="2:9">
      <c r="B813" s="630" t="s">
        <v>1290</v>
      </c>
      <c r="C813" s="804">
        <f>-Clasificaciones!G687</f>
        <v>1943416237</v>
      </c>
      <c r="D813" s="804"/>
      <c r="E813" s="604"/>
      <c r="F813" s="626"/>
      <c r="G813" s="626"/>
      <c r="H813" s="627"/>
      <c r="I813" s="628"/>
    </row>
    <row r="814" spans="2:9">
      <c r="B814" s="630" t="s">
        <v>1350</v>
      </c>
      <c r="C814" s="804">
        <v>3993922</v>
      </c>
      <c r="D814" s="804"/>
      <c r="E814" s="604"/>
      <c r="F814" s="626"/>
      <c r="G814" s="626"/>
      <c r="H814" s="627"/>
      <c r="I814" s="628"/>
    </row>
    <row r="815" spans="2:9" ht="18.600000000000001" customHeight="1">
      <c r="B815" s="629" t="s">
        <v>537</v>
      </c>
      <c r="C815" s="804"/>
      <c r="D815" s="804"/>
      <c r="E815" s="604"/>
      <c r="F815" s="626"/>
      <c r="G815" s="632"/>
      <c r="H815" s="632"/>
      <c r="I815" s="628"/>
    </row>
    <row r="816" spans="2:9">
      <c r="B816" s="630" t="s">
        <v>1292</v>
      </c>
      <c r="C816" s="804">
        <v>0</v>
      </c>
      <c r="D816" s="804">
        <v>495038330</v>
      </c>
      <c r="E816" s="604"/>
      <c r="F816" s="626"/>
      <c r="G816" s="632"/>
      <c r="H816" s="632"/>
      <c r="I816" s="628"/>
    </row>
    <row r="817" spans="2:13" ht="18.600000000000001" customHeight="1">
      <c r="B817" s="629" t="s">
        <v>541</v>
      </c>
      <c r="C817" s="804"/>
      <c r="D817" s="804"/>
      <c r="E817" s="604"/>
      <c r="F817" s="626"/>
      <c r="G817" s="632"/>
      <c r="H817" s="632"/>
      <c r="I817" s="628"/>
    </row>
    <row r="818" spans="2:13">
      <c r="B818" s="630" t="s">
        <v>1288</v>
      </c>
      <c r="C818" s="804">
        <v>90575</v>
      </c>
      <c r="D818" s="804">
        <v>0</v>
      </c>
      <c r="E818" s="604"/>
      <c r="F818" s="626"/>
      <c r="G818" s="632"/>
      <c r="H818" s="632"/>
      <c r="I818" s="628"/>
    </row>
    <row r="819" spans="2:13">
      <c r="B819" s="630" t="s">
        <v>906</v>
      </c>
      <c r="C819" s="804">
        <v>14495</v>
      </c>
      <c r="D819" s="804">
        <v>0</v>
      </c>
      <c r="E819" s="604"/>
      <c r="F819" s="626"/>
      <c r="G819" s="632"/>
      <c r="H819" s="632"/>
      <c r="I819" s="628"/>
    </row>
    <row r="820" spans="2:13">
      <c r="B820" s="630" t="s">
        <v>1289</v>
      </c>
      <c r="C820" s="804">
        <v>3623</v>
      </c>
      <c r="D820" s="804">
        <v>0</v>
      </c>
      <c r="E820" s="604"/>
      <c r="F820" s="626"/>
      <c r="G820" s="632"/>
      <c r="H820" s="632"/>
      <c r="I820" s="628"/>
    </row>
    <row r="821" spans="2:13">
      <c r="B821" s="630" t="s">
        <v>1349</v>
      </c>
      <c r="C821" s="804">
        <v>1475020</v>
      </c>
      <c r="D821" s="804">
        <v>0</v>
      </c>
      <c r="E821" s="604"/>
      <c r="F821" s="626"/>
      <c r="G821" s="632"/>
      <c r="H821" s="632"/>
      <c r="I821" s="628"/>
    </row>
    <row r="822" spans="2:13">
      <c r="B822" s="630" t="s">
        <v>1293</v>
      </c>
      <c r="C822" s="804">
        <v>0</v>
      </c>
      <c r="D822" s="804">
        <v>190888050</v>
      </c>
      <c r="E822" s="604"/>
      <c r="F822" s="626"/>
      <c r="G822" s="632"/>
      <c r="H822" s="632"/>
      <c r="I822" s="628"/>
    </row>
    <row r="823" spans="2:13">
      <c r="B823" s="630" t="s">
        <v>1352</v>
      </c>
      <c r="C823" s="804">
        <v>0</v>
      </c>
      <c r="D823" s="804">
        <v>180454545.44999999</v>
      </c>
      <c r="E823" s="604"/>
      <c r="F823" s="628"/>
      <c r="G823" s="632"/>
      <c r="H823" s="632"/>
      <c r="I823" s="632"/>
      <c r="J823" s="632"/>
      <c r="K823" s="632"/>
    </row>
    <row r="824" spans="2:13" ht="19.2" customHeight="1">
      <c r="B824" s="629" t="s">
        <v>538</v>
      </c>
      <c r="C824" s="804"/>
      <c r="D824" s="804"/>
      <c r="E824" s="604"/>
      <c r="F824" s="626"/>
      <c r="G824" s="632"/>
      <c r="H824" s="632"/>
      <c r="I824" s="632"/>
      <c r="J824" s="632"/>
      <c r="K824" s="632"/>
    </row>
    <row r="825" spans="2:13">
      <c r="B825" s="630" t="s">
        <v>1288</v>
      </c>
      <c r="C825" s="804">
        <v>34685.454545454544</v>
      </c>
      <c r="D825" s="804">
        <v>0</v>
      </c>
      <c r="E825" s="604"/>
      <c r="F825" s="626"/>
      <c r="G825" s="632"/>
      <c r="H825" s="632"/>
      <c r="I825" s="632"/>
      <c r="J825" s="632"/>
      <c r="K825" s="632"/>
    </row>
    <row r="826" spans="2:13">
      <c r="B826" s="630" t="s">
        <v>906</v>
      </c>
      <c r="C826" s="804">
        <v>6009.090909090909</v>
      </c>
      <c r="D826" s="804">
        <v>0</v>
      </c>
      <c r="E826" s="604"/>
      <c r="F826" s="626"/>
      <c r="G826" s="632"/>
      <c r="H826" s="632"/>
      <c r="I826" s="632"/>
      <c r="J826" s="632"/>
      <c r="K826" s="632"/>
    </row>
    <row r="827" spans="2:13">
      <c r="B827" s="630" t="s">
        <v>1289</v>
      </c>
      <c r="C827" s="804">
        <v>1502</v>
      </c>
      <c r="D827" s="804">
        <v>0</v>
      </c>
      <c r="E827" s="604"/>
      <c r="F827" s="626"/>
      <c r="G827" s="632"/>
      <c r="H827" s="632"/>
      <c r="I827" s="632"/>
      <c r="J827" s="632"/>
      <c r="K827" s="632"/>
    </row>
    <row r="828" spans="2:13">
      <c r="B828" s="630" t="s">
        <v>1294</v>
      </c>
      <c r="C828" s="804">
        <v>0</v>
      </c>
      <c r="D828" s="804">
        <v>615353129</v>
      </c>
      <c r="E828" s="604"/>
      <c r="F828" s="626"/>
      <c r="G828" s="632"/>
      <c r="H828" s="632"/>
      <c r="I828" s="632"/>
      <c r="J828" s="632"/>
      <c r="K828" s="632"/>
      <c r="L828" s="632"/>
      <c r="M828" s="632"/>
    </row>
    <row r="829" spans="2:13" ht="19.2" customHeight="1">
      <c r="B829" s="629" t="s">
        <v>1295</v>
      </c>
      <c r="C829" s="804"/>
      <c r="D829" s="804"/>
      <c r="E829" s="604"/>
      <c r="F829" s="633"/>
      <c r="G829" s="632"/>
      <c r="H829" s="632"/>
      <c r="I829" s="632"/>
      <c r="J829" s="632"/>
      <c r="K829" s="632"/>
      <c r="L829" s="632"/>
      <c r="M829" s="632"/>
    </row>
    <row r="830" spans="2:13">
      <c r="B830" s="630" t="s">
        <v>1296</v>
      </c>
      <c r="C830" s="804">
        <v>0</v>
      </c>
      <c r="D830" s="804">
        <f>+Clasificaciones!G782</f>
        <v>40670370</v>
      </c>
      <c r="E830" s="604"/>
      <c r="F830" s="626"/>
      <c r="G830" s="632"/>
      <c r="H830" s="632"/>
      <c r="I830" s="632"/>
      <c r="J830" s="632"/>
      <c r="K830" s="632"/>
      <c r="L830" s="632"/>
      <c r="M830" s="632"/>
    </row>
    <row r="831" spans="2:13">
      <c r="B831" s="629" t="s">
        <v>642</v>
      </c>
      <c r="C831" s="804"/>
      <c r="D831" s="804"/>
      <c r="E831" s="604"/>
      <c r="F831" s="626"/>
      <c r="G831" s="632"/>
      <c r="H831" s="632"/>
      <c r="I831" s="632"/>
      <c r="J831" s="632"/>
      <c r="K831" s="632"/>
      <c r="L831" s="632"/>
      <c r="M831" s="632"/>
    </row>
    <row r="832" spans="2:13">
      <c r="B832" s="630" t="s">
        <v>1661</v>
      </c>
      <c r="C832" s="804">
        <v>0</v>
      </c>
      <c r="D832" s="804">
        <v>104000000</v>
      </c>
      <c r="E832" s="604"/>
      <c r="F832" s="626"/>
      <c r="G832" s="632"/>
      <c r="H832" s="632"/>
      <c r="I832" s="632"/>
      <c r="J832" s="632"/>
      <c r="K832" s="632"/>
      <c r="L832" s="632"/>
      <c r="M832" s="632"/>
    </row>
    <row r="833" spans="2:13">
      <c r="B833" s="629" t="s">
        <v>1337</v>
      </c>
      <c r="C833" s="804"/>
      <c r="D833" s="804"/>
      <c r="E833" s="604"/>
      <c r="F833" s="626"/>
      <c r="G833" s="632"/>
      <c r="H833" s="632"/>
      <c r="I833" s="632"/>
      <c r="J833" s="632"/>
      <c r="K833" s="632"/>
      <c r="L833" s="632"/>
      <c r="M833" s="632"/>
    </row>
    <row r="834" spans="2:13">
      <c r="B834" s="630" t="s">
        <v>1288</v>
      </c>
      <c r="C834" s="804">
        <v>37500</v>
      </c>
      <c r="D834" s="804">
        <v>0</v>
      </c>
      <c r="E834" s="604"/>
      <c r="F834" s="626"/>
      <c r="G834" s="632"/>
      <c r="H834" s="632"/>
      <c r="I834" s="632"/>
      <c r="J834" s="632"/>
      <c r="K834" s="632"/>
      <c r="L834" s="632"/>
      <c r="M834" s="632"/>
    </row>
    <row r="835" spans="2:13">
      <c r="B835" s="630" t="s">
        <v>906</v>
      </c>
      <c r="C835" s="804">
        <v>5999.9999999999991</v>
      </c>
      <c r="D835" s="804">
        <v>0</v>
      </c>
      <c r="E835" s="604"/>
      <c r="F835" s="626"/>
      <c r="G835" s="632"/>
      <c r="H835" s="632"/>
      <c r="I835" s="632"/>
      <c r="J835" s="632"/>
      <c r="K835" s="632"/>
      <c r="L835" s="632"/>
      <c r="M835" s="632"/>
    </row>
    <row r="836" spans="2:13">
      <c r="B836" s="630" t="s">
        <v>1289</v>
      </c>
      <c r="C836" s="804">
        <v>1500</v>
      </c>
      <c r="D836" s="804">
        <v>0</v>
      </c>
      <c r="E836" s="604"/>
      <c r="F836" s="626"/>
      <c r="G836" s="632"/>
      <c r="H836" s="632"/>
      <c r="I836" s="632"/>
      <c r="J836" s="632"/>
      <c r="K836" s="632"/>
      <c r="L836" s="632"/>
      <c r="M836" s="632"/>
    </row>
    <row r="837" spans="2:13">
      <c r="B837" s="630" t="s">
        <v>1662</v>
      </c>
      <c r="C837" s="804">
        <v>0</v>
      </c>
      <c r="D837" s="804">
        <v>180230556</v>
      </c>
      <c r="E837" s="604"/>
      <c r="F837" s="626"/>
      <c r="G837" s="632"/>
      <c r="H837" s="632"/>
      <c r="I837" s="632"/>
      <c r="J837" s="632"/>
      <c r="K837" s="632"/>
      <c r="L837" s="632"/>
      <c r="M837" s="632"/>
    </row>
    <row r="838" spans="2:13">
      <c r="B838" s="629" t="s">
        <v>1339</v>
      </c>
      <c r="C838" s="804"/>
      <c r="D838" s="804"/>
      <c r="E838" s="604"/>
      <c r="F838" s="626"/>
      <c r="G838" s="632"/>
      <c r="H838" s="632"/>
      <c r="I838" s="632"/>
      <c r="J838" s="632"/>
      <c r="K838" s="632"/>
      <c r="L838" s="632"/>
      <c r="M838" s="632"/>
    </row>
    <row r="839" spans="2:13">
      <c r="B839" s="630" t="s">
        <v>1665</v>
      </c>
      <c r="C839" s="804">
        <v>0</v>
      </c>
      <c r="D839" s="804">
        <v>148127778</v>
      </c>
      <c r="E839" s="604"/>
      <c r="F839" s="626"/>
      <c r="G839" s="632"/>
      <c r="H839" s="632"/>
      <c r="I839" s="632"/>
      <c r="J839" s="632"/>
      <c r="K839" s="632"/>
      <c r="L839" s="632"/>
      <c r="M839" s="632"/>
    </row>
    <row r="840" spans="2:13">
      <c r="B840" s="629" t="s">
        <v>550</v>
      </c>
      <c r="C840" s="804"/>
      <c r="D840" s="804"/>
      <c r="E840" s="604"/>
      <c r="F840" s="626"/>
      <c r="G840" s="632"/>
      <c r="H840" s="632"/>
      <c r="I840" s="632"/>
      <c r="J840" s="632"/>
      <c r="K840" s="632"/>
      <c r="L840" s="632"/>
      <c r="M840" s="632"/>
    </row>
    <row r="841" spans="2:13">
      <c r="B841" s="630" t="s">
        <v>1664</v>
      </c>
      <c r="C841" s="804">
        <v>0</v>
      </c>
      <c r="D841" s="804">
        <v>237250000</v>
      </c>
      <c r="E841" s="604"/>
      <c r="F841" s="626"/>
      <c r="G841" s="632"/>
      <c r="H841" s="632"/>
      <c r="I841" s="632"/>
      <c r="J841" s="632"/>
      <c r="K841" s="632"/>
      <c r="L841" s="632"/>
      <c r="M841" s="632"/>
    </row>
    <row r="842" spans="2:13">
      <c r="B842" s="629" t="s">
        <v>552</v>
      </c>
      <c r="C842" s="804"/>
      <c r="D842" s="804"/>
      <c r="E842" s="604"/>
      <c r="F842" s="626"/>
      <c r="G842" s="626"/>
      <c r="H842" s="632"/>
      <c r="I842" s="632"/>
      <c r="J842" s="632"/>
      <c r="K842" s="632"/>
      <c r="L842" s="632"/>
      <c r="M842" s="632"/>
    </row>
    <row r="843" spans="2:13">
      <c r="B843" s="630" t="s">
        <v>1663</v>
      </c>
      <c r="C843" s="804">
        <v>0</v>
      </c>
      <c r="D843" s="804">
        <v>150041667</v>
      </c>
      <c r="E843" s="604"/>
      <c r="F843" s="626"/>
      <c r="G843" s="626"/>
      <c r="H843" s="632"/>
      <c r="I843" s="632"/>
      <c r="J843" s="632"/>
      <c r="K843" s="632"/>
      <c r="L843" s="632"/>
      <c r="M843" s="632"/>
    </row>
    <row r="844" spans="2:13">
      <c r="B844" s="630"/>
      <c r="C844" s="804"/>
      <c r="D844" s="804"/>
      <c r="E844" s="604"/>
      <c r="F844" s="626"/>
      <c r="G844" s="626"/>
      <c r="H844" s="632"/>
      <c r="I844" s="632"/>
      <c r="J844" s="632"/>
      <c r="K844" s="632"/>
      <c r="L844" s="632"/>
      <c r="M844" s="632"/>
    </row>
    <row r="845" spans="2:13">
      <c r="B845" s="451" t="s">
        <v>1441</v>
      </c>
      <c r="C845" s="431">
        <f>SUM(C793:C844)</f>
        <v>4351239956.545454</v>
      </c>
      <c r="D845" s="431">
        <f>SUM(D793:D844)</f>
        <v>2822610426.9899998</v>
      </c>
      <c r="E845" s="614"/>
      <c r="F845" s="633"/>
      <c r="G845" s="626"/>
      <c r="H845" s="632"/>
      <c r="I845" s="632"/>
      <c r="J845" s="632"/>
      <c r="K845" s="632"/>
      <c r="L845" s="632"/>
      <c r="M845" s="632"/>
    </row>
    <row r="846" spans="2:13">
      <c r="B846" s="451" t="s">
        <v>1282</v>
      </c>
      <c r="C846" s="431">
        <v>900918263</v>
      </c>
      <c r="D846" s="431">
        <v>1689270335</v>
      </c>
      <c r="F846" s="633"/>
      <c r="G846" s="626"/>
      <c r="H846" s="632"/>
      <c r="I846" s="632"/>
      <c r="J846" s="632"/>
      <c r="K846" s="632"/>
      <c r="L846" s="632"/>
      <c r="M846" s="632"/>
    </row>
    <row r="847" spans="2:13">
      <c r="B847" s="560"/>
      <c r="C847" s="620"/>
      <c r="D847" s="619"/>
      <c r="F847" s="626"/>
      <c r="G847" s="626"/>
      <c r="H847" s="632"/>
      <c r="I847" s="632"/>
      <c r="J847" s="632"/>
      <c r="K847" s="632"/>
      <c r="L847" s="632"/>
      <c r="M847" s="632"/>
    </row>
    <row r="848" spans="2:13" ht="13.5" customHeight="1">
      <c r="C848" s="634"/>
      <c r="F848" s="463"/>
      <c r="H848" s="632"/>
      <c r="I848" s="632"/>
      <c r="J848" s="632"/>
      <c r="K848" s="632"/>
      <c r="L848" s="632"/>
      <c r="M848" s="632"/>
    </row>
    <row r="849" spans="2:13" ht="13.5" customHeight="1">
      <c r="B849" s="403" t="s">
        <v>1668</v>
      </c>
      <c r="C849" s="634"/>
      <c r="F849" s="463"/>
      <c r="H849" s="632"/>
      <c r="I849" s="632"/>
      <c r="J849" s="632"/>
      <c r="K849" s="632"/>
      <c r="L849" s="632"/>
      <c r="M849" s="632"/>
    </row>
    <row r="850" spans="2:13" ht="13.5" customHeight="1">
      <c r="B850" s="402" t="s">
        <v>1669</v>
      </c>
      <c r="C850" s="634"/>
      <c r="F850" s="463"/>
      <c r="H850" s="632"/>
      <c r="I850" s="632"/>
      <c r="J850" s="632"/>
      <c r="K850" s="632"/>
      <c r="L850" s="632"/>
      <c r="M850" s="632"/>
    </row>
    <row r="851" spans="2:13" ht="13.5" customHeight="1">
      <c r="B851" s="403"/>
      <c r="C851" s="634"/>
      <c r="F851" s="463"/>
      <c r="H851" s="632"/>
      <c r="I851" s="632"/>
      <c r="J851" s="632"/>
      <c r="K851" s="632"/>
      <c r="L851" s="632"/>
      <c r="M851" s="632"/>
    </row>
    <row r="852" spans="2:13" ht="33.6" customHeight="1">
      <c r="B852" s="636" t="s">
        <v>71</v>
      </c>
      <c r="C852" s="407" t="s">
        <v>1680</v>
      </c>
      <c r="D852" s="407" t="s">
        <v>698</v>
      </c>
      <c r="E852" s="407" t="s">
        <v>1681</v>
      </c>
      <c r="F852" s="407" t="s">
        <v>1682</v>
      </c>
      <c r="H852" s="632"/>
      <c r="I852" s="632"/>
      <c r="J852" s="632"/>
      <c r="K852" s="632"/>
      <c r="L852" s="632"/>
      <c r="M852" s="632"/>
    </row>
    <row r="853" spans="2:13" ht="16.8" customHeight="1">
      <c r="B853" s="630" t="s">
        <v>184</v>
      </c>
      <c r="C853" s="804">
        <f>'BG 2020'!D157+'BG 2020'!D158+615000000</f>
        <v>10615000000</v>
      </c>
      <c r="D853" s="804">
        <f>+'BG 2021'!C228+'BG 2021'!C232-C853</f>
        <v>16945000000</v>
      </c>
      <c r="E853" s="804">
        <v>0</v>
      </c>
      <c r="F853" s="804">
        <f t="shared" ref="F853:F857" si="7">+SUM(C853:E853)</f>
        <v>27560000000</v>
      </c>
      <c r="H853" s="632"/>
      <c r="I853" s="632"/>
      <c r="J853" s="632"/>
      <c r="K853" s="632"/>
      <c r="L853" s="632"/>
      <c r="M853" s="632"/>
    </row>
    <row r="854" spans="2:13" ht="16.8" customHeight="1">
      <c r="B854" s="630" t="s">
        <v>1678</v>
      </c>
      <c r="C854" s="804">
        <v>0</v>
      </c>
      <c r="D854" s="804">
        <v>0</v>
      </c>
      <c r="E854" s="804">
        <v>0</v>
      </c>
      <c r="F854" s="804">
        <f t="shared" si="7"/>
        <v>0</v>
      </c>
      <c r="H854" s="632"/>
      <c r="I854" s="632"/>
      <c r="J854" s="632"/>
      <c r="K854" s="632"/>
      <c r="L854" s="632"/>
      <c r="M854" s="632"/>
    </row>
    <row r="855" spans="2:13" ht="16.8" customHeight="1">
      <c r="B855" s="630" t="s">
        <v>1715</v>
      </c>
      <c r="C855" s="804">
        <f>+'BG 2020'!D161</f>
        <v>101000000</v>
      </c>
      <c r="D855" s="804">
        <f>+'BG 2021'!C233-C855</f>
        <v>49000000</v>
      </c>
      <c r="E855" s="804"/>
      <c r="F855" s="804">
        <f t="shared" si="7"/>
        <v>150000000</v>
      </c>
      <c r="H855" s="632"/>
      <c r="I855" s="632"/>
      <c r="J855" s="632"/>
      <c r="K855" s="632"/>
      <c r="L855" s="632"/>
      <c r="M855" s="632"/>
    </row>
    <row r="856" spans="2:13" ht="16.8" customHeight="1">
      <c r="B856" s="630" t="s">
        <v>1679</v>
      </c>
      <c r="C856" s="804">
        <f>+'BG 2020'!D162</f>
        <v>35338445</v>
      </c>
      <c r="D856" s="804">
        <f>+'BG 2021'!C234</f>
        <v>135909126</v>
      </c>
      <c r="E856" s="804">
        <f>-C856</f>
        <v>-35338445</v>
      </c>
      <c r="F856" s="804">
        <f>+SUM(C856:E856)</f>
        <v>135909126</v>
      </c>
      <c r="H856" s="632"/>
      <c r="I856" s="632"/>
      <c r="J856" s="632"/>
      <c r="K856" s="632"/>
      <c r="L856" s="632"/>
      <c r="M856" s="632"/>
    </row>
    <row r="857" spans="2:13" ht="16.8" customHeight="1">
      <c r="B857" s="630" t="s">
        <v>188</v>
      </c>
      <c r="C857" s="804">
        <f>+'BG 2020'!D167</f>
        <v>-16109965</v>
      </c>
      <c r="D857" s="804">
        <v>16109965</v>
      </c>
      <c r="E857" s="804">
        <v>0</v>
      </c>
      <c r="F857" s="804">
        <f t="shared" si="7"/>
        <v>0</v>
      </c>
      <c r="H857" s="632"/>
      <c r="I857" s="632"/>
      <c r="J857" s="632"/>
      <c r="K857" s="632"/>
      <c r="L857" s="632"/>
      <c r="M857" s="632"/>
    </row>
    <row r="858" spans="2:13" ht="16.8" customHeight="1">
      <c r="B858" s="630" t="s">
        <v>189</v>
      </c>
      <c r="C858" s="804">
        <f>+'BG 2020'!D168</f>
        <v>2061680646</v>
      </c>
      <c r="D858" s="804">
        <f>+'BG 2021'!C237</f>
        <v>2497475898</v>
      </c>
      <c r="E858" s="806">
        <f>-C858</f>
        <v>-2061680646</v>
      </c>
      <c r="F858" s="804">
        <f>+SUM(C858:E858)</f>
        <v>2497475898</v>
      </c>
      <c r="H858" s="632"/>
      <c r="I858" s="632"/>
      <c r="J858" s="632"/>
      <c r="K858" s="632"/>
      <c r="L858" s="632"/>
      <c r="M858" s="632"/>
    </row>
    <row r="859" spans="2:13" ht="16.8" customHeight="1">
      <c r="B859" s="803" t="s">
        <v>47</v>
      </c>
      <c r="C859" s="805">
        <f>+SUM(C853:C858)</f>
        <v>12796909126</v>
      </c>
      <c r="D859" s="805">
        <f t="shared" ref="D859:E859" si="8">+SUM(D853:D858)</f>
        <v>19643494989</v>
      </c>
      <c r="E859" s="805">
        <f t="shared" si="8"/>
        <v>-2097019091</v>
      </c>
      <c r="F859" s="805">
        <f>+SUM(F853:F858)</f>
        <v>30343385024</v>
      </c>
      <c r="G859" s="594">
        <f>+F859-VPN!L22</f>
        <v>0</v>
      </c>
      <c r="H859" s="632"/>
      <c r="I859" s="632"/>
      <c r="J859" s="632"/>
      <c r="K859" s="632"/>
      <c r="L859" s="632"/>
      <c r="M859" s="632"/>
    </row>
    <row r="860" spans="2:13" ht="13.5" customHeight="1">
      <c r="B860" s="403"/>
      <c r="C860" s="634"/>
      <c r="F860" s="463"/>
      <c r="H860" s="632"/>
      <c r="I860" s="632"/>
      <c r="J860" s="632"/>
      <c r="K860" s="632"/>
      <c r="L860" s="632"/>
      <c r="M860" s="632"/>
    </row>
    <row r="861" spans="2:13" ht="13.5" customHeight="1">
      <c r="B861" s="403"/>
      <c r="C861" s="634"/>
      <c r="F861" s="463"/>
      <c r="H861" s="632"/>
      <c r="I861" s="632"/>
      <c r="J861" s="632"/>
      <c r="K861" s="632"/>
      <c r="L861" s="632"/>
      <c r="M861" s="632"/>
    </row>
    <row r="862" spans="2:13">
      <c r="B862" s="403" t="s">
        <v>1670</v>
      </c>
      <c r="C862" s="634"/>
      <c r="J862" s="463"/>
    </row>
    <row r="863" spans="2:13">
      <c r="B863" s="621" t="s">
        <v>483</v>
      </c>
      <c r="C863" s="634"/>
    </row>
    <row r="864" spans="2:13">
      <c r="C864" s="454"/>
    </row>
    <row r="865" spans="1:7">
      <c r="B865" s="403"/>
      <c r="C865" s="454"/>
    </row>
    <row r="866" spans="1:7">
      <c r="A866" s="635"/>
      <c r="B866" s="576" t="s">
        <v>1671</v>
      </c>
      <c r="C866" s="454"/>
    </row>
    <row r="867" spans="1:7">
      <c r="A867" s="635"/>
      <c r="B867" s="403"/>
      <c r="C867" s="454"/>
    </row>
    <row r="868" spans="1:7">
      <c r="B868" s="576" t="s">
        <v>1672</v>
      </c>
      <c r="C868" s="411"/>
    </row>
    <row r="870" spans="1:7" ht="21.6" customHeight="1">
      <c r="B870" s="636" t="s">
        <v>71</v>
      </c>
      <c r="C870" s="407">
        <v>44561</v>
      </c>
      <c r="D870" s="407">
        <v>44196</v>
      </c>
      <c r="E870" s="417"/>
    </row>
    <row r="871" spans="1:7">
      <c r="B871" s="459" t="s">
        <v>1353</v>
      </c>
      <c r="C871" s="637">
        <f>-Clasificaciones!G617-Clasificaciones!G618</f>
        <v>4071041986</v>
      </c>
      <c r="D871" s="637">
        <f>-Clasificaciones!K617-Clasificaciones!K618</f>
        <v>3918687347</v>
      </c>
    </row>
    <row r="872" spans="1:7">
      <c r="B872" s="638" t="s">
        <v>77</v>
      </c>
      <c r="C872" s="639">
        <f>SUM(C871:C871)</f>
        <v>4071041986</v>
      </c>
      <c r="D872" s="639">
        <f>SUM(D871:D871)</f>
        <v>3918687347</v>
      </c>
      <c r="E872" s="640">
        <f>+C872-EERR!F38</f>
        <v>0</v>
      </c>
      <c r="F872" s="640">
        <f>+D872-EERR!G38</f>
        <v>0</v>
      </c>
      <c r="G872" s="640"/>
    </row>
    <row r="873" spans="1:7">
      <c r="B873" s="641"/>
      <c r="C873" s="642"/>
      <c r="D873" s="642"/>
      <c r="E873" s="640"/>
      <c r="F873" s="640"/>
      <c r="G873" s="640"/>
    </row>
    <row r="874" spans="1:7">
      <c r="B874" s="403"/>
      <c r="C874" s="417"/>
      <c r="F874" s="463"/>
    </row>
    <row r="875" spans="1:7">
      <c r="B875" s="576" t="s">
        <v>1673</v>
      </c>
      <c r="C875" s="411"/>
    </row>
    <row r="876" spans="1:7">
      <c r="B876" s="403"/>
      <c r="C876" s="417"/>
    </row>
    <row r="877" spans="1:7" ht="21.6" customHeight="1">
      <c r="B877" s="636" t="s">
        <v>71</v>
      </c>
      <c r="C877" s="407">
        <v>44561</v>
      </c>
      <c r="D877" s="407">
        <v>44196</v>
      </c>
      <c r="E877" s="417"/>
    </row>
    <row r="878" spans="1:7">
      <c r="B878" s="643" t="s">
        <v>1186</v>
      </c>
      <c r="C878" s="561">
        <f>-SUMIF(Clasificaciones!D:D,'Nota 5'!B878,Clasificaciones!G:G)</f>
        <v>265305</v>
      </c>
      <c r="D878" s="637">
        <f>-SUMIF(Clasificaciones!D:D,'Nota 5'!B878,Clasificaciones!K:K)</f>
        <v>3516576</v>
      </c>
      <c r="E878" s="417"/>
    </row>
    <row r="879" spans="1:7">
      <c r="B879" s="643" t="s">
        <v>1190</v>
      </c>
      <c r="C879" s="561">
        <f>-SUMIF(Clasificaciones!D:D,'Nota 5'!B879,Clasificaciones!G:G)</f>
        <v>11000000</v>
      </c>
      <c r="D879" s="637">
        <f>-SUMIF(Clasificaciones!D:D,'Nota 5'!B879,Clasificaciones!K:K)</f>
        <v>0</v>
      </c>
      <c r="E879" s="417"/>
    </row>
    <row r="880" spans="1:7">
      <c r="B880" s="643" t="s">
        <v>907</v>
      </c>
      <c r="C880" s="561">
        <f>-SUMIF(Clasificaciones!D:D,'Nota 5'!B880,Clasificaciones!G:G)</f>
        <v>77220978</v>
      </c>
      <c r="D880" s="637">
        <f>-SUMIF(Clasificaciones!D:D,'Nota 5'!B880,Clasificaciones!K:K)</f>
        <v>86114976</v>
      </c>
      <c r="E880" s="417"/>
    </row>
    <row r="881" spans="2:6">
      <c r="B881" s="643" t="s">
        <v>1635</v>
      </c>
      <c r="C881" s="561">
        <f>-SUMIF(Clasificaciones!D:D,'Nota 5'!B881,Clasificaciones!G:G)</f>
        <v>8655356</v>
      </c>
      <c r="D881" s="637">
        <f>-SUMIF(Clasificaciones!D:D,'Nota 5'!B881,Clasificaciones!K:K)</f>
        <v>0</v>
      </c>
      <c r="E881" s="417"/>
    </row>
    <row r="882" spans="2:6">
      <c r="B882" s="643" t="s">
        <v>1666</v>
      </c>
      <c r="C882" s="561">
        <f>-SUMIF(Clasificaciones!D:D,'Nota 5'!B882,Clasificaciones!G:G)</f>
        <v>19128253</v>
      </c>
      <c r="D882" s="637">
        <f>-SUMIF(Clasificaciones!D:D,'Nota 5'!B882,Clasificaciones!K:K)</f>
        <v>21544991</v>
      </c>
      <c r="E882" s="417"/>
    </row>
    <row r="883" spans="2:6">
      <c r="B883" s="643" t="s">
        <v>1667</v>
      </c>
      <c r="C883" s="561">
        <f>-SUMIF(Clasificaciones!D:D,'Nota 5'!B883,Clasificaciones!G:G)</f>
        <v>2090413</v>
      </c>
      <c r="D883" s="637">
        <f>-SUMIF(Clasificaciones!D:D,'Nota 5'!B883,Clasificaciones!K:K)</f>
        <v>0</v>
      </c>
      <c r="E883" s="417"/>
    </row>
    <row r="884" spans="2:6">
      <c r="B884" s="643" t="s">
        <v>911</v>
      </c>
      <c r="C884" s="561">
        <f>-SUMIF(Clasificaciones!D:D,'Nota 5'!B884,Clasificaciones!G:G)</f>
        <v>235150</v>
      </c>
      <c r="D884" s="637">
        <f>-SUMIF(Clasificaciones!D:D,'Nota 5'!B884,Clasificaciones!K:K)</f>
        <v>6021870</v>
      </c>
      <c r="E884" s="417"/>
    </row>
    <row r="885" spans="2:6">
      <c r="B885" s="643" t="s">
        <v>1637</v>
      </c>
      <c r="C885" s="561">
        <f>-SUMIF(Clasificaciones!D:D,'Nota 5'!B885,Clasificaciones!G:G)</f>
        <v>2049375</v>
      </c>
      <c r="D885" s="637">
        <f>-SUMIF(Clasificaciones!D:D,'Nota 5'!B885,Clasificaciones!K:K)</f>
        <v>0</v>
      </c>
      <c r="E885" s="417"/>
    </row>
    <row r="886" spans="2:6">
      <c r="B886" s="638" t="s">
        <v>77</v>
      </c>
      <c r="C886" s="639">
        <f>+SUM(C878:C885)</f>
        <v>120644830</v>
      </c>
      <c r="D886" s="639">
        <f>+SUM(D878:D885)</f>
        <v>117198413</v>
      </c>
      <c r="E886" s="644">
        <f>+C886-EERR!F39</f>
        <v>0</v>
      </c>
      <c r="F886" s="594">
        <f>+D886-EERR!G39</f>
        <v>0</v>
      </c>
    </row>
    <row r="889" spans="2:6">
      <c r="B889" s="403" t="s">
        <v>1674</v>
      </c>
      <c r="C889" s="411"/>
      <c r="D889" s="403"/>
    </row>
    <row r="891" spans="2:6" ht="21.6" customHeight="1">
      <c r="B891" s="636" t="s">
        <v>71</v>
      </c>
      <c r="C891" s="407">
        <v>44561</v>
      </c>
      <c r="D891" s="407">
        <v>44196</v>
      </c>
      <c r="E891" s="417"/>
    </row>
    <row r="892" spans="2:6">
      <c r="B892" s="645" t="s">
        <v>260</v>
      </c>
      <c r="C892" s="646"/>
      <c r="D892" s="647"/>
      <c r="E892" s="417"/>
    </row>
    <row r="893" spans="2:6">
      <c r="B893" s="648" t="s">
        <v>293</v>
      </c>
      <c r="C893" s="807">
        <f>SUMIF(Clasificaciones!D:D,'Nota 5'!B893,Clasificaciones!G:G)</f>
        <v>2530200</v>
      </c>
      <c r="D893" s="483">
        <f>SUMIF(Clasificaciones!D:D,'Nota 5'!B893,Clasificaciones!K:K)</f>
        <v>2530200</v>
      </c>
      <c r="E893" s="417"/>
    </row>
    <row r="894" spans="2:6">
      <c r="B894" s="648" t="s">
        <v>1186</v>
      </c>
      <c r="C894" s="807">
        <f>+Clasificaciones!G710+Clasificaciones!G711+Clasificaciones!G712+Clasificaciones!G713+Clasificaciones!G714+Clasificaciones!G715</f>
        <v>893719815</v>
      </c>
      <c r="D894" s="483">
        <f>+Clasificaciones!K710</f>
        <v>82039498</v>
      </c>
      <c r="E894" s="417"/>
    </row>
    <row r="895" spans="2:6">
      <c r="B895" s="648" t="s">
        <v>1685</v>
      </c>
      <c r="C895" s="807">
        <f>+Clasificaciones!G717+Clasificaciones!G718+Clasificaciones!G720+Clasificaciones!G723+Clasificaciones!G724+Clasificaciones!G725+Clasificaciones!G729+Clasificaciones!G735+Clasificaciones!G745+Clasificaciones!G748</f>
        <v>3434987202</v>
      </c>
      <c r="D895" s="483">
        <f>+Clasificaciones!K717+Clasificaciones!K746</f>
        <v>411062134</v>
      </c>
      <c r="E895" s="417"/>
    </row>
    <row r="896" spans="2:6">
      <c r="B896" s="648" t="s">
        <v>1686</v>
      </c>
      <c r="C896" s="807">
        <f>+Clasificaciones!G721+Clasificaciones!G722+Clasificaciones!G733+Clasificaciones!G734</f>
        <v>7050453017</v>
      </c>
      <c r="D896" s="483">
        <f>+Clasificaciones!K718</f>
        <v>1057133388</v>
      </c>
      <c r="E896" s="417"/>
    </row>
    <row r="897" spans="2:7">
      <c r="B897" s="649" t="s">
        <v>925</v>
      </c>
      <c r="C897" s="807">
        <f>SUMIF(Clasificaciones!D:D,'Nota 5'!B897,Clasificaciones!G:G)</f>
        <v>3409841</v>
      </c>
      <c r="D897" s="483">
        <f>+Clasificaciones!K752</f>
        <v>0</v>
      </c>
      <c r="E897" s="417"/>
    </row>
    <row r="898" spans="2:7">
      <c r="B898" s="650" t="s">
        <v>72</v>
      </c>
      <c r="C898" s="639">
        <f>SUM(C893:C897)</f>
        <v>11385100075</v>
      </c>
      <c r="D898" s="639">
        <f>SUM(D893:D897)</f>
        <v>1552765220</v>
      </c>
      <c r="E898" s="651">
        <f>+C898+EERR!F44</f>
        <v>0</v>
      </c>
      <c r="F898" s="463">
        <f>+D898+EERR!G44</f>
        <v>0</v>
      </c>
      <c r="G898" s="594"/>
    </row>
    <row r="899" spans="2:7">
      <c r="B899" s="652" t="s">
        <v>44</v>
      </c>
      <c r="C899" s="653"/>
      <c r="D899" s="654"/>
    </row>
    <row r="900" spans="2:7">
      <c r="B900" s="648" t="s">
        <v>209</v>
      </c>
      <c r="C900" s="483">
        <f>SUMIF(Clasificaciones!D:D,'Nota 5'!B900,Clasificaciones!G:G)</f>
        <v>14367957</v>
      </c>
      <c r="D900" s="655">
        <f>SUMIF(Clasificaciones!D:D,'Nota 5'!B900,Clasificaciones!K:K)</f>
        <v>16217832</v>
      </c>
    </row>
    <row r="901" spans="2:7">
      <c r="B901" s="648" t="s">
        <v>927</v>
      </c>
      <c r="C901" s="483">
        <f>SUMIF(Clasificaciones!D:D,'Nota 5'!B901,Clasificaciones!G:G)</f>
        <v>9420248</v>
      </c>
      <c r="D901" s="655">
        <f>SUMIF(Clasificaciones!D:D,'Nota 5'!B901,Clasificaciones!K:K)</f>
        <v>6170137</v>
      </c>
    </row>
    <row r="902" spans="2:7">
      <c r="B902" s="648" t="s">
        <v>297</v>
      </c>
      <c r="C902" s="483">
        <f>SUMIF(Clasificaciones!D:D,'Nota 5'!B902,Clasificaciones!G:G)</f>
        <v>20000000</v>
      </c>
      <c r="D902" s="655">
        <f>SUMIF(Clasificaciones!D:D,'Nota 5'!B902,Clasificaciones!K:K)</f>
        <v>175000000</v>
      </c>
    </row>
    <row r="903" spans="2:7">
      <c r="B903" s="648" t="s">
        <v>397</v>
      </c>
      <c r="C903" s="483">
        <f>SUMIF(Clasificaciones!D:D,'Nota 5'!B903,Clasificaciones!G:G)</f>
        <v>0</v>
      </c>
      <c r="D903" s="655">
        <f>SUMIF(Clasificaciones!D:D,'Nota 5'!B903,Clasificaciones!K:K)</f>
        <v>184948448</v>
      </c>
    </row>
    <row r="904" spans="2:7">
      <c r="B904" s="650" t="s">
        <v>72</v>
      </c>
      <c r="C904" s="639">
        <f>SUM(C899:C903)</f>
        <v>43788205</v>
      </c>
      <c r="D904" s="639">
        <f>SUM(D899:D903)</f>
        <v>382336417</v>
      </c>
      <c r="E904" s="463">
        <f>+C904+EERR!F51</f>
        <v>0</v>
      </c>
      <c r="F904" s="463">
        <f>+D904+EERR!G51</f>
        <v>0</v>
      </c>
      <c r="G904" s="594"/>
    </row>
    <row r="905" spans="2:7">
      <c r="B905" s="652" t="s">
        <v>484</v>
      </c>
      <c r="C905" s="653"/>
      <c r="D905" s="654"/>
    </row>
    <row r="906" spans="2:7">
      <c r="B906" s="648" t="s">
        <v>929</v>
      </c>
      <c r="C906" s="483">
        <f>SUMIF(Clasificaciones!D:D,'Nota 5'!B906,Clasificaciones!G:G)</f>
        <v>439114057</v>
      </c>
      <c r="D906" s="483">
        <f>SUMIF(Clasificaciones!D:D,'Nota 5'!B906,Clasificaciones!K:K)</f>
        <v>243931510</v>
      </c>
      <c r="E906" s="649"/>
    </row>
    <row r="907" spans="2:7">
      <c r="B907" s="648" t="s">
        <v>631</v>
      </c>
      <c r="C907" s="483">
        <f>SUMIF(Clasificaciones!D:D,'Nota 5'!B907,Clasificaciones!G:G)</f>
        <v>45357573</v>
      </c>
      <c r="D907" s="483">
        <f>SUMIF(Clasificaciones!D:D,'Nota 5'!B907,Clasificaciones!K:K)</f>
        <v>56758411</v>
      </c>
      <c r="E907" s="649"/>
    </row>
    <row r="908" spans="2:7">
      <c r="B908" s="648" t="s">
        <v>1211</v>
      </c>
      <c r="C908" s="483">
        <f>SUMIF(Clasificaciones!D:D,'Nota 5'!B908,Clasificaciones!G:G)</f>
        <v>19675318</v>
      </c>
      <c r="D908" s="483">
        <f>SUMIF(Clasificaciones!D:D,'Nota 5'!B908,Clasificaciones!K:K)</f>
        <v>0</v>
      </c>
      <c r="E908" s="649"/>
    </row>
    <row r="909" spans="2:7">
      <c r="B909" s="648" t="s">
        <v>931</v>
      </c>
      <c r="C909" s="483">
        <f>SUMIF(Clasificaciones!D:D,'Nota 5'!B909,Clasificaciones!G:G)</f>
        <v>128652468</v>
      </c>
      <c r="D909" s="483">
        <f>SUMIF(Clasificaciones!D:D,'Nota 5'!B909,Clasificaciones!K:K)</f>
        <v>65692208</v>
      </c>
      <c r="E909" s="649"/>
    </row>
    <row r="910" spans="2:7">
      <c r="B910" s="648" t="s">
        <v>510</v>
      </c>
      <c r="C910" s="483">
        <f>SUMIF(Clasificaciones!D:D,'Nota 5'!B910,Clasificaciones!G:G)</f>
        <v>162307818</v>
      </c>
      <c r="D910" s="483">
        <f>SUMIF(Clasificaciones!D:D,'Nota 5'!B910,Clasificaciones!K:K)</f>
        <v>96729000</v>
      </c>
      <c r="E910" s="649"/>
    </row>
    <row r="911" spans="2:7">
      <c r="B911" s="648" t="s">
        <v>509</v>
      </c>
      <c r="C911" s="483">
        <f>SUMIF(Clasificaciones!D:D,'Nota 5'!B911,Clasificaciones!G:G)</f>
        <v>0</v>
      </c>
      <c r="D911" s="483">
        <f>SUMIF(Clasificaciones!D:D,'Nota 5'!B911,Clasificaciones!K:K)</f>
        <v>16388271</v>
      </c>
      <c r="E911" s="649"/>
    </row>
    <row r="912" spans="2:7">
      <c r="B912" s="648" t="s">
        <v>1224</v>
      </c>
      <c r="C912" s="483">
        <f>SUMIF(Clasificaciones!D:D,'Nota 5'!B912,Clasificaciones!G:G)</f>
        <v>3734386</v>
      </c>
      <c r="D912" s="483">
        <f>SUMIF(Clasificaciones!D:D,'Nota 5'!B912,Clasificaciones!K:K)</f>
        <v>0</v>
      </c>
      <c r="E912" s="649"/>
    </row>
    <row r="913" spans="2:7">
      <c r="B913" s="648" t="s">
        <v>949</v>
      </c>
      <c r="C913" s="483">
        <f>SUMIF(Clasificaciones!D:D,'Nota 5'!B913,Clasificaciones!G:G)</f>
        <v>18402316</v>
      </c>
      <c r="D913" s="483">
        <f>SUMIF(Clasificaciones!D:D,'Nota 5'!B913,Clasificaciones!K:K)</f>
        <v>3329302</v>
      </c>
      <c r="E913" s="649"/>
    </row>
    <row r="914" spans="2:7">
      <c r="B914" s="648" t="s">
        <v>950</v>
      </c>
      <c r="C914" s="483">
        <f>SUMIF(Clasificaciones!D:D,'Nota 5'!B914,Clasificaciones!G:G)</f>
        <v>18371206</v>
      </c>
      <c r="D914" s="483">
        <f>SUMIF(Clasificaciones!D:D,'Nota 5'!B914,Clasificaciones!K:K)</f>
        <v>55955088</v>
      </c>
      <c r="E914" s="649"/>
    </row>
    <row r="915" spans="2:7">
      <c r="B915" s="648" t="s">
        <v>1603</v>
      </c>
      <c r="C915" s="483">
        <f>SUMIF(Clasificaciones!D:D,'Nota 5'!B915,Clasificaciones!G:G)</f>
        <v>2126191</v>
      </c>
      <c r="D915" s="483">
        <f>SUMIF(Clasificaciones!D:D,'Nota 5'!B915,Clasificaciones!K:K)</f>
        <v>4355762</v>
      </c>
      <c r="E915" s="649"/>
    </row>
    <row r="916" spans="2:7">
      <c r="B916" s="648" t="s">
        <v>215</v>
      </c>
      <c r="C916" s="483">
        <f>SUMIF(Clasificaciones!D:D,'Nota 5'!B916,Clasificaciones!G:G)</f>
        <v>11468800</v>
      </c>
      <c r="D916" s="483">
        <f>SUMIF(Clasificaciones!D:D,'Nota 5'!B916,Clasificaciones!K:K)</f>
        <v>400000</v>
      </c>
      <c r="E916" s="649"/>
    </row>
    <row r="917" spans="2:7">
      <c r="B917" s="648" t="s">
        <v>300</v>
      </c>
      <c r="C917" s="483">
        <f>SUMIF(Clasificaciones!D:D,'Nota 5'!B917,Clasificaciones!G:G)</f>
        <v>30091636</v>
      </c>
      <c r="D917" s="483">
        <f>SUMIF(Clasificaciones!D:D,'Nota 5'!B917,Clasificaciones!K:K)</f>
        <v>32340909</v>
      </c>
      <c r="E917" s="649"/>
    </row>
    <row r="918" spans="2:7">
      <c r="B918" s="648" t="s">
        <v>302</v>
      </c>
      <c r="C918" s="483">
        <f>SUMIF(Clasificaciones!D:D,'Nota 5'!B918,Clasificaciones!G:G)</f>
        <v>872727</v>
      </c>
      <c r="D918" s="483">
        <f>SUMIF(Clasificaciones!D:D,'Nota 5'!B918,Clasificaciones!K:K)</f>
        <v>950000</v>
      </c>
      <c r="E918" s="649"/>
    </row>
    <row r="919" spans="2:7">
      <c r="B919" s="648" t="s">
        <v>500</v>
      </c>
      <c r="C919" s="483">
        <f>SUMIF(Clasificaciones!D:D,'Nota 5'!B919,Clasificaciones!G:G)</f>
        <v>5172724</v>
      </c>
      <c r="D919" s="483">
        <f>SUMIF(Clasificaciones!D:D,'Nota 5'!B919,Clasificaciones!K:K)</f>
        <v>3909140</v>
      </c>
      <c r="E919" s="649"/>
    </row>
    <row r="920" spans="2:7">
      <c r="B920" s="648" t="s">
        <v>1374</v>
      </c>
      <c r="C920" s="483">
        <f>SUMIF(Clasificaciones!D:D,'Nota 5'!B920,Clasificaciones!G:G)</f>
        <v>50000000</v>
      </c>
      <c r="D920" s="483">
        <f>SUMIF(Clasificaciones!D:D,'Nota 5'!B920,Clasificaciones!K:K)</f>
        <v>0</v>
      </c>
      <c r="E920" s="649"/>
    </row>
    <row r="921" spans="2:7">
      <c r="B921" s="648" t="s">
        <v>1432</v>
      </c>
      <c r="C921" s="483">
        <f>SUMIF(Clasificaciones!D:D,'Nota 5'!B921,Clasificaciones!G:G)</f>
        <v>80000000</v>
      </c>
      <c r="D921" s="483">
        <f>SUMIF(Clasificaciones!D:D,'Nota 5'!B921,Clasificaciones!K:K)</f>
        <v>0</v>
      </c>
      <c r="E921" s="649"/>
    </row>
    <row r="922" spans="2:7">
      <c r="B922" s="648" t="s">
        <v>1232</v>
      </c>
      <c r="C922" s="483">
        <f>SUMIF(Clasificaciones!D:D,'Nota 5'!B922,Clasificaciones!G:G)</f>
        <v>7985757</v>
      </c>
      <c r="D922" s="483">
        <f>SUMIF(Clasificaciones!D:D,'Nota 5'!B922,Clasificaciones!K:K)</f>
        <v>0</v>
      </c>
      <c r="E922" s="649"/>
    </row>
    <row r="923" spans="2:7">
      <c r="B923" s="648" t="s">
        <v>80</v>
      </c>
      <c r="C923" s="483">
        <f>SUMIF(Clasificaciones!D:D,'Nota 5'!B923,Clasificaciones!G:G)</f>
        <v>10219309</v>
      </c>
      <c r="D923" s="483">
        <f>SUMIF(Clasificaciones!D:D,'Nota 5'!B923,Clasificaciones!K:K)</f>
        <v>0</v>
      </c>
      <c r="E923" s="649"/>
    </row>
    <row r="924" spans="2:7">
      <c r="B924" s="648" t="s">
        <v>956</v>
      </c>
      <c r="C924" s="483">
        <f>SUMIF(Clasificaciones!D:D,'Nota 5'!B924,Clasificaciones!G:G)</f>
        <v>11569681</v>
      </c>
      <c r="D924" s="483">
        <f>SUMIF(Clasificaciones!D:D,'Nota 5'!B924,Clasificaciones!K:K)</f>
        <v>13255937</v>
      </c>
      <c r="E924" s="649"/>
    </row>
    <row r="925" spans="2:7">
      <c r="B925" s="648" t="s">
        <v>960</v>
      </c>
      <c r="C925" s="483">
        <f>SUMIF(Clasificaciones!D:D,'Nota 5'!B925,Clasificaciones!G:G)</f>
        <v>62352222</v>
      </c>
      <c r="D925" s="483">
        <f>SUMIF(Clasificaciones!D:D,'Nota 5'!B925,Clasificaciones!K:K)</f>
        <v>21405800</v>
      </c>
      <c r="E925" s="649"/>
    </row>
    <row r="926" spans="2:7">
      <c r="B926" s="648" t="s">
        <v>1639</v>
      </c>
      <c r="C926" s="483">
        <f>SUMIF(Clasificaciones!D:D,'Nota 5'!B926,Clasificaciones!G:G)</f>
        <v>1999270</v>
      </c>
      <c r="D926" s="483">
        <f>SUMIF(Clasificaciones!D:D,'Nota 5'!B926,Clasificaciones!K:K)</f>
        <v>0</v>
      </c>
      <c r="E926" s="649"/>
    </row>
    <row r="927" spans="2:7">
      <c r="B927" s="648" t="s">
        <v>961</v>
      </c>
      <c r="C927" s="483">
        <f>SUMIF(Clasificaciones!D:D,'Nota 5'!B927,Clasificaciones!G:G)</f>
        <v>394303928</v>
      </c>
      <c r="D927" s="483">
        <f>SUMIF(Clasificaciones!D:D,'Nota 5'!B927,Clasificaciones!K:K)</f>
        <v>239294319</v>
      </c>
      <c r="E927" s="649"/>
    </row>
    <row r="928" spans="2:7">
      <c r="B928" s="650" t="s">
        <v>72</v>
      </c>
      <c r="C928" s="639">
        <f>+SUM(C906:C927)</f>
        <v>1503777387</v>
      </c>
      <c r="D928" s="639">
        <f>+SUM(D906:D927)</f>
        <v>854695657</v>
      </c>
      <c r="E928" s="656">
        <f>+C928+EERR!F62</f>
        <v>0</v>
      </c>
      <c r="F928" s="463">
        <f>+D928+EERR!G62</f>
        <v>0</v>
      </c>
      <c r="G928" s="594"/>
    </row>
    <row r="929" spans="2:7">
      <c r="B929" s="657"/>
      <c r="C929" s="642"/>
      <c r="D929" s="642"/>
      <c r="E929" s="658"/>
      <c r="F929" s="463"/>
      <c r="G929" s="594"/>
    </row>
    <row r="930" spans="2:7">
      <c r="B930" s="634"/>
      <c r="C930" s="634"/>
      <c r="D930" s="634"/>
    </row>
    <row r="931" spans="2:7">
      <c r="B931" s="634"/>
      <c r="C931" s="634"/>
      <c r="D931" s="634"/>
    </row>
    <row r="932" spans="2:7">
      <c r="B932" s="403" t="s">
        <v>1675</v>
      </c>
      <c r="C932" s="411"/>
    </row>
    <row r="934" spans="2:7" ht="21.6" customHeight="1">
      <c r="B934" s="636" t="s">
        <v>71</v>
      </c>
      <c r="C934" s="407">
        <v>44561</v>
      </c>
      <c r="D934" s="407">
        <v>44196</v>
      </c>
      <c r="E934" s="417"/>
    </row>
    <row r="935" spans="2:7">
      <c r="B935" s="659" t="s">
        <v>485</v>
      </c>
      <c r="C935" s="660"/>
      <c r="D935" s="568"/>
    </row>
    <row r="936" spans="2:7">
      <c r="B936" s="517" t="s">
        <v>613</v>
      </c>
      <c r="C936" s="661">
        <f>-Clasificaciones!G687</f>
        <v>1943416237</v>
      </c>
      <c r="D936" s="579">
        <f>-Clasificaciones!K687</f>
        <v>103990631</v>
      </c>
    </row>
    <row r="937" spans="2:7">
      <c r="B937" s="517" t="s">
        <v>1354</v>
      </c>
      <c r="C937" s="661">
        <f>-Clasificaciones!$G$689-Clasificaciones!$G$690</f>
        <v>189435320</v>
      </c>
      <c r="D937" s="579">
        <f>-Clasificaciones!$K$689-Clasificaciones!$K$690</f>
        <v>0</v>
      </c>
    </row>
    <row r="938" spans="2:7">
      <c r="B938" s="517" t="s">
        <v>1351</v>
      </c>
      <c r="C938" s="661">
        <f>-Clasificaciones!$G$688</f>
        <v>12670644</v>
      </c>
      <c r="D938" s="579">
        <f>-Clasificaciones!$K$688</f>
        <v>0</v>
      </c>
    </row>
    <row r="939" spans="2:7">
      <c r="B939" s="517" t="s">
        <v>916</v>
      </c>
      <c r="C939" s="579">
        <f>-Clasificaciones!G681</f>
        <v>8177</v>
      </c>
      <c r="D939" s="579">
        <f>-Clasificaciones!K681</f>
        <v>0</v>
      </c>
    </row>
    <row r="940" spans="2:7">
      <c r="B940" s="659" t="s">
        <v>72</v>
      </c>
      <c r="C940" s="662">
        <f>SUM(C936:C939)</f>
        <v>2145530378</v>
      </c>
      <c r="D940" s="662">
        <f>SUM(D936:D939)</f>
        <v>103990631</v>
      </c>
      <c r="E940" s="450">
        <f>+C940-EERR!F67</f>
        <v>0</v>
      </c>
      <c r="F940" s="463">
        <f>+EERR!G66-D940</f>
        <v>0</v>
      </c>
    </row>
    <row r="941" spans="2:7">
      <c r="B941" s="659" t="s">
        <v>486</v>
      </c>
      <c r="C941" s="663"/>
      <c r="D941" s="664"/>
      <c r="F941" s="448"/>
    </row>
    <row r="942" spans="2:7">
      <c r="B942" s="517" t="s">
        <v>962</v>
      </c>
      <c r="C942" s="424">
        <f>-Clasificaciones!G868</f>
        <v>-12107</v>
      </c>
      <c r="D942" s="449">
        <v>0</v>
      </c>
    </row>
    <row r="943" spans="2:7">
      <c r="B943" s="659" t="s">
        <v>72</v>
      </c>
      <c r="C943" s="582">
        <f>SUM(C942)</f>
        <v>-12107</v>
      </c>
      <c r="D943" s="582">
        <f>SUM(D942)</f>
        <v>0</v>
      </c>
      <c r="E943" s="450">
        <f>+C943-EERR!F68</f>
        <v>0</v>
      </c>
    </row>
    <row r="944" spans="2:7">
      <c r="B944" s="657"/>
      <c r="C944" s="665"/>
      <c r="D944" s="665"/>
    </row>
    <row r="945" spans="2:8">
      <c r="B945" s="657"/>
      <c r="C945" s="665"/>
      <c r="D945" s="665"/>
    </row>
    <row r="946" spans="2:8">
      <c r="B946" s="403" t="s">
        <v>1676</v>
      </c>
      <c r="C946" s="411"/>
      <c r="D946" s="665"/>
    </row>
    <row r="947" spans="2:8">
      <c r="B947" s="666"/>
      <c r="C947" s="665"/>
      <c r="D947" s="665"/>
    </row>
    <row r="948" spans="2:8" ht="21.6" customHeight="1">
      <c r="B948" s="636" t="s">
        <v>1297</v>
      </c>
      <c r="C948" s="407">
        <v>44561</v>
      </c>
      <c r="D948" s="407">
        <v>44196</v>
      </c>
      <c r="E948" s="417"/>
    </row>
    <row r="949" spans="2:8">
      <c r="B949" s="667" t="s">
        <v>287</v>
      </c>
      <c r="C949" s="668">
        <f>-Clasificaciones!G675</f>
        <v>3714440</v>
      </c>
      <c r="D949" s="669">
        <f>-Clasificaciones!K675</f>
        <v>1193634</v>
      </c>
    </row>
    <row r="950" spans="2:8">
      <c r="B950" s="667" t="s">
        <v>240</v>
      </c>
      <c r="C950" s="668">
        <f>-Clasificaciones!G677-Clasificaciones!G854</f>
        <v>-42241690</v>
      </c>
      <c r="D950" s="669">
        <f>-Clasificaciones!K677-Clasificaciones!K854</f>
        <v>537000699</v>
      </c>
    </row>
    <row r="951" spans="2:8">
      <c r="B951" s="670" t="s">
        <v>77</v>
      </c>
      <c r="C951" s="671">
        <f>SUM(C949:C950)</f>
        <v>-38527250</v>
      </c>
      <c r="D951" s="671">
        <f>SUM(D949:D950)</f>
        <v>538194333</v>
      </c>
    </row>
    <row r="952" spans="2:8" ht="12.75" customHeight="1">
      <c r="B952" s="650"/>
      <c r="C952" s="672"/>
      <c r="D952" s="673"/>
    </row>
    <row r="953" spans="2:8" ht="21.6" customHeight="1">
      <c r="B953" s="636" t="s">
        <v>1298</v>
      </c>
      <c r="C953" s="407">
        <v>44561</v>
      </c>
      <c r="D953" s="407">
        <v>44196</v>
      </c>
      <c r="E953" s="417"/>
    </row>
    <row r="954" spans="2:8">
      <c r="B954" s="667" t="s">
        <v>487</v>
      </c>
      <c r="C954" s="668">
        <f>-Clasificaciones!G850-Clasificaciones!G849</f>
        <v>-277598004</v>
      </c>
      <c r="D954" s="668">
        <f>-Clasificaciones!K850</f>
        <v>-196772299</v>
      </c>
    </row>
    <row r="955" spans="2:8">
      <c r="B955" s="667" t="s">
        <v>125</v>
      </c>
      <c r="C955" s="668">
        <f>-Clasificaciones!G678-Clasificaciones!G855</f>
        <v>11498700</v>
      </c>
      <c r="D955" s="668">
        <f>-Clasificaciones!K678-Clasificaciones!K855</f>
        <v>-485937122</v>
      </c>
    </row>
    <row r="956" spans="2:8">
      <c r="B956" s="670" t="s">
        <v>77</v>
      </c>
      <c r="C956" s="671">
        <f>SUM(C954:C955)</f>
        <v>-266099304</v>
      </c>
      <c r="D956" s="671">
        <f>SUM(D954:D955)</f>
        <v>-682709421</v>
      </c>
      <c r="F956" s="454"/>
      <c r="G956" s="454"/>
      <c r="H956" s="454"/>
    </row>
    <row r="957" spans="2:8">
      <c r="B957" s="670" t="s">
        <v>488</v>
      </c>
      <c r="C957" s="671">
        <f>+C951+C956</f>
        <v>-304626554</v>
      </c>
      <c r="D957" s="671">
        <f>+D951+D956</f>
        <v>-144515088</v>
      </c>
      <c r="E957" s="450">
        <f>+C957-EERR!F70</f>
        <v>0</v>
      </c>
      <c r="F957" s="450">
        <f>+D957-EERR!G70</f>
        <v>0</v>
      </c>
    </row>
    <row r="958" spans="2:8">
      <c r="B958" s="666"/>
      <c r="C958" s="665"/>
      <c r="D958" s="665"/>
    </row>
    <row r="959" spans="2:8">
      <c r="B959" s="403" t="s">
        <v>1677</v>
      </c>
      <c r="C959" s="411"/>
      <c r="D959" s="665"/>
    </row>
    <row r="961" spans="1:6" ht="21.6" customHeight="1">
      <c r="B961" s="636" t="s">
        <v>196</v>
      </c>
      <c r="C961" s="407">
        <v>44561</v>
      </c>
      <c r="D961" s="407">
        <v>44196</v>
      </c>
      <c r="E961" s="417"/>
    </row>
    <row r="962" spans="1:6">
      <c r="B962" s="674" t="s">
        <v>489</v>
      </c>
      <c r="C962" s="637">
        <f>-Clasificaciones!G682</f>
        <v>49787771</v>
      </c>
      <c r="D962" s="669">
        <f>-Clasificaciones!K682</f>
        <v>12973985</v>
      </c>
    </row>
    <row r="963" spans="1:6">
      <c r="B963" s="675" t="s">
        <v>77</v>
      </c>
      <c r="C963" s="639">
        <f>SUM(C962)</f>
        <v>49787771</v>
      </c>
      <c r="D963" s="639">
        <f>SUM(D962)</f>
        <v>12973985</v>
      </c>
      <c r="E963" s="463">
        <f>+C963-EERR!F79</f>
        <v>0</v>
      </c>
      <c r="F963" s="463">
        <f>+D963-EERR!G79</f>
        <v>0</v>
      </c>
    </row>
    <row r="964" spans="1:6">
      <c r="B964" s="403"/>
      <c r="C964" s="676"/>
      <c r="D964" s="677"/>
    </row>
    <row r="965" spans="1:6">
      <c r="A965" s="678"/>
      <c r="B965" s="679"/>
      <c r="C965" s="680"/>
      <c r="D965" s="681"/>
      <c r="E965" s="416"/>
      <c r="F965" s="682"/>
    </row>
    <row r="966" spans="1:6">
      <c r="A966" s="678"/>
      <c r="B966" s="416"/>
      <c r="C966" s="680"/>
      <c r="D966" s="681"/>
      <c r="E966" s="682"/>
      <c r="F966" s="682"/>
    </row>
    <row r="970" spans="1:6">
      <c r="B970" s="813"/>
    </row>
    <row r="971" spans="1:6">
      <c r="B971" s="928" t="s">
        <v>1742</v>
      </c>
    </row>
    <row r="972" spans="1:6">
      <c r="B972" s="929" t="s">
        <v>1743</v>
      </c>
    </row>
    <row r="973" spans="1:6">
      <c r="B973" s="930" t="s">
        <v>1744</v>
      </c>
    </row>
    <row r="974" spans="1:6">
      <c r="B974" s="813"/>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55">
    <mergeCell ref="C679:C680"/>
    <mergeCell ref="C690:C691"/>
    <mergeCell ref="D690:D691"/>
    <mergeCell ref="B679:B680"/>
    <mergeCell ref="D679:D680"/>
    <mergeCell ref="E771:F771"/>
    <mergeCell ref="B771:B772"/>
    <mergeCell ref="C771:C772"/>
    <mergeCell ref="D771:D772"/>
    <mergeCell ref="B690:B691"/>
    <mergeCell ref="B714:B715"/>
    <mergeCell ref="B752:B753"/>
    <mergeCell ref="C714:C715"/>
    <mergeCell ref="D714:D715"/>
    <mergeCell ref="B704:B705"/>
    <mergeCell ref="C704:C705"/>
    <mergeCell ref="D704:D705"/>
    <mergeCell ref="B57:B58"/>
    <mergeCell ref="B128:G128"/>
    <mergeCell ref="H128:J128"/>
    <mergeCell ref="B23:B24"/>
    <mergeCell ref="I129:I130"/>
    <mergeCell ref="J129:J130"/>
    <mergeCell ref="G129:G130"/>
    <mergeCell ref="B129:B130"/>
    <mergeCell ref="C129:C130"/>
    <mergeCell ref="H129:H130"/>
    <mergeCell ref="D129:D130"/>
    <mergeCell ref="E129:F129"/>
    <mergeCell ref="C23:C24"/>
    <mergeCell ref="D23:D24"/>
    <mergeCell ref="E23:E24"/>
    <mergeCell ref="F23:F24"/>
    <mergeCell ref="B3:M3"/>
    <mergeCell ref="B4:M4"/>
    <mergeCell ref="B5:M5"/>
    <mergeCell ref="B6:M6"/>
    <mergeCell ref="B20:H20"/>
    <mergeCell ref="B12:K12"/>
    <mergeCell ref="C57:C58"/>
    <mergeCell ref="E57:E58"/>
    <mergeCell ref="C752:C753"/>
    <mergeCell ref="D752:D753"/>
    <mergeCell ref="H23:H24"/>
    <mergeCell ref="G23:G24"/>
    <mergeCell ref="D57:D58"/>
    <mergeCell ref="F57:F58"/>
    <mergeCell ref="B356:F356"/>
    <mergeCell ref="B571:F571"/>
    <mergeCell ref="B578:F578"/>
    <mergeCell ref="B630:B631"/>
    <mergeCell ref="C630:G630"/>
    <mergeCell ref="B605:D605"/>
    <mergeCell ref="B621:D621"/>
    <mergeCell ref="H630:M630"/>
  </mergeCells>
  <hyperlinks>
    <hyperlink ref="K8" location="INDICE!A1" display="Índice" xr:uid="{60B6D0E1-4133-43B3-8E10-41476050FAB0}"/>
  </hyperlinks>
  <pageMargins left="0.23622047244094491" right="0.23622047244094491" top="0.74803149606299213" bottom="0.74803149606299213" header="0.31496062992125984" footer="0.31496062992125984"/>
  <pageSetup paperSize="9" scale="10" orientation="landscape" r:id="rId4"/>
  <ignoredErrors>
    <ignoredError sqref="D625" formulaRange="1"/>
  </ignoredError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60"/>
  <sheetViews>
    <sheetView showGridLines="0" topLeftCell="B1" zoomScale="90" zoomScaleNormal="90" workbookViewId="0">
      <pane ySplit="5" topLeftCell="A147" activePane="bottomLeft" state="frozen"/>
      <selection activeCell="G168" sqref="G168"/>
      <selection pane="bottomLeft" activeCell="G168" sqref="G168"/>
    </sheetView>
  </sheetViews>
  <sheetFormatPr baseColWidth="10" defaultColWidth="11.44140625" defaultRowHeight="15" customHeight="1"/>
  <cols>
    <col min="1" max="1" width="17.33203125" style="52" hidden="1" customWidth="1"/>
    <col min="2" max="2" width="15.6640625" style="73" bestFit="1" customWidth="1"/>
    <col min="3" max="3" width="67.33203125" style="78" customWidth="1"/>
    <col min="4" max="4" width="19" style="52" bestFit="1" customWidth="1"/>
    <col min="5" max="5" width="20.6640625" style="51" customWidth="1"/>
    <col min="6" max="6" width="18.6640625" style="52" customWidth="1"/>
    <col min="7" max="7" width="18.5546875" style="52" customWidth="1"/>
    <col min="8" max="8" width="8.88671875" style="52" customWidth="1"/>
    <col min="9" max="9" width="5.109375" style="52" customWidth="1"/>
    <col min="10" max="10" width="16.6640625" style="52" customWidth="1"/>
    <col min="11" max="11" width="14" style="52" customWidth="1"/>
    <col min="12" max="15" width="8.88671875" style="52" customWidth="1"/>
    <col min="16" max="16" width="14.6640625" style="52" bestFit="1" customWidth="1"/>
    <col min="17" max="17" width="16.6640625" style="52" customWidth="1"/>
    <col min="18" max="250" width="8.88671875" style="52" customWidth="1"/>
    <col min="251" max="251" width="1" style="52" customWidth="1"/>
    <col min="252" max="252" width="17.33203125" style="52" customWidth="1"/>
    <col min="253" max="253" width="67.33203125" style="52" customWidth="1"/>
    <col min="254" max="254" width="28.44140625" style="52" customWidth="1"/>
    <col min="255" max="506" width="8.88671875" style="52" customWidth="1"/>
    <col min="507" max="507" width="1" style="52" customWidth="1"/>
    <col min="508" max="508" width="17.33203125" style="52" customWidth="1"/>
    <col min="509" max="509" width="67.33203125" style="52" customWidth="1"/>
    <col min="510" max="510" width="28.44140625" style="52" customWidth="1"/>
    <col min="511" max="762" width="8.88671875" style="52" customWidth="1"/>
    <col min="763" max="763" width="1" style="52" customWidth="1"/>
    <col min="764" max="764" width="17.33203125" style="52" customWidth="1"/>
    <col min="765" max="765" width="67.33203125" style="52" customWidth="1"/>
    <col min="766" max="766" width="28.44140625" style="52" customWidth="1"/>
    <col min="767" max="1018" width="8.88671875" style="52" customWidth="1"/>
    <col min="1019" max="1019" width="1" style="52" customWidth="1"/>
    <col min="1020" max="1020" width="17.33203125" style="52" customWidth="1"/>
    <col min="1021" max="1021" width="67.33203125" style="52" customWidth="1"/>
    <col min="1022" max="1022" width="28.44140625" style="52" customWidth="1"/>
    <col min="1023" max="1274" width="8.88671875" style="52" customWidth="1"/>
    <col min="1275" max="1275" width="1" style="52" customWidth="1"/>
    <col min="1276" max="1276" width="17.33203125" style="52" customWidth="1"/>
    <col min="1277" max="1277" width="67.33203125" style="52" customWidth="1"/>
    <col min="1278" max="1278" width="28.44140625" style="52" customWidth="1"/>
    <col min="1279" max="1530" width="8.88671875" style="52" customWidth="1"/>
    <col min="1531" max="1531" width="1" style="52" customWidth="1"/>
    <col min="1532" max="1532" width="17.33203125" style="52" customWidth="1"/>
    <col min="1533" max="1533" width="67.33203125" style="52" customWidth="1"/>
    <col min="1534" max="1534" width="28.44140625" style="52" customWidth="1"/>
    <col min="1535" max="1786" width="8.88671875" style="52" customWidth="1"/>
    <col min="1787" max="1787" width="1" style="52" customWidth="1"/>
    <col min="1788" max="1788" width="17.33203125" style="52" customWidth="1"/>
    <col min="1789" max="1789" width="67.33203125" style="52" customWidth="1"/>
    <col min="1790" max="1790" width="28.44140625" style="52" customWidth="1"/>
    <col min="1791" max="2042" width="8.88671875" style="52" customWidth="1"/>
    <col min="2043" max="2043" width="1" style="52" customWidth="1"/>
    <col min="2044" max="2044" width="17.33203125" style="52" customWidth="1"/>
    <col min="2045" max="2045" width="67.33203125" style="52" customWidth="1"/>
    <col min="2046" max="2046" width="28.44140625" style="52" customWidth="1"/>
    <col min="2047" max="2298" width="8.88671875" style="52" customWidth="1"/>
    <col min="2299" max="2299" width="1" style="52" customWidth="1"/>
    <col min="2300" max="2300" width="17.33203125" style="52" customWidth="1"/>
    <col min="2301" max="2301" width="67.33203125" style="52" customWidth="1"/>
    <col min="2302" max="2302" width="28.44140625" style="52" customWidth="1"/>
    <col min="2303" max="2554" width="8.88671875" style="52" customWidth="1"/>
    <col min="2555" max="2555" width="1" style="52" customWidth="1"/>
    <col min="2556" max="2556" width="17.33203125" style="52" customWidth="1"/>
    <col min="2557" max="2557" width="67.33203125" style="52" customWidth="1"/>
    <col min="2558" max="2558" width="28.44140625" style="52" customWidth="1"/>
    <col min="2559" max="2810" width="8.88671875" style="52" customWidth="1"/>
    <col min="2811" max="2811" width="1" style="52" customWidth="1"/>
    <col min="2812" max="2812" width="17.33203125" style="52" customWidth="1"/>
    <col min="2813" max="2813" width="67.33203125" style="52" customWidth="1"/>
    <col min="2814" max="2814" width="28.44140625" style="52" customWidth="1"/>
    <col min="2815" max="3066" width="8.88671875" style="52" customWidth="1"/>
    <col min="3067" max="3067" width="1" style="52" customWidth="1"/>
    <col min="3068" max="3068" width="17.33203125" style="52" customWidth="1"/>
    <col min="3069" max="3069" width="67.33203125" style="52" customWidth="1"/>
    <col min="3070" max="3070" width="28.44140625" style="52" customWidth="1"/>
    <col min="3071" max="3322" width="8.88671875" style="52" customWidth="1"/>
    <col min="3323" max="3323" width="1" style="52" customWidth="1"/>
    <col min="3324" max="3324" width="17.33203125" style="52" customWidth="1"/>
    <col min="3325" max="3325" width="67.33203125" style="52" customWidth="1"/>
    <col min="3326" max="3326" width="28.44140625" style="52" customWidth="1"/>
    <col min="3327" max="3578" width="8.88671875" style="52" customWidth="1"/>
    <col min="3579" max="3579" width="1" style="52" customWidth="1"/>
    <col min="3580" max="3580" width="17.33203125" style="52" customWidth="1"/>
    <col min="3581" max="3581" width="67.33203125" style="52" customWidth="1"/>
    <col min="3582" max="3582" width="28.44140625" style="52" customWidth="1"/>
    <col min="3583" max="3834" width="8.88671875" style="52" customWidth="1"/>
    <col min="3835" max="3835" width="1" style="52" customWidth="1"/>
    <col min="3836" max="3836" width="17.33203125" style="52" customWidth="1"/>
    <col min="3837" max="3837" width="67.33203125" style="52" customWidth="1"/>
    <col min="3838" max="3838" width="28.44140625" style="52" customWidth="1"/>
    <col min="3839" max="4090" width="8.88671875" style="52" customWidth="1"/>
    <col min="4091" max="4091" width="1" style="52" customWidth="1"/>
    <col min="4092" max="4092" width="17.33203125" style="52" customWidth="1"/>
    <col min="4093" max="4093" width="67.33203125" style="52" customWidth="1"/>
    <col min="4094" max="4094" width="28.44140625" style="52" customWidth="1"/>
    <col min="4095" max="4346" width="8.88671875" style="52" customWidth="1"/>
    <col min="4347" max="4347" width="1" style="52" customWidth="1"/>
    <col min="4348" max="4348" width="17.33203125" style="52" customWidth="1"/>
    <col min="4349" max="4349" width="67.33203125" style="52" customWidth="1"/>
    <col min="4350" max="4350" width="28.44140625" style="52" customWidth="1"/>
    <col min="4351" max="4602" width="8.88671875" style="52" customWidth="1"/>
    <col min="4603" max="4603" width="1" style="52" customWidth="1"/>
    <col min="4604" max="4604" width="17.33203125" style="52" customWidth="1"/>
    <col min="4605" max="4605" width="67.33203125" style="52" customWidth="1"/>
    <col min="4606" max="4606" width="28.44140625" style="52" customWidth="1"/>
    <col min="4607" max="4858" width="8.88671875" style="52" customWidth="1"/>
    <col min="4859" max="4859" width="1" style="52" customWidth="1"/>
    <col min="4860" max="4860" width="17.33203125" style="52" customWidth="1"/>
    <col min="4861" max="4861" width="67.33203125" style="52" customWidth="1"/>
    <col min="4862" max="4862" width="28.44140625" style="52" customWidth="1"/>
    <col min="4863" max="5114" width="8.88671875" style="52" customWidth="1"/>
    <col min="5115" max="5115" width="1" style="52" customWidth="1"/>
    <col min="5116" max="5116" width="17.33203125" style="52" customWidth="1"/>
    <col min="5117" max="5117" width="67.33203125" style="52" customWidth="1"/>
    <col min="5118" max="5118" width="28.44140625" style="52" customWidth="1"/>
    <col min="5119" max="5370" width="8.88671875" style="52" customWidth="1"/>
    <col min="5371" max="5371" width="1" style="52" customWidth="1"/>
    <col min="5372" max="5372" width="17.33203125" style="52" customWidth="1"/>
    <col min="5373" max="5373" width="67.33203125" style="52" customWidth="1"/>
    <col min="5374" max="5374" width="28.44140625" style="52" customWidth="1"/>
    <col min="5375" max="5626" width="8.88671875" style="52" customWidth="1"/>
    <col min="5627" max="5627" width="1" style="52" customWidth="1"/>
    <col min="5628" max="5628" width="17.33203125" style="52" customWidth="1"/>
    <col min="5629" max="5629" width="67.33203125" style="52" customWidth="1"/>
    <col min="5630" max="5630" width="28.44140625" style="52" customWidth="1"/>
    <col min="5631" max="5882" width="8.88671875" style="52" customWidth="1"/>
    <col min="5883" max="5883" width="1" style="52" customWidth="1"/>
    <col min="5884" max="5884" width="17.33203125" style="52" customWidth="1"/>
    <col min="5885" max="5885" width="67.33203125" style="52" customWidth="1"/>
    <col min="5886" max="5886" width="28.44140625" style="52" customWidth="1"/>
    <col min="5887" max="6138" width="8.88671875" style="52" customWidth="1"/>
    <col min="6139" max="6139" width="1" style="52" customWidth="1"/>
    <col min="6140" max="6140" width="17.33203125" style="52" customWidth="1"/>
    <col min="6141" max="6141" width="67.33203125" style="52" customWidth="1"/>
    <col min="6142" max="6142" width="28.44140625" style="52" customWidth="1"/>
    <col min="6143" max="6394" width="8.88671875" style="52" customWidth="1"/>
    <col min="6395" max="6395" width="1" style="52" customWidth="1"/>
    <col min="6396" max="6396" width="17.33203125" style="52" customWidth="1"/>
    <col min="6397" max="6397" width="67.33203125" style="52" customWidth="1"/>
    <col min="6398" max="6398" width="28.44140625" style="52" customWidth="1"/>
    <col min="6399" max="6650" width="8.88671875" style="52" customWidth="1"/>
    <col min="6651" max="6651" width="1" style="52" customWidth="1"/>
    <col min="6652" max="6652" width="17.33203125" style="52" customWidth="1"/>
    <col min="6653" max="6653" width="67.33203125" style="52" customWidth="1"/>
    <col min="6654" max="6654" width="28.44140625" style="52" customWidth="1"/>
    <col min="6655" max="6906" width="8.88671875" style="52" customWidth="1"/>
    <col min="6907" max="6907" width="1" style="52" customWidth="1"/>
    <col min="6908" max="6908" width="17.33203125" style="52" customWidth="1"/>
    <col min="6909" max="6909" width="67.33203125" style="52" customWidth="1"/>
    <col min="6910" max="6910" width="28.44140625" style="52" customWidth="1"/>
    <col min="6911" max="7162" width="8.88671875" style="52" customWidth="1"/>
    <col min="7163" max="7163" width="1" style="52" customWidth="1"/>
    <col min="7164" max="7164" width="17.33203125" style="52" customWidth="1"/>
    <col min="7165" max="7165" width="67.33203125" style="52" customWidth="1"/>
    <col min="7166" max="7166" width="28.44140625" style="52" customWidth="1"/>
    <col min="7167" max="7418" width="8.88671875" style="52" customWidth="1"/>
    <col min="7419" max="7419" width="1" style="52" customWidth="1"/>
    <col min="7420" max="7420" width="17.33203125" style="52" customWidth="1"/>
    <col min="7421" max="7421" width="67.33203125" style="52" customWidth="1"/>
    <col min="7422" max="7422" width="28.44140625" style="52" customWidth="1"/>
    <col min="7423" max="7674" width="8.88671875" style="52" customWidth="1"/>
    <col min="7675" max="7675" width="1" style="52" customWidth="1"/>
    <col min="7676" max="7676" width="17.33203125" style="52" customWidth="1"/>
    <col min="7677" max="7677" width="67.33203125" style="52" customWidth="1"/>
    <col min="7678" max="7678" width="28.44140625" style="52" customWidth="1"/>
    <col min="7679" max="7930" width="8.88671875" style="52" customWidth="1"/>
    <col min="7931" max="7931" width="1" style="52" customWidth="1"/>
    <col min="7932" max="7932" width="17.33203125" style="52" customWidth="1"/>
    <col min="7933" max="7933" width="67.33203125" style="52" customWidth="1"/>
    <col min="7934" max="7934" width="28.44140625" style="52" customWidth="1"/>
    <col min="7935" max="8186" width="8.88671875" style="52" customWidth="1"/>
    <col min="8187" max="8187" width="1" style="52" customWidth="1"/>
    <col min="8188" max="8188" width="17.33203125" style="52" customWidth="1"/>
    <col min="8189" max="8189" width="67.33203125" style="52" customWidth="1"/>
    <col min="8190" max="8190" width="28.44140625" style="52" customWidth="1"/>
    <col min="8191" max="8442" width="8.88671875" style="52" customWidth="1"/>
    <col min="8443" max="8443" width="1" style="52" customWidth="1"/>
    <col min="8444" max="8444" width="17.33203125" style="52" customWidth="1"/>
    <col min="8445" max="8445" width="67.33203125" style="52" customWidth="1"/>
    <col min="8446" max="8446" width="28.44140625" style="52" customWidth="1"/>
    <col min="8447" max="8698" width="8.88671875" style="52" customWidth="1"/>
    <col min="8699" max="8699" width="1" style="52" customWidth="1"/>
    <col min="8700" max="8700" width="17.33203125" style="52" customWidth="1"/>
    <col min="8701" max="8701" width="67.33203125" style="52" customWidth="1"/>
    <col min="8702" max="8702" width="28.44140625" style="52" customWidth="1"/>
    <col min="8703" max="8954" width="8.88671875" style="52" customWidth="1"/>
    <col min="8955" max="8955" width="1" style="52" customWidth="1"/>
    <col min="8956" max="8956" width="17.33203125" style="52" customWidth="1"/>
    <col min="8957" max="8957" width="67.33203125" style="52" customWidth="1"/>
    <col min="8958" max="8958" width="28.44140625" style="52" customWidth="1"/>
    <col min="8959" max="9210" width="8.88671875" style="52" customWidth="1"/>
    <col min="9211" max="9211" width="1" style="52" customWidth="1"/>
    <col min="9212" max="9212" width="17.33203125" style="52" customWidth="1"/>
    <col min="9213" max="9213" width="67.33203125" style="52" customWidth="1"/>
    <col min="9214" max="9214" width="28.44140625" style="52" customWidth="1"/>
    <col min="9215" max="9466" width="8.88671875" style="52" customWidth="1"/>
    <col min="9467" max="9467" width="1" style="52" customWidth="1"/>
    <col min="9468" max="9468" width="17.33203125" style="52" customWidth="1"/>
    <col min="9469" max="9469" width="67.33203125" style="52" customWidth="1"/>
    <col min="9470" max="9470" width="28.44140625" style="52" customWidth="1"/>
    <col min="9471" max="9722" width="8.88671875" style="52" customWidth="1"/>
    <col min="9723" max="9723" width="1" style="52" customWidth="1"/>
    <col min="9724" max="9724" width="17.33203125" style="52" customWidth="1"/>
    <col min="9725" max="9725" width="67.33203125" style="52" customWidth="1"/>
    <col min="9726" max="9726" width="28.44140625" style="52" customWidth="1"/>
    <col min="9727" max="9978" width="8.88671875" style="52" customWidth="1"/>
    <col min="9979" max="9979" width="1" style="52" customWidth="1"/>
    <col min="9980" max="9980" width="17.33203125" style="52" customWidth="1"/>
    <col min="9981" max="9981" width="67.33203125" style="52" customWidth="1"/>
    <col min="9982" max="9982" width="28.44140625" style="52" customWidth="1"/>
    <col min="9983" max="10234" width="8.88671875" style="52" customWidth="1"/>
    <col min="10235" max="10235" width="1" style="52" customWidth="1"/>
    <col min="10236" max="10236" width="17.33203125" style="52" customWidth="1"/>
    <col min="10237" max="10237" width="67.33203125" style="52" customWidth="1"/>
    <col min="10238" max="10238" width="28.44140625" style="52" customWidth="1"/>
    <col min="10239" max="10490" width="8.88671875" style="52" customWidth="1"/>
    <col min="10491" max="10491" width="1" style="52" customWidth="1"/>
    <col min="10492" max="10492" width="17.33203125" style="52" customWidth="1"/>
    <col min="10493" max="10493" width="67.33203125" style="52" customWidth="1"/>
    <col min="10494" max="10494" width="28.44140625" style="52" customWidth="1"/>
    <col min="10495" max="10746" width="8.88671875" style="52" customWidth="1"/>
    <col min="10747" max="10747" width="1" style="52" customWidth="1"/>
    <col min="10748" max="10748" width="17.33203125" style="52" customWidth="1"/>
    <col min="10749" max="10749" width="67.33203125" style="52" customWidth="1"/>
    <col min="10750" max="10750" width="28.44140625" style="52" customWidth="1"/>
    <col min="10751" max="11002" width="8.88671875" style="52" customWidth="1"/>
    <col min="11003" max="11003" width="1" style="52" customWidth="1"/>
    <col min="11004" max="11004" width="17.33203125" style="52" customWidth="1"/>
    <col min="11005" max="11005" width="67.33203125" style="52" customWidth="1"/>
    <col min="11006" max="11006" width="28.44140625" style="52" customWidth="1"/>
    <col min="11007" max="11258" width="8.88671875" style="52" customWidth="1"/>
    <col min="11259" max="11259" width="1" style="52" customWidth="1"/>
    <col min="11260" max="11260" width="17.33203125" style="52" customWidth="1"/>
    <col min="11261" max="11261" width="67.33203125" style="52" customWidth="1"/>
    <col min="11262" max="11262" width="28.44140625" style="52" customWidth="1"/>
    <col min="11263" max="11514" width="8.88671875" style="52" customWidth="1"/>
    <col min="11515" max="11515" width="1" style="52" customWidth="1"/>
    <col min="11516" max="11516" width="17.33203125" style="52" customWidth="1"/>
    <col min="11517" max="11517" width="67.33203125" style="52" customWidth="1"/>
    <col min="11518" max="11518" width="28.44140625" style="52" customWidth="1"/>
    <col min="11519" max="11770" width="8.88671875" style="52" customWidth="1"/>
    <col min="11771" max="11771" width="1" style="52" customWidth="1"/>
    <col min="11772" max="11772" width="17.33203125" style="52" customWidth="1"/>
    <col min="11773" max="11773" width="67.33203125" style="52" customWidth="1"/>
    <col min="11774" max="11774" width="28.44140625" style="52" customWidth="1"/>
    <col min="11775" max="12026" width="8.88671875" style="52" customWidth="1"/>
    <col min="12027" max="12027" width="1" style="52" customWidth="1"/>
    <col min="12028" max="12028" width="17.33203125" style="52" customWidth="1"/>
    <col min="12029" max="12029" width="67.33203125" style="52" customWidth="1"/>
    <col min="12030" max="12030" width="28.44140625" style="52" customWidth="1"/>
    <col min="12031" max="12282" width="8.88671875" style="52" customWidth="1"/>
    <col min="12283" max="12283" width="1" style="52" customWidth="1"/>
    <col min="12284" max="12284" width="17.33203125" style="52" customWidth="1"/>
    <col min="12285" max="12285" width="67.33203125" style="52" customWidth="1"/>
    <col min="12286" max="12286" width="28.44140625" style="52" customWidth="1"/>
    <col min="12287" max="12538" width="8.88671875" style="52" customWidth="1"/>
    <col min="12539" max="12539" width="1" style="52" customWidth="1"/>
    <col min="12540" max="12540" width="17.33203125" style="52" customWidth="1"/>
    <col min="12541" max="12541" width="67.33203125" style="52" customWidth="1"/>
    <col min="12542" max="12542" width="28.44140625" style="52" customWidth="1"/>
    <col min="12543" max="12794" width="8.88671875" style="52" customWidth="1"/>
    <col min="12795" max="12795" width="1" style="52" customWidth="1"/>
    <col min="12796" max="12796" width="17.33203125" style="52" customWidth="1"/>
    <col min="12797" max="12797" width="67.33203125" style="52" customWidth="1"/>
    <col min="12798" max="12798" width="28.44140625" style="52" customWidth="1"/>
    <col min="12799" max="13050" width="8.88671875" style="52" customWidth="1"/>
    <col min="13051" max="13051" width="1" style="52" customWidth="1"/>
    <col min="13052" max="13052" width="17.33203125" style="52" customWidth="1"/>
    <col min="13053" max="13053" width="67.33203125" style="52" customWidth="1"/>
    <col min="13054" max="13054" width="28.44140625" style="52" customWidth="1"/>
    <col min="13055" max="13306" width="8.88671875" style="52" customWidth="1"/>
    <col min="13307" max="13307" width="1" style="52" customWidth="1"/>
    <col min="13308" max="13308" width="17.33203125" style="52" customWidth="1"/>
    <col min="13309" max="13309" width="67.33203125" style="52" customWidth="1"/>
    <col min="13310" max="13310" width="28.44140625" style="52" customWidth="1"/>
    <col min="13311" max="13562" width="8.88671875" style="52" customWidth="1"/>
    <col min="13563" max="13563" width="1" style="52" customWidth="1"/>
    <col min="13564" max="13564" width="17.33203125" style="52" customWidth="1"/>
    <col min="13565" max="13565" width="67.33203125" style="52" customWidth="1"/>
    <col min="13566" max="13566" width="28.44140625" style="52" customWidth="1"/>
    <col min="13567" max="13818" width="8.88671875" style="52" customWidth="1"/>
    <col min="13819" max="13819" width="1" style="52" customWidth="1"/>
    <col min="13820" max="13820" width="17.33203125" style="52" customWidth="1"/>
    <col min="13821" max="13821" width="67.33203125" style="52" customWidth="1"/>
    <col min="13822" max="13822" width="28.44140625" style="52" customWidth="1"/>
    <col min="13823" max="14074" width="8.88671875" style="52" customWidth="1"/>
    <col min="14075" max="14075" width="1" style="52" customWidth="1"/>
    <col min="14076" max="14076" width="17.33203125" style="52" customWidth="1"/>
    <col min="14077" max="14077" width="67.33203125" style="52" customWidth="1"/>
    <col min="14078" max="14078" width="28.44140625" style="52" customWidth="1"/>
    <col min="14079" max="14330" width="8.88671875" style="52" customWidth="1"/>
    <col min="14331" max="14331" width="1" style="52" customWidth="1"/>
    <col min="14332" max="14332" width="17.33203125" style="52" customWidth="1"/>
    <col min="14333" max="14333" width="67.33203125" style="52" customWidth="1"/>
    <col min="14334" max="14334" width="28.44140625" style="52" customWidth="1"/>
    <col min="14335" max="14586" width="8.88671875" style="52" customWidth="1"/>
    <col min="14587" max="14587" width="1" style="52" customWidth="1"/>
    <col min="14588" max="14588" width="17.33203125" style="52" customWidth="1"/>
    <col min="14589" max="14589" width="67.33203125" style="52" customWidth="1"/>
    <col min="14590" max="14590" width="28.44140625" style="52" customWidth="1"/>
    <col min="14591" max="14842" width="8.88671875" style="52" customWidth="1"/>
    <col min="14843" max="14843" width="1" style="52" customWidth="1"/>
    <col min="14844" max="14844" width="17.33203125" style="52" customWidth="1"/>
    <col min="14845" max="14845" width="67.33203125" style="52" customWidth="1"/>
    <col min="14846" max="14846" width="28.44140625" style="52" customWidth="1"/>
    <col min="14847" max="15098" width="8.88671875" style="52" customWidth="1"/>
    <col min="15099" max="15099" width="1" style="52" customWidth="1"/>
    <col min="15100" max="15100" width="17.33203125" style="52" customWidth="1"/>
    <col min="15101" max="15101" width="67.33203125" style="52" customWidth="1"/>
    <col min="15102" max="15102" width="28.44140625" style="52" customWidth="1"/>
    <col min="15103" max="15354" width="8.88671875" style="52" customWidth="1"/>
    <col min="15355" max="15355" width="1" style="52" customWidth="1"/>
    <col min="15356" max="15356" width="17.33203125" style="52" customWidth="1"/>
    <col min="15357" max="15357" width="67.33203125" style="52" customWidth="1"/>
    <col min="15358" max="15358" width="28.44140625" style="52" customWidth="1"/>
    <col min="15359" max="15610" width="8.88671875" style="52" customWidth="1"/>
    <col min="15611" max="15611" width="1" style="52" customWidth="1"/>
    <col min="15612" max="15612" width="17.33203125" style="52" customWidth="1"/>
    <col min="15613" max="15613" width="67.33203125" style="52" customWidth="1"/>
    <col min="15614" max="15614" width="28.44140625" style="52" customWidth="1"/>
    <col min="15615" max="15866" width="8.88671875" style="52" customWidth="1"/>
    <col min="15867" max="15867" width="1" style="52" customWidth="1"/>
    <col min="15868" max="15868" width="17.33203125" style="52" customWidth="1"/>
    <col min="15869" max="15869" width="67.33203125" style="52" customWidth="1"/>
    <col min="15870" max="15870" width="28.44140625" style="52" customWidth="1"/>
    <col min="15871" max="16122" width="8.88671875" style="52" customWidth="1"/>
    <col min="16123" max="16123" width="1" style="52" customWidth="1"/>
    <col min="16124" max="16124" width="17.33203125" style="52" customWidth="1"/>
    <col min="16125" max="16125" width="67.33203125" style="52" customWidth="1"/>
    <col min="16126" max="16126" width="28.44140625" style="52" customWidth="1"/>
    <col min="16127" max="16384" width="8.88671875" style="52" customWidth="1"/>
  </cols>
  <sheetData>
    <row r="1" spans="1:5" ht="15" customHeight="1">
      <c r="A1" s="50"/>
      <c r="C1" s="63" t="s">
        <v>230</v>
      </c>
      <c r="D1" s="76"/>
    </row>
    <row r="2" spans="1:5" ht="15" customHeight="1">
      <c r="A2" s="49"/>
      <c r="C2" s="49" t="s">
        <v>271</v>
      </c>
      <c r="D2" s="50"/>
    </row>
    <row r="3" spans="1:5" ht="15" customHeight="1">
      <c r="A3" s="49"/>
      <c r="C3" s="49"/>
      <c r="D3" s="50"/>
    </row>
    <row r="4" spans="1:5" ht="15" customHeight="1">
      <c r="A4" s="49"/>
      <c r="B4" s="71" t="s">
        <v>966</v>
      </c>
      <c r="C4" s="49" t="s">
        <v>618</v>
      </c>
      <c r="D4" s="50"/>
    </row>
    <row r="5" spans="1:5" s="55" customFormat="1" ht="15" customHeight="1">
      <c r="A5" s="53" t="s">
        <v>1</v>
      </c>
      <c r="B5" s="72" t="s">
        <v>967</v>
      </c>
      <c r="C5" s="53" t="s">
        <v>75</v>
      </c>
      <c r="D5" s="54" t="s">
        <v>739</v>
      </c>
      <c r="E5" s="54" t="s">
        <v>740</v>
      </c>
    </row>
    <row r="6" spans="1:5" s="56" customFormat="1" ht="15" customHeight="1">
      <c r="A6" s="60">
        <v>1</v>
      </c>
      <c r="B6" s="74"/>
      <c r="C6" s="77" t="s">
        <v>3</v>
      </c>
      <c r="D6" s="62">
        <v>38348913691</v>
      </c>
      <c r="E6" s="58">
        <v>5609426.4359999895</v>
      </c>
    </row>
    <row r="7" spans="1:5" s="56" customFormat="1" ht="15" customHeight="1">
      <c r="A7" s="60">
        <v>11</v>
      </c>
      <c r="B7" s="74"/>
      <c r="C7" s="77" t="s">
        <v>4</v>
      </c>
      <c r="D7" s="62">
        <v>33123209735</v>
      </c>
      <c r="E7" s="58">
        <v>4806065.2960000038</v>
      </c>
    </row>
    <row r="8" spans="1:5" s="56" customFormat="1" ht="15" customHeight="1">
      <c r="A8" s="60">
        <v>111</v>
      </c>
      <c r="B8" s="74"/>
      <c r="C8" s="77" t="s">
        <v>5</v>
      </c>
      <c r="D8" s="62">
        <v>662968889</v>
      </c>
      <c r="E8" s="58">
        <v>96194.527999997139</v>
      </c>
    </row>
    <row r="9" spans="1:5" ht="15" customHeight="1">
      <c r="A9" s="60">
        <v>111105</v>
      </c>
      <c r="C9" s="77" t="s">
        <v>151</v>
      </c>
      <c r="D9" s="62">
        <v>395990417</v>
      </c>
      <c r="E9" s="58">
        <v>57456.859999999404</v>
      </c>
    </row>
    <row r="10" spans="1:5" s="727" customFormat="1" ht="15" customHeight="1">
      <c r="A10" s="722"/>
      <c r="B10" s="723">
        <v>111030101</v>
      </c>
      <c r="C10" s="724" t="s">
        <v>969</v>
      </c>
      <c r="D10" s="725">
        <v>302810046</v>
      </c>
      <c r="E10" s="726">
        <v>43936.71</v>
      </c>
    </row>
    <row r="11" spans="1:5" s="727" customFormat="1" ht="15" customHeight="1">
      <c r="A11" s="722"/>
      <c r="B11" s="723">
        <v>111030102</v>
      </c>
      <c r="C11" s="724" t="s">
        <v>742</v>
      </c>
      <c r="D11" s="725">
        <v>20227028</v>
      </c>
      <c r="E11" s="726">
        <v>2934.87</v>
      </c>
    </row>
    <row r="12" spans="1:5" s="727" customFormat="1" ht="15" customHeight="1">
      <c r="A12" s="722"/>
      <c r="B12" s="723">
        <v>111030103</v>
      </c>
      <c r="C12" s="724" t="s">
        <v>743</v>
      </c>
      <c r="D12" s="725">
        <v>6000000</v>
      </c>
      <c r="E12" s="726">
        <v>870.58</v>
      </c>
    </row>
    <row r="13" spans="1:5" s="727" customFormat="1" ht="15" customHeight="1">
      <c r="A13" s="722"/>
      <c r="B13" s="723">
        <v>111030104</v>
      </c>
      <c r="C13" s="724" t="s">
        <v>744</v>
      </c>
      <c r="D13" s="725">
        <v>6000000</v>
      </c>
      <c r="E13" s="726">
        <v>870.58</v>
      </c>
    </row>
    <row r="14" spans="1:5" s="727" customFormat="1" ht="15" customHeight="1">
      <c r="A14" s="722"/>
      <c r="B14" s="723">
        <v>111030107</v>
      </c>
      <c r="C14" s="724" t="s">
        <v>746</v>
      </c>
      <c r="D14" s="725">
        <v>300000</v>
      </c>
      <c r="E14" s="726">
        <v>43.53</v>
      </c>
    </row>
    <row r="15" spans="1:5" s="727" customFormat="1" ht="15" customHeight="1">
      <c r="A15" s="722"/>
      <c r="B15" s="723">
        <v>111030106</v>
      </c>
      <c r="C15" s="724" t="s">
        <v>745</v>
      </c>
      <c r="D15" s="725">
        <v>5100000</v>
      </c>
      <c r="E15" s="726">
        <v>739.99</v>
      </c>
    </row>
    <row r="16" spans="1:5" s="727" customFormat="1" ht="15.6" customHeight="1">
      <c r="A16" s="722"/>
      <c r="B16" s="723">
        <v>111030112</v>
      </c>
      <c r="C16" s="724" t="s">
        <v>749</v>
      </c>
      <c r="D16" s="725">
        <v>263014</v>
      </c>
      <c r="E16" s="726">
        <v>38.159999999999997</v>
      </c>
    </row>
    <row r="17" spans="1:7" s="727" customFormat="1" ht="15" customHeight="1">
      <c r="A17" s="722"/>
      <c r="B17" s="723">
        <v>111030108</v>
      </c>
      <c r="C17" s="724" t="s">
        <v>747</v>
      </c>
      <c r="D17" s="725">
        <v>39964336</v>
      </c>
      <c r="E17" s="726">
        <v>5798.69</v>
      </c>
    </row>
    <row r="18" spans="1:7" s="727" customFormat="1" ht="15" customHeight="1">
      <c r="A18" s="722"/>
      <c r="B18" s="723">
        <v>111030111</v>
      </c>
      <c r="C18" s="724" t="s">
        <v>970</v>
      </c>
      <c r="D18" s="725">
        <v>448</v>
      </c>
      <c r="E18" s="726">
        <v>7.0000000000000007E-2</v>
      </c>
    </row>
    <row r="19" spans="1:7" s="727" customFormat="1" ht="15" customHeight="1">
      <c r="A19" s="722"/>
      <c r="B19" s="723">
        <v>111030113</v>
      </c>
      <c r="C19" s="724" t="s">
        <v>750</v>
      </c>
      <c r="D19" s="725">
        <v>12324356</v>
      </c>
      <c r="E19" s="726">
        <v>1788.22</v>
      </c>
    </row>
    <row r="20" spans="1:7" s="727" customFormat="1" ht="15" customHeight="1">
      <c r="A20" s="722"/>
      <c r="B20" s="723">
        <v>111030109</v>
      </c>
      <c r="C20" s="724" t="s">
        <v>748</v>
      </c>
      <c r="D20" s="725">
        <v>1189</v>
      </c>
      <c r="E20" s="726">
        <v>0.17</v>
      </c>
    </row>
    <row r="21" spans="1:7" ht="15" customHeight="1">
      <c r="A21" s="60"/>
      <c r="B21" s="73">
        <v>111030114</v>
      </c>
      <c r="C21" s="77" t="s">
        <v>751</v>
      </c>
      <c r="D21" s="62">
        <v>3000000</v>
      </c>
      <c r="E21" s="58">
        <v>435.29</v>
      </c>
    </row>
    <row r="22" spans="1:7" s="56" customFormat="1" ht="15" customHeight="1">
      <c r="A22" s="60">
        <v>111106</v>
      </c>
      <c r="B22" s="73"/>
      <c r="C22" s="77" t="s">
        <v>152</v>
      </c>
      <c r="D22" s="62">
        <v>266978472</v>
      </c>
      <c r="E22" s="58">
        <v>38737.670000001788</v>
      </c>
    </row>
    <row r="23" spans="1:7" s="728" customFormat="1" ht="15" customHeight="1">
      <c r="A23" s="722"/>
      <c r="B23" s="723">
        <v>111030202</v>
      </c>
      <c r="C23" s="724" t="s">
        <v>753</v>
      </c>
      <c r="D23" s="725">
        <v>45627</v>
      </c>
      <c r="E23" s="726">
        <v>6.62</v>
      </c>
      <c r="F23" s="727"/>
      <c r="G23" s="727"/>
    </row>
    <row r="24" spans="1:7" s="728" customFormat="1" ht="15" customHeight="1">
      <c r="A24" s="722"/>
      <c r="B24" s="723">
        <v>111030203</v>
      </c>
      <c r="C24" s="724" t="s">
        <v>754</v>
      </c>
      <c r="D24" s="725">
        <v>41351760</v>
      </c>
      <c r="E24" s="726">
        <v>6000</v>
      </c>
      <c r="F24" s="727"/>
      <c r="G24" s="727"/>
    </row>
    <row r="25" spans="1:7" s="728" customFormat="1" ht="15" customHeight="1">
      <c r="A25" s="722"/>
      <c r="B25" s="723">
        <v>111030204</v>
      </c>
      <c r="C25" s="724" t="s">
        <v>755</v>
      </c>
      <c r="D25" s="725">
        <v>41351760</v>
      </c>
      <c r="E25" s="726">
        <v>6000</v>
      </c>
      <c r="F25" s="727"/>
      <c r="G25" s="727"/>
    </row>
    <row r="26" spans="1:7" s="728" customFormat="1" ht="15" customHeight="1">
      <c r="A26" s="722"/>
      <c r="B26" s="723">
        <v>111030210</v>
      </c>
      <c r="C26" s="724" t="s">
        <v>758</v>
      </c>
      <c r="D26" s="725">
        <v>104212293</v>
      </c>
      <c r="E26" s="726">
        <v>15120.85</v>
      </c>
      <c r="F26" s="727"/>
      <c r="G26" s="727"/>
    </row>
    <row r="27" spans="1:7" s="728" customFormat="1" ht="15" customHeight="1">
      <c r="A27" s="722"/>
      <c r="B27" s="723">
        <v>111030209</v>
      </c>
      <c r="C27" s="724" t="s">
        <v>757</v>
      </c>
      <c r="D27" s="725">
        <v>758</v>
      </c>
      <c r="E27" s="726">
        <v>0.11</v>
      </c>
      <c r="F27" s="727"/>
      <c r="G27" s="727"/>
    </row>
    <row r="28" spans="1:7" s="728" customFormat="1" ht="15" customHeight="1">
      <c r="A28" s="722"/>
      <c r="B28" s="723">
        <v>111030206</v>
      </c>
      <c r="C28" s="724" t="s">
        <v>756</v>
      </c>
      <c r="D28" s="725">
        <v>5858</v>
      </c>
      <c r="E28" s="726">
        <v>0.85</v>
      </c>
      <c r="F28" s="727"/>
      <c r="G28" s="727"/>
    </row>
    <row r="29" spans="1:7" s="728" customFormat="1" ht="15" customHeight="1">
      <c r="A29" s="722"/>
      <c r="B29" s="723">
        <v>111030211</v>
      </c>
      <c r="C29" s="724" t="s">
        <v>759</v>
      </c>
      <c r="D29" s="725">
        <v>59334538</v>
      </c>
      <c r="E29" s="726">
        <v>8609.24</v>
      </c>
      <c r="F29" s="727"/>
      <c r="G29" s="727"/>
    </row>
    <row r="30" spans="1:7" s="728" customFormat="1" ht="15" customHeight="1">
      <c r="A30" s="722"/>
      <c r="B30" s="723">
        <v>111030212</v>
      </c>
      <c r="C30" s="724" t="s">
        <v>760</v>
      </c>
      <c r="D30" s="725">
        <v>20675880</v>
      </c>
      <c r="E30" s="726">
        <v>3000</v>
      </c>
      <c r="F30" s="727"/>
      <c r="G30" s="727"/>
    </row>
    <row r="31" spans="1:7" s="56" customFormat="1" ht="15" customHeight="1">
      <c r="A31" s="60">
        <v>112</v>
      </c>
      <c r="B31" s="74"/>
      <c r="C31" s="77" t="s">
        <v>153</v>
      </c>
      <c r="D31" s="79">
        <v>32047483478</v>
      </c>
      <c r="E31" s="58">
        <v>4649981.0680000037</v>
      </c>
    </row>
    <row r="32" spans="1:7" s="56" customFormat="1" ht="15" customHeight="1">
      <c r="A32" s="60">
        <v>11201</v>
      </c>
      <c r="B32" s="74"/>
      <c r="C32" s="77" t="s">
        <v>272</v>
      </c>
      <c r="D32" s="62">
        <v>6894804839</v>
      </c>
      <c r="E32" s="58">
        <v>1000412.7899999917</v>
      </c>
    </row>
    <row r="33" spans="1:5" s="50" customFormat="1" ht="15" customHeight="1">
      <c r="A33" s="60">
        <v>1120101</v>
      </c>
      <c r="B33" s="75"/>
      <c r="C33" s="77" t="s">
        <v>306</v>
      </c>
      <c r="D33" s="62">
        <v>75000000</v>
      </c>
      <c r="E33" s="58">
        <v>10882.25</v>
      </c>
    </row>
    <row r="34" spans="1:5" ht="15" customHeight="1">
      <c r="A34" s="60">
        <v>112010101</v>
      </c>
      <c r="B34" s="73">
        <v>1120111101</v>
      </c>
      <c r="C34" s="77" t="s">
        <v>619</v>
      </c>
      <c r="D34" s="62">
        <v>75000000</v>
      </c>
      <c r="E34" s="58">
        <v>10882.25</v>
      </c>
    </row>
    <row r="35" spans="1:5" ht="15" customHeight="1">
      <c r="A35" s="60">
        <v>1120102</v>
      </c>
      <c r="C35" s="77" t="s">
        <v>273</v>
      </c>
      <c r="D35" s="62">
        <v>4036804839</v>
      </c>
      <c r="E35" s="58">
        <v>585726.67999999213</v>
      </c>
    </row>
    <row r="36" spans="1:5" ht="15" customHeight="1">
      <c r="A36" s="60">
        <v>112010208</v>
      </c>
      <c r="B36" s="73">
        <v>1120112202</v>
      </c>
      <c r="C36" s="77" t="s">
        <v>307</v>
      </c>
      <c r="D36" s="62">
        <v>689196000</v>
      </c>
      <c r="E36" s="58">
        <v>100000</v>
      </c>
    </row>
    <row r="37" spans="1:5" ht="15" customHeight="1">
      <c r="A37" s="60">
        <v>112010209</v>
      </c>
      <c r="B37" s="73">
        <v>1120112101</v>
      </c>
      <c r="C37" s="77" t="s">
        <v>274</v>
      </c>
      <c r="D37" s="62">
        <v>529000000</v>
      </c>
      <c r="E37" s="58">
        <v>76756.100000000093</v>
      </c>
    </row>
    <row r="38" spans="1:5" ht="15" customHeight="1">
      <c r="A38" s="60">
        <v>112010211</v>
      </c>
      <c r="B38" s="73">
        <v>1120114301</v>
      </c>
      <c r="C38" s="77" t="s">
        <v>780</v>
      </c>
      <c r="D38" s="62">
        <v>150000000</v>
      </c>
      <c r="E38" s="58">
        <v>21764.49</v>
      </c>
    </row>
    <row r="39" spans="1:5" ht="15" customHeight="1">
      <c r="A39" s="60">
        <v>112010211</v>
      </c>
      <c r="B39" s="73">
        <v>1120112301</v>
      </c>
      <c r="C39" s="77" t="s">
        <v>772</v>
      </c>
      <c r="D39" s="62">
        <v>270000000</v>
      </c>
      <c r="E39" s="58">
        <v>39176.089999999997</v>
      </c>
    </row>
    <row r="40" spans="1:5" ht="15" customHeight="1">
      <c r="A40" s="60">
        <v>112010212</v>
      </c>
      <c r="B40" s="73">
        <v>1120114302</v>
      </c>
      <c r="C40" s="77" t="s">
        <v>894</v>
      </c>
      <c r="D40" s="62">
        <v>675618839</v>
      </c>
      <c r="E40" s="58">
        <v>98030</v>
      </c>
    </row>
    <row r="41" spans="1:5" ht="15" customHeight="1">
      <c r="A41" s="60">
        <v>112010212</v>
      </c>
      <c r="B41" s="73">
        <v>1120112302</v>
      </c>
      <c r="C41" s="77" t="s">
        <v>773</v>
      </c>
      <c r="D41" s="62">
        <v>1722990000</v>
      </c>
      <c r="E41" s="58">
        <v>250000</v>
      </c>
    </row>
    <row r="42" spans="1:5" ht="15" customHeight="1">
      <c r="A42" s="60">
        <v>1120103</v>
      </c>
      <c r="C42" s="77" t="s">
        <v>275</v>
      </c>
      <c r="D42" s="62">
        <v>2783000000</v>
      </c>
      <c r="E42" s="58">
        <v>403803.8599999994</v>
      </c>
    </row>
    <row r="43" spans="1:5" ht="15" customHeight="1">
      <c r="A43" s="60">
        <v>112010304</v>
      </c>
      <c r="B43" s="73">
        <v>1120113101</v>
      </c>
      <c r="C43" s="77" t="s">
        <v>276</v>
      </c>
      <c r="D43" s="62">
        <v>2776000000</v>
      </c>
      <c r="E43" s="58">
        <v>402788.18000000063</v>
      </c>
    </row>
    <row r="44" spans="1:5" ht="15" customHeight="1">
      <c r="A44" s="60">
        <v>112010306</v>
      </c>
      <c r="B44" s="73">
        <v>1120113201</v>
      </c>
      <c r="C44" s="77" t="s">
        <v>502</v>
      </c>
      <c r="D44" s="62">
        <v>7000000</v>
      </c>
      <c r="E44" s="58">
        <v>1015.6800000000512</v>
      </c>
    </row>
    <row r="45" spans="1:5" ht="15" customHeight="1">
      <c r="A45" s="60">
        <v>11203</v>
      </c>
      <c r="C45" s="77" t="s">
        <v>308</v>
      </c>
      <c r="D45" s="62">
        <v>171173699</v>
      </c>
      <c r="E45" s="58">
        <v>24836.720000000001</v>
      </c>
    </row>
    <row r="46" spans="1:5" ht="15" customHeight="1">
      <c r="A46" s="60">
        <v>1120302</v>
      </c>
      <c r="C46" s="77" t="s">
        <v>309</v>
      </c>
      <c r="D46" s="62">
        <v>171173699</v>
      </c>
      <c r="E46" s="58">
        <v>24836.720000000001</v>
      </c>
    </row>
    <row r="47" spans="1:5" ht="15" customHeight="1">
      <c r="A47" s="60">
        <v>112030201</v>
      </c>
      <c r="B47" s="73">
        <v>1120211101</v>
      </c>
      <c r="C47" s="77" t="s">
        <v>155</v>
      </c>
      <c r="D47" s="62">
        <v>170000000</v>
      </c>
      <c r="E47" s="58">
        <v>24666.420000000013</v>
      </c>
    </row>
    <row r="48" spans="1:5" ht="15" customHeight="1">
      <c r="A48" s="60">
        <v>112030202</v>
      </c>
      <c r="B48" s="73">
        <v>112021501</v>
      </c>
      <c r="C48" s="77" t="s">
        <v>620</v>
      </c>
      <c r="D48" s="62">
        <v>72622603</v>
      </c>
      <c r="E48" s="58">
        <v>10537.29</v>
      </c>
    </row>
    <row r="49" spans="1:7" ht="15" customHeight="1">
      <c r="A49" s="60">
        <v>112030203</v>
      </c>
      <c r="B49" s="73">
        <v>112021502</v>
      </c>
      <c r="C49" s="77" t="s">
        <v>621</v>
      </c>
      <c r="D49" s="62">
        <v>-71448904</v>
      </c>
      <c r="E49" s="58">
        <v>-10366.990000000002</v>
      </c>
    </row>
    <row r="50" spans="1:7" ht="15" customHeight="1">
      <c r="A50" s="60">
        <v>11205</v>
      </c>
      <c r="C50" s="77" t="s">
        <v>370</v>
      </c>
      <c r="D50" s="62">
        <v>2524396433</v>
      </c>
      <c r="E50" s="58">
        <v>366281.34999999963</v>
      </c>
    </row>
    <row r="51" spans="1:7" ht="15" customHeight="1">
      <c r="A51" s="60">
        <v>11206</v>
      </c>
      <c r="C51" s="77" t="s">
        <v>371</v>
      </c>
      <c r="D51" s="62">
        <v>437178457</v>
      </c>
      <c r="E51" s="58">
        <v>63433.108000000015</v>
      </c>
    </row>
    <row r="52" spans="1:7" ht="15" customHeight="1">
      <c r="A52" s="60"/>
      <c r="B52" s="73">
        <v>1120116101</v>
      </c>
      <c r="C52" s="77" t="s">
        <v>783</v>
      </c>
      <c r="D52" s="62">
        <v>38247425</v>
      </c>
      <c r="E52" s="58">
        <v>5549.57</v>
      </c>
    </row>
    <row r="53" spans="1:7" ht="15" customHeight="1">
      <c r="A53" s="60"/>
      <c r="B53" s="73">
        <v>1120116105</v>
      </c>
      <c r="C53" s="77" t="s">
        <v>784</v>
      </c>
      <c r="D53" s="62">
        <v>38985616</v>
      </c>
      <c r="E53" s="58">
        <v>5656.68</v>
      </c>
    </row>
    <row r="54" spans="1:7" ht="15" customHeight="1">
      <c r="A54" s="60"/>
      <c r="B54" s="73">
        <v>1120116117</v>
      </c>
      <c r="C54" s="77" t="s">
        <v>788</v>
      </c>
      <c r="D54" s="62">
        <v>173031508</v>
      </c>
      <c r="E54" s="58">
        <v>25106.28</v>
      </c>
    </row>
    <row r="55" spans="1:7" ht="15" customHeight="1">
      <c r="A55" s="60"/>
      <c r="B55" s="73">
        <v>1120116129</v>
      </c>
      <c r="C55" s="77" t="s">
        <v>790</v>
      </c>
      <c r="D55" s="62">
        <v>47400000</v>
      </c>
      <c r="E55" s="58">
        <v>6877.58</v>
      </c>
    </row>
    <row r="56" spans="1:7" ht="15" customHeight="1">
      <c r="A56" s="60"/>
      <c r="B56" s="73">
        <v>1120116107</v>
      </c>
      <c r="C56" s="77" t="s">
        <v>786</v>
      </c>
      <c r="D56" s="62">
        <v>2225907993</v>
      </c>
      <c r="E56" s="58">
        <v>322971.69</v>
      </c>
    </row>
    <row r="57" spans="1:7" ht="15" customHeight="1">
      <c r="A57" s="60"/>
      <c r="B57" s="73">
        <v>1120116109</v>
      </c>
      <c r="C57" s="77" t="s">
        <v>787</v>
      </c>
      <c r="D57" s="62">
        <v>823890</v>
      </c>
      <c r="E57" s="58">
        <v>119.54</v>
      </c>
    </row>
    <row r="58" spans="1:7" ht="15" customHeight="1">
      <c r="A58" s="60"/>
      <c r="B58" s="73">
        <v>1120116104</v>
      </c>
      <c r="C58" s="77" t="s">
        <v>971</v>
      </c>
      <c r="D58" s="62">
        <v>308429348</v>
      </c>
      <c r="E58" s="58">
        <v>44752.05</v>
      </c>
    </row>
    <row r="59" spans="1:7" ht="15" customHeight="1">
      <c r="A59" s="60"/>
      <c r="B59" s="73">
        <v>1120116106</v>
      </c>
      <c r="C59" s="77" t="s">
        <v>785</v>
      </c>
      <c r="D59" s="62">
        <v>99886149</v>
      </c>
      <c r="E59" s="58">
        <v>14493.14</v>
      </c>
    </row>
    <row r="60" spans="1:7" ht="15" customHeight="1">
      <c r="A60" s="60"/>
      <c r="B60" s="73">
        <v>1120116118</v>
      </c>
      <c r="C60" s="77" t="s">
        <v>789</v>
      </c>
      <c r="D60" s="62">
        <v>28862959</v>
      </c>
      <c r="E60" s="58">
        <v>4187.92</v>
      </c>
    </row>
    <row r="61" spans="1:7" s="56" customFormat="1" ht="15" customHeight="1">
      <c r="A61" s="60">
        <v>11207</v>
      </c>
      <c r="B61" s="73">
        <v>1120310101</v>
      </c>
      <c r="C61" s="77" t="s">
        <v>366</v>
      </c>
      <c r="D61" s="62">
        <v>16682000000</v>
      </c>
      <c r="E61" s="58">
        <v>2420501.5700000003</v>
      </c>
      <c r="F61" s="52"/>
      <c r="G61" s="52"/>
    </row>
    <row r="62" spans="1:7" ht="15" customHeight="1">
      <c r="A62" s="60">
        <v>11208</v>
      </c>
      <c r="B62" s="73">
        <v>1120310102</v>
      </c>
      <c r="C62" s="77" t="s">
        <v>367</v>
      </c>
      <c r="D62" s="62">
        <v>5237889600</v>
      </c>
      <c r="E62" s="58">
        <v>760000</v>
      </c>
    </row>
    <row r="63" spans="1:7" ht="15" customHeight="1">
      <c r="A63" s="60">
        <v>11213</v>
      </c>
      <c r="B63" s="73">
        <v>1120320107</v>
      </c>
      <c r="C63" s="77" t="s">
        <v>622</v>
      </c>
      <c r="D63" s="62">
        <v>100040450</v>
      </c>
      <c r="E63" s="58">
        <v>14515.53</v>
      </c>
    </row>
    <row r="64" spans="1:7" ht="15" customHeight="1">
      <c r="A64" s="60">
        <v>113</v>
      </c>
      <c r="C64" s="77" t="s">
        <v>156</v>
      </c>
      <c r="D64" s="62">
        <v>270133851</v>
      </c>
      <c r="E64" s="58">
        <v>39195.5</v>
      </c>
    </row>
    <row r="65" spans="1:7" ht="15" customHeight="1">
      <c r="A65" s="60">
        <v>11301</v>
      </c>
      <c r="B65" s="73">
        <v>113010101</v>
      </c>
      <c r="C65" s="77" t="s">
        <v>372</v>
      </c>
      <c r="D65" s="62">
        <v>110000</v>
      </c>
      <c r="E65" s="58">
        <v>15.960000000000035</v>
      </c>
    </row>
    <row r="66" spans="1:7" s="56" customFormat="1" ht="15" customHeight="1">
      <c r="A66" s="60">
        <v>11302</v>
      </c>
      <c r="B66" s="73">
        <v>113010102</v>
      </c>
      <c r="C66" s="77" t="s">
        <v>373</v>
      </c>
      <c r="D66" s="62">
        <v>3987206</v>
      </c>
      <c r="E66" s="58">
        <v>578.52999999999884</v>
      </c>
      <c r="F66" s="52"/>
      <c r="G66" s="52"/>
    </row>
    <row r="67" spans="1:7" ht="15" customHeight="1">
      <c r="A67" s="60">
        <v>11306</v>
      </c>
      <c r="B67" s="73">
        <v>113010201</v>
      </c>
      <c r="C67" s="77" t="s">
        <v>623</v>
      </c>
      <c r="D67" s="62">
        <v>266036645</v>
      </c>
      <c r="E67" s="58">
        <v>38601.010000000009</v>
      </c>
    </row>
    <row r="68" spans="1:7" ht="15" customHeight="1">
      <c r="A68" s="60">
        <v>114</v>
      </c>
      <c r="C68" s="77" t="s">
        <v>157</v>
      </c>
      <c r="D68" s="62">
        <v>130082399</v>
      </c>
      <c r="E68" s="58">
        <v>18874.520000000004</v>
      </c>
    </row>
    <row r="69" spans="1:7" ht="15" customHeight="1">
      <c r="A69" s="60">
        <v>114102</v>
      </c>
      <c r="B69" s="73">
        <v>1130803</v>
      </c>
      <c r="C69" s="77" t="s">
        <v>161</v>
      </c>
      <c r="D69" s="62">
        <v>15626149</v>
      </c>
      <c r="E69" s="58">
        <v>2267.31</v>
      </c>
    </row>
    <row r="70" spans="1:7" ht="15" customHeight="1">
      <c r="A70" s="60">
        <v>114103</v>
      </c>
      <c r="B70" s="73">
        <v>1130804</v>
      </c>
      <c r="C70" s="77" t="s">
        <v>329</v>
      </c>
      <c r="D70" s="62">
        <v>17653690</v>
      </c>
      <c r="E70" s="58">
        <v>2561.4899999999998</v>
      </c>
    </row>
    <row r="71" spans="1:7" ht="15" customHeight="1">
      <c r="A71" s="60">
        <v>114105</v>
      </c>
      <c r="B71" s="73">
        <v>1130801</v>
      </c>
      <c r="C71" s="77" t="s">
        <v>348</v>
      </c>
      <c r="D71" s="62">
        <v>96802560</v>
      </c>
      <c r="E71" s="58">
        <v>14045.72</v>
      </c>
    </row>
    <row r="72" spans="1:7" ht="15" customHeight="1">
      <c r="A72" s="60">
        <v>115</v>
      </c>
      <c r="C72" s="77" t="s">
        <v>374</v>
      </c>
      <c r="D72" s="62">
        <v>12541118</v>
      </c>
      <c r="E72" s="58">
        <v>1819.6800000000003</v>
      </c>
    </row>
    <row r="73" spans="1:7" s="56" customFormat="1" ht="15" customHeight="1">
      <c r="A73" s="60">
        <v>115101</v>
      </c>
      <c r="B73" s="74"/>
      <c r="C73" s="77" t="s">
        <v>49</v>
      </c>
      <c r="D73" s="62">
        <v>6170980</v>
      </c>
      <c r="E73" s="58">
        <v>895.3900000000001</v>
      </c>
    </row>
    <row r="74" spans="1:7" ht="15" customHeight="1">
      <c r="A74" s="60">
        <v>11510103</v>
      </c>
      <c r="B74" s="73">
        <v>1150205</v>
      </c>
      <c r="C74" s="77" t="s">
        <v>624</v>
      </c>
      <c r="D74" s="62">
        <v>6170980</v>
      </c>
      <c r="E74" s="58">
        <v>895.3900000000001</v>
      </c>
    </row>
    <row r="75" spans="1:7" ht="15" customHeight="1">
      <c r="A75" s="60">
        <v>115108</v>
      </c>
      <c r="B75" s="73">
        <v>113090201</v>
      </c>
      <c r="C75" s="77" t="s">
        <v>375</v>
      </c>
      <c r="D75" s="62">
        <v>6370138</v>
      </c>
      <c r="E75" s="58">
        <v>924.29</v>
      </c>
    </row>
    <row r="76" spans="1:7" s="56" customFormat="1" ht="15" customHeight="1">
      <c r="A76" s="60">
        <v>12</v>
      </c>
      <c r="B76" s="74"/>
      <c r="C76" s="77" t="s">
        <v>7</v>
      </c>
      <c r="D76" s="62">
        <v>5225703956</v>
      </c>
      <c r="E76" s="58">
        <v>803361.14</v>
      </c>
    </row>
    <row r="77" spans="1:7" s="56" customFormat="1" ht="15" customHeight="1">
      <c r="A77" s="60">
        <v>130</v>
      </c>
      <c r="B77" s="74"/>
      <c r="C77" s="77" t="s">
        <v>162</v>
      </c>
      <c r="D77" s="62">
        <v>4454990631</v>
      </c>
      <c r="E77" s="58">
        <v>681847.59</v>
      </c>
    </row>
    <row r="78" spans="1:7" s="56" customFormat="1" ht="15" customHeight="1">
      <c r="A78" s="60">
        <v>130102</v>
      </c>
      <c r="B78" s="74"/>
      <c r="C78" s="77" t="s">
        <v>154</v>
      </c>
      <c r="D78" s="62">
        <v>4454990631</v>
      </c>
      <c r="E78" s="58">
        <v>681847.59</v>
      </c>
    </row>
    <row r="79" spans="1:7" s="56" customFormat="1" ht="15" customHeight="1">
      <c r="A79" s="60">
        <v>13010202</v>
      </c>
      <c r="B79" s="74"/>
      <c r="C79" s="77" t="s">
        <v>163</v>
      </c>
      <c r="D79" s="62">
        <v>4351000000</v>
      </c>
      <c r="E79" s="58">
        <v>666758.91</v>
      </c>
    </row>
    <row r="80" spans="1:7" ht="15" customHeight="1">
      <c r="A80" s="60">
        <v>1301020202</v>
      </c>
      <c r="B80" s="73">
        <v>1210301</v>
      </c>
      <c r="C80" s="77" t="s">
        <v>376</v>
      </c>
      <c r="D80" s="62">
        <v>851000000</v>
      </c>
      <c r="E80" s="58">
        <v>123477.20999999998</v>
      </c>
    </row>
    <row r="81" spans="1:5" ht="15" customHeight="1">
      <c r="A81" s="60">
        <v>1301020203</v>
      </c>
      <c r="B81" s="73">
        <v>1210110301</v>
      </c>
      <c r="C81" s="77" t="s">
        <v>503</v>
      </c>
      <c r="D81" s="62">
        <v>3500000000</v>
      </c>
      <c r="E81" s="58">
        <v>543281.69999999995</v>
      </c>
    </row>
    <row r="82" spans="1:5" ht="15" customHeight="1">
      <c r="A82" s="60">
        <v>13010204</v>
      </c>
      <c r="C82" s="77" t="s">
        <v>610</v>
      </c>
      <c r="D82" s="62">
        <v>103990631</v>
      </c>
      <c r="E82" s="58">
        <v>15088.68</v>
      </c>
    </row>
    <row r="83" spans="1:5" ht="15" customHeight="1">
      <c r="A83" s="60">
        <v>1301020402</v>
      </c>
      <c r="B83" s="73">
        <v>1210110801</v>
      </c>
      <c r="C83" s="77" t="s">
        <v>481</v>
      </c>
      <c r="D83" s="62">
        <v>103990631</v>
      </c>
      <c r="E83" s="58">
        <v>15088.68</v>
      </c>
    </row>
    <row r="84" spans="1:5" s="56" customFormat="1" ht="15" customHeight="1">
      <c r="A84" s="60">
        <v>132</v>
      </c>
      <c r="B84" s="74"/>
      <c r="C84" s="77" t="s">
        <v>310</v>
      </c>
      <c r="D84" s="62">
        <v>14707047</v>
      </c>
      <c r="E84" s="58">
        <v>2268.8900000000003</v>
      </c>
    </row>
    <row r="85" spans="1:5" ht="15" customHeight="1">
      <c r="A85" s="60">
        <v>132127</v>
      </c>
      <c r="C85" s="77" t="s">
        <v>667</v>
      </c>
      <c r="D85" s="62">
        <v>1307727</v>
      </c>
      <c r="E85" s="59">
        <v>195.77</v>
      </c>
    </row>
    <row r="86" spans="1:5" ht="15" customHeight="1">
      <c r="A86" s="60">
        <v>13212701</v>
      </c>
      <c r="B86" s="73">
        <v>1270103</v>
      </c>
      <c r="C86" s="77" t="s">
        <v>165</v>
      </c>
      <c r="D86" s="62">
        <v>1307727</v>
      </c>
      <c r="E86" s="59">
        <v>195.77</v>
      </c>
    </row>
    <row r="87" spans="1:5" ht="15" customHeight="1">
      <c r="A87" s="60">
        <v>132128</v>
      </c>
      <c r="C87" s="77" t="s">
        <v>668</v>
      </c>
      <c r="D87" s="62">
        <v>13399320</v>
      </c>
      <c r="E87" s="59">
        <v>2073.12</v>
      </c>
    </row>
    <row r="88" spans="1:5" ht="15" customHeight="1">
      <c r="A88" s="60">
        <v>13212801</v>
      </c>
      <c r="B88" s="73">
        <v>1270104</v>
      </c>
      <c r="C88" s="77" t="s">
        <v>166</v>
      </c>
      <c r="D88" s="62">
        <v>16238918</v>
      </c>
      <c r="E88" s="59">
        <v>2509.09</v>
      </c>
    </row>
    <row r="89" spans="1:5" ht="15" customHeight="1">
      <c r="A89" s="60">
        <v>13212802</v>
      </c>
      <c r="B89" s="73">
        <v>127012004</v>
      </c>
      <c r="C89" s="77" t="s">
        <v>167</v>
      </c>
      <c r="D89" s="62">
        <v>-2839598</v>
      </c>
      <c r="E89" s="59">
        <v>-435.97</v>
      </c>
    </row>
    <row r="90" spans="1:5" s="56" customFormat="1" ht="15" customHeight="1">
      <c r="A90" s="60">
        <v>133</v>
      </c>
      <c r="B90" s="74"/>
      <c r="C90" s="77" t="s">
        <v>277</v>
      </c>
      <c r="D90" s="62">
        <v>734298735</v>
      </c>
      <c r="E90" s="58">
        <v>115656.66</v>
      </c>
    </row>
    <row r="91" spans="1:5" ht="15" customHeight="1">
      <c r="A91" s="60">
        <v>133101</v>
      </c>
      <c r="C91" s="77" t="s">
        <v>168</v>
      </c>
      <c r="D91" s="62">
        <v>190189175</v>
      </c>
      <c r="E91" s="58">
        <v>27917.77</v>
      </c>
    </row>
    <row r="92" spans="1:5" ht="15" customHeight="1">
      <c r="A92" s="60">
        <v>13310102</v>
      </c>
      <c r="B92" s="73">
        <v>1280102</v>
      </c>
      <c r="C92" s="77" t="s">
        <v>76</v>
      </c>
      <c r="D92" s="62">
        <v>190189175</v>
      </c>
      <c r="E92" s="58">
        <v>27917.77</v>
      </c>
    </row>
    <row r="93" spans="1:5" ht="15" customHeight="1">
      <c r="A93" s="60">
        <v>133102</v>
      </c>
      <c r="B93" s="73">
        <v>12802</v>
      </c>
      <c r="C93" s="77" t="s">
        <v>497</v>
      </c>
      <c r="D93" s="62">
        <v>3450000</v>
      </c>
      <c r="E93" s="58">
        <v>531.65</v>
      </c>
    </row>
    <row r="94" spans="1:5" ht="15" customHeight="1">
      <c r="A94" s="60">
        <v>133113</v>
      </c>
      <c r="B94" s="73">
        <v>12802</v>
      </c>
      <c r="C94" s="77" t="s">
        <v>278</v>
      </c>
      <c r="D94" s="62">
        <v>647276934</v>
      </c>
      <c r="E94" s="58">
        <v>104750</v>
      </c>
    </row>
    <row r="95" spans="1:5" ht="15" customHeight="1">
      <c r="A95" s="60">
        <v>133114</v>
      </c>
      <c r="B95" s="73">
        <v>12802</v>
      </c>
      <c r="C95" s="77" t="s">
        <v>279</v>
      </c>
      <c r="D95" s="62">
        <v>14200454</v>
      </c>
      <c r="E95" s="58">
        <v>2250.09</v>
      </c>
    </row>
    <row r="96" spans="1:5" ht="15" customHeight="1">
      <c r="A96" s="60">
        <v>133116</v>
      </c>
      <c r="B96" s="73">
        <v>12803</v>
      </c>
      <c r="C96" s="77" t="s">
        <v>97</v>
      </c>
      <c r="D96" s="62">
        <v>8000000</v>
      </c>
      <c r="E96" s="58">
        <v>1288.27</v>
      </c>
    </row>
    <row r="97" spans="1:7" ht="15" customHeight="1">
      <c r="A97" s="60">
        <v>133117</v>
      </c>
      <c r="C97" s="77" t="s">
        <v>377</v>
      </c>
      <c r="D97" s="62">
        <v>-128817828</v>
      </c>
      <c r="E97" s="58">
        <v>-21081.119999999999</v>
      </c>
    </row>
    <row r="98" spans="1:7" ht="15" customHeight="1">
      <c r="A98" s="60"/>
      <c r="B98" s="73">
        <v>1282004</v>
      </c>
      <c r="C98" s="77" t="s">
        <v>841</v>
      </c>
      <c r="D98" s="62">
        <v>-124406784</v>
      </c>
      <c r="E98" s="58">
        <v>-20297.04</v>
      </c>
    </row>
    <row r="99" spans="1:7" ht="15" customHeight="1">
      <c r="A99" s="60"/>
      <c r="B99" s="73">
        <v>1282004</v>
      </c>
      <c r="C99" s="77" t="s">
        <v>841</v>
      </c>
      <c r="D99" s="62">
        <v>-1816044</v>
      </c>
      <c r="E99" s="58">
        <v>-304.68</v>
      </c>
    </row>
    <row r="100" spans="1:7" ht="15" customHeight="1">
      <c r="A100" s="60"/>
      <c r="B100" s="73">
        <v>1282001</v>
      </c>
      <c r="C100" s="77" t="s">
        <v>96</v>
      </c>
      <c r="D100" s="62">
        <v>-994992</v>
      </c>
      <c r="E100" s="58">
        <v>-209.76</v>
      </c>
    </row>
    <row r="101" spans="1:7" ht="15" customHeight="1">
      <c r="A101" s="60"/>
      <c r="B101" s="73">
        <v>1282002</v>
      </c>
      <c r="C101" s="77" t="s">
        <v>97</v>
      </c>
      <c r="D101" s="62">
        <v>-1600008</v>
      </c>
      <c r="E101" s="58">
        <v>-269.64</v>
      </c>
    </row>
    <row r="102" spans="1:7" s="56" customFormat="1" ht="15" customHeight="1">
      <c r="A102" s="60">
        <v>137</v>
      </c>
      <c r="B102" s="74"/>
      <c r="C102" s="77" t="s">
        <v>169</v>
      </c>
      <c r="D102" s="62">
        <v>21707543</v>
      </c>
      <c r="E102" s="58">
        <v>3588</v>
      </c>
    </row>
    <row r="103" spans="1:7" ht="15" customHeight="1">
      <c r="A103" s="60">
        <v>13701</v>
      </c>
      <c r="B103" s="73">
        <v>1280401</v>
      </c>
      <c r="C103" s="77" t="s">
        <v>170</v>
      </c>
      <c r="D103" s="62">
        <v>57764419</v>
      </c>
      <c r="E103" s="58">
        <v>9621.58</v>
      </c>
    </row>
    <row r="104" spans="1:7" ht="15" customHeight="1">
      <c r="A104" s="60">
        <v>13702</v>
      </c>
      <c r="B104" s="73">
        <v>1282003</v>
      </c>
      <c r="C104" s="77" t="s">
        <v>171</v>
      </c>
      <c r="D104" s="62">
        <v>-36056876</v>
      </c>
      <c r="E104" s="58">
        <v>-6033.58</v>
      </c>
    </row>
    <row r="105" spans="1:7" ht="15" customHeight="1">
      <c r="A105" s="60">
        <v>2</v>
      </c>
      <c r="C105" s="77" t="s">
        <v>8</v>
      </c>
      <c r="D105" s="62">
        <v>25552004565</v>
      </c>
      <c r="E105" s="58">
        <v>3680969.8993999953</v>
      </c>
    </row>
    <row r="106" spans="1:7" ht="15" customHeight="1">
      <c r="A106" s="60">
        <v>21</v>
      </c>
      <c r="C106" s="77" t="s">
        <v>9</v>
      </c>
      <c r="D106" s="62">
        <v>25552004565</v>
      </c>
      <c r="E106" s="58">
        <v>3680969.8993999953</v>
      </c>
    </row>
    <row r="107" spans="1:7" ht="15" customHeight="1">
      <c r="A107" s="60">
        <v>211</v>
      </c>
      <c r="C107" s="77" t="s">
        <v>280</v>
      </c>
      <c r="D107" s="62">
        <v>23420948261</v>
      </c>
      <c r="E107" s="58">
        <v>3373974.2394000068</v>
      </c>
    </row>
    <row r="108" spans="1:7" s="56" customFormat="1" ht="15" customHeight="1">
      <c r="A108" s="60">
        <v>21101</v>
      </c>
      <c r="B108" s="74"/>
      <c r="C108" s="77" t="s">
        <v>172</v>
      </c>
      <c r="D108" s="62">
        <v>20367047</v>
      </c>
      <c r="E108" s="58">
        <v>2934.0399999991059</v>
      </c>
    </row>
    <row r="109" spans="1:7" s="56" customFormat="1" ht="15" customHeight="1">
      <c r="A109" s="60">
        <v>2110101</v>
      </c>
      <c r="B109" s="73">
        <v>211010101</v>
      </c>
      <c r="C109" s="77" t="s">
        <v>498</v>
      </c>
      <c r="D109" s="62">
        <v>20367047</v>
      </c>
      <c r="E109" s="58">
        <v>2934.0400000000373</v>
      </c>
      <c r="G109" s="52"/>
    </row>
    <row r="110" spans="1:7" s="56" customFormat="1" ht="15" customHeight="1">
      <c r="A110" s="60">
        <v>21103</v>
      </c>
      <c r="B110" s="73">
        <v>211010301</v>
      </c>
      <c r="C110" s="77" t="s">
        <v>378</v>
      </c>
      <c r="D110" s="62">
        <v>8705788</v>
      </c>
      <c r="E110" s="58">
        <v>1254.1399999999999</v>
      </c>
      <c r="G110" s="52"/>
    </row>
    <row r="111" spans="1:7" s="56" customFormat="1" ht="15" customHeight="1">
      <c r="A111" s="60">
        <v>21104</v>
      </c>
      <c r="B111" s="73">
        <v>211010302</v>
      </c>
      <c r="C111" s="77" t="s">
        <v>505</v>
      </c>
      <c r="D111" s="62">
        <v>1068598</v>
      </c>
      <c r="E111" s="58">
        <v>153.94</v>
      </c>
      <c r="G111" s="52"/>
    </row>
    <row r="112" spans="1:7" ht="15" customHeight="1">
      <c r="A112" s="60">
        <v>21106</v>
      </c>
      <c r="C112" s="77" t="s">
        <v>379</v>
      </c>
      <c r="D112" s="62">
        <v>2463067409</v>
      </c>
      <c r="E112" s="58">
        <v>354824.49000000017</v>
      </c>
    </row>
    <row r="113" spans="1:7" ht="15" customHeight="1">
      <c r="A113" s="60">
        <v>21107</v>
      </c>
      <c r="B113" s="73">
        <v>211010103</v>
      </c>
      <c r="C113" s="77" t="s">
        <v>625</v>
      </c>
      <c r="D113" s="62">
        <v>8975342</v>
      </c>
      <c r="E113" s="58">
        <v>1292.9699999997392</v>
      </c>
    </row>
    <row r="114" spans="1:7" s="56" customFormat="1" ht="15" customHeight="1">
      <c r="A114" s="60">
        <v>21109</v>
      </c>
      <c r="B114" s="74"/>
      <c r="C114" s="77" t="s">
        <v>380</v>
      </c>
      <c r="D114" s="62">
        <v>422521020</v>
      </c>
      <c r="E114" s="58">
        <v>60867.519400000579</v>
      </c>
    </row>
    <row r="115" spans="1:7" s="56" customFormat="1" ht="15" customHeight="1">
      <c r="A115" s="60"/>
      <c r="B115" s="73">
        <v>1120116201</v>
      </c>
      <c r="C115" s="77" t="s">
        <v>792</v>
      </c>
      <c r="D115" s="62">
        <v>-29526171</v>
      </c>
      <c r="E115" s="58">
        <v>-4253.4799999999996</v>
      </c>
      <c r="F115" s="52"/>
      <c r="G115" s="52"/>
    </row>
    <row r="116" spans="1:7" s="56" customFormat="1" ht="15" customHeight="1">
      <c r="A116" s="60"/>
      <c r="B116" s="73">
        <v>1120116205</v>
      </c>
      <c r="C116" s="77" t="s">
        <v>793</v>
      </c>
      <c r="D116" s="62">
        <v>-34135274</v>
      </c>
      <c r="E116" s="58">
        <v>-4917.46</v>
      </c>
      <c r="F116" s="52"/>
      <c r="G116" s="52"/>
    </row>
    <row r="117" spans="1:7" s="56" customFormat="1" ht="15" customHeight="1">
      <c r="A117" s="60"/>
      <c r="B117" s="73">
        <v>1120116217</v>
      </c>
      <c r="C117" s="77" t="s">
        <v>797</v>
      </c>
      <c r="D117" s="62">
        <v>-146239726</v>
      </c>
      <c r="E117" s="58">
        <v>-21067</v>
      </c>
      <c r="F117" s="52"/>
      <c r="G117" s="52"/>
    </row>
    <row r="118" spans="1:7" s="56" customFormat="1" ht="15" customHeight="1">
      <c r="A118" s="60"/>
      <c r="B118" s="73">
        <v>1120116229</v>
      </c>
      <c r="C118" s="77" t="s">
        <v>799</v>
      </c>
      <c r="D118" s="62">
        <v>-46298740</v>
      </c>
      <c r="E118" s="58">
        <v>-6669.7</v>
      </c>
      <c r="F118" s="52"/>
      <c r="G118" s="52"/>
    </row>
    <row r="119" spans="1:7" s="56" customFormat="1" ht="15" customHeight="1">
      <c r="A119" s="60"/>
      <c r="B119" s="73">
        <v>1120116207</v>
      </c>
      <c r="C119" s="77" t="s">
        <v>795</v>
      </c>
      <c r="D119" s="62">
        <v>-2206333580</v>
      </c>
      <c r="E119" s="58">
        <v>-317839.94</v>
      </c>
      <c r="F119" s="52"/>
      <c r="G119" s="52"/>
    </row>
    <row r="120" spans="1:7" s="56" customFormat="1" ht="15" customHeight="1">
      <c r="A120" s="60"/>
      <c r="B120" s="73">
        <v>1120116209</v>
      </c>
      <c r="C120" s="77" t="s">
        <v>796</v>
      </c>
      <c r="D120" s="62">
        <v>-533918</v>
      </c>
      <c r="E120" s="58">
        <v>-76.92</v>
      </c>
      <c r="F120" s="52"/>
      <c r="G120" s="52"/>
    </row>
    <row r="121" spans="1:7" s="56" customFormat="1" ht="15" customHeight="1">
      <c r="A121" s="60"/>
      <c r="B121" s="73">
        <v>1120116204</v>
      </c>
      <c r="C121" s="77" t="s">
        <v>972</v>
      </c>
      <c r="D121" s="62">
        <v>-304680406</v>
      </c>
      <c r="E121" s="58">
        <v>-43891.64</v>
      </c>
      <c r="F121" s="52"/>
      <c r="G121" s="52"/>
    </row>
    <row r="122" spans="1:7" s="56" customFormat="1" ht="15" customHeight="1">
      <c r="A122" s="60"/>
      <c r="B122" s="73">
        <v>1120116206</v>
      </c>
      <c r="C122" s="77" t="s">
        <v>794</v>
      </c>
      <c r="D122" s="62">
        <v>-92732838</v>
      </c>
      <c r="E122" s="58">
        <v>-13358.9</v>
      </c>
      <c r="F122" s="52"/>
      <c r="G122" s="52"/>
    </row>
    <row r="123" spans="1:7" s="56" customFormat="1" ht="15" customHeight="1">
      <c r="A123" s="60"/>
      <c r="B123" s="73">
        <v>1120116218</v>
      </c>
      <c r="C123" s="77" t="s">
        <v>798</v>
      </c>
      <c r="D123" s="62">
        <v>-25107776</v>
      </c>
      <c r="E123" s="58">
        <v>-3616.98</v>
      </c>
      <c r="F123" s="52"/>
      <c r="G123" s="52"/>
    </row>
    <row r="124" spans="1:7" ht="15" customHeight="1">
      <c r="A124" s="60">
        <v>21110</v>
      </c>
      <c r="B124" s="73">
        <v>213030301</v>
      </c>
      <c r="C124" s="77" t="s">
        <v>368</v>
      </c>
      <c r="D124" s="62">
        <v>15184256164</v>
      </c>
      <c r="E124" s="58">
        <v>2187413.0999999996</v>
      </c>
    </row>
    <row r="125" spans="1:7" ht="15" customHeight="1">
      <c r="A125" s="60">
        <v>21111</v>
      </c>
      <c r="B125" s="73">
        <v>213030302</v>
      </c>
      <c r="C125" s="77" t="s">
        <v>369</v>
      </c>
      <c r="D125" s="62">
        <v>5275654000</v>
      </c>
      <c r="E125" s="58">
        <v>760000</v>
      </c>
    </row>
    <row r="126" spans="1:7" ht="15" customHeight="1">
      <c r="A126" s="60">
        <v>21112</v>
      </c>
      <c r="B126" s="73">
        <v>213030101</v>
      </c>
      <c r="C126" s="77" t="s">
        <v>381</v>
      </c>
      <c r="D126" s="62">
        <v>36332893</v>
      </c>
      <c r="E126" s="58">
        <v>5234.0399999999991</v>
      </c>
    </row>
    <row r="127" spans="1:7" ht="15" customHeight="1">
      <c r="A127" s="60">
        <v>212</v>
      </c>
      <c r="C127" s="77" t="s">
        <v>281</v>
      </c>
      <c r="D127" s="62">
        <v>75670731</v>
      </c>
      <c r="E127" s="58">
        <v>10900.969999999972</v>
      </c>
    </row>
    <row r="128" spans="1:7" ht="15" customHeight="1">
      <c r="A128" s="60">
        <v>212101</v>
      </c>
      <c r="B128" s="73">
        <v>2110701</v>
      </c>
      <c r="C128" s="77" t="s">
        <v>173</v>
      </c>
      <c r="D128" s="62">
        <v>72104042</v>
      </c>
      <c r="E128" s="58">
        <v>10387.159999999916</v>
      </c>
    </row>
    <row r="129" spans="1:7" ht="15" customHeight="1">
      <c r="A129" s="60">
        <v>212201</v>
      </c>
      <c r="B129" s="73">
        <v>2110702</v>
      </c>
      <c r="C129" s="77" t="s">
        <v>174</v>
      </c>
      <c r="D129" s="62">
        <v>3566689</v>
      </c>
      <c r="E129" s="58">
        <v>513.81000000002678</v>
      </c>
    </row>
    <row r="130" spans="1:7" ht="15" customHeight="1">
      <c r="A130" s="60">
        <v>213</v>
      </c>
      <c r="C130" s="77" t="s">
        <v>175</v>
      </c>
      <c r="D130" s="62">
        <v>1047146584</v>
      </c>
      <c r="E130" s="58">
        <v>150849.80999999959</v>
      </c>
    </row>
    <row r="131" spans="1:7" ht="15" customHeight="1">
      <c r="A131" s="60">
        <v>21302</v>
      </c>
      <c r="B131" s="73">
        <v>213010201</v>
      </c>
      <c r="C131" s="77" t="s">
        <v>506</v>
      </c>
      <c r="D131" s="62">
        <v>1047146584</v>
      </c>
      <c r="E131" s="58">
        <v>150849.80999999994</v>
      </c>
    </row>
    <row r="132" spans="1:7" ht="15" customHeight="1">
      <c r="A132" s="60">
        <v>214</v>
      </c>
      <c r="C132" s="77" t="s">
        <v>10</v>
      </c>
      <c r="D132" s="62">
        <v>687822079</v>
      </c>
      <c r="E132" s="58">
        <v>99086.270000000019</v>
      </c>
    </row>
    <row r="133" spans="1:7" ht="15" customHeight="1">
      <c r="A133" s="60">
        <v>21401</v>
      </c>
      <c r="B133" s="73">
        <v>2140201</v>
      </c>
      <c r="C133" s="77" t="s">
        <v>86</v>
      </c>
      <c r="D133" s="62">
        <v>263473906</v>
      </c>
      <c r="E133" s="58">
        <v>37955.520000000004</v>
      </c>
    </row>
    <row r="134" spans="1:7" ht="15" customHeight="1">
      <c r="A134" s="60">
        <v>21403</v>
      </c>
      <c r="B134" s="73">
        <v>2140203</v>
      </c>
      <c r="C134" s="77" t="s">
        <v>866</v>
      </c>
      <c r="D134" s="62">
        <v>52691486</v>
      </c>
      <c r="E134" s="58">
        <v>7590.63</v>
      </c>
    </row>
    <row r="135" spans="1:7" ht="15" customHeight="1">
      <c r="A135" s="60">
        <v>21403</v>
      </c>
      <c r="B135" s="73">
        <v>2140204</v>
      </c>
      <c r="C135" s="77" t="s">
        <v>867</v>
      </c>
      <c r="D135" s="62">
        <v>39153628</v>
      </c>
      <c r="E135" s="58">
        <v>5640.39</v>
      </c>
    </row>
    <row r="136" spans="1:7" ht="15" customHeight="1">
      <c r="A136" s="60">
        <v>21407</v>
      </c>
      <c r="B136" s="73">
        <v>2140107</v>
      </c>
      <c r="C136" s="77" t="s">
        <v>176</v>
      </c>
      <c r="D136" s="62">
        <v>43933429</v>
      </c>
      <c r="E136" s="58">
        <v>6328.9599999999991</v>
      </c>
    </row>
    <row r="137" spans="1:7" s="56" customFormat="1" ht="15" customHeight="1">
      <c r="A137" s="60">
        <v>21410</v>
      </c>
      <c r="B137" s="73">
        <v>2140109</v>
      </c>
      <c r="C137" s="77" t="s">
        <v>626</v>
      </c>
      <c r="D137" s="62">
        <v>3569630</v>
      </c>
      <c r="E137" s="58">
        <v>514.22999999999956</v>
      </c>
      <c r="G137" s="52"/>
    </row>
    <row r="138" spans="1:7" ht="15" customHeight="1">
      <c r="A138" s="60">
        <v>21411</v>
      </c>
      <c r="B138" s="73">
        <v>2140104</v>
      </c>
      <c r="C138" s="77" t="s">
        <v>627</v>
      </c>
      <c r="D138" s="62">
        <v>285000000</v>
      </c>
      <c r="E138" s="58">
        <v>41056.519999999997</v>
      </c>
    </row>
    <row r="139" spans="1:7" ht="15" customHeight="1">
      <c r="A139" s="60">
        <v>215</v>
      </c>
      <c r="C139" s="77" t="s">
        <v>282</v>
      </c>
      <c r="D139" s="62">
        <v>320416910</v>
      </c>
      <c r="E139" s="58">
        <v>46158.610000000015</v>
      </c>
    </row>
    <row r="140" spans="1:7" ht="15" customHeight="1">
      <c r="A140" s="60">
        <v>21504</v>
      </c>
      <c r="B140" s="73">
        <v>2140404</v>
      </c>
      <c r="C140" s="77" t="s">
        <v>180</v>
      </c>
      <c r="D140" s="62">
        <v>240285334</v>
      </c>
      <c r="E140" s="58">
        <v>34615.020000000004</v>
      </c>
    </row>
    <row r="141" spans="1:7" ht="15" customHeight="1">
      <c r="A141" s="60">
        <v>21512</v>
      </c>
      <c r="B141" s="73">
        <v>2140412</v>
      </c>
      <c r="C141" s="77" t="s">
        <v>384</v>
      </c>
      <c r="D141" s="62">
        <v>68871631</v>
      </c>
      <c r="E141" s="58">
        <v>9921.51</v>
      </c>
    </row>
    <row r="142" spans="1:7" s="56" customFormat="1" ht="15" customHeight="1">
      <c r="A142" s="60">
        <v>21513</v>
      </c>
      <c r="B142" s="73">
        <v>2140413</v>
      </c>
      <c r="C142" s="77" t="s">
        <v>579</v>
      </c>
      <c r="D142" s="62">
        <v>10449299</v>
      </c>
      <c r="E142" s="58">
        <v>1505.3</v>
      </c>
      <c r="G142" s="52"/>
    </row>
    <row r="143" spans="1:7" ht="15" customHeight="1">
      <c r="A143" s="60">
        <v>21514</v>
      </c>
      <c r="B143" s="73">
        <v>2140414</v>
      </c>
      <c r="C143" s="77" t="s">
        <v>628</v>
      </c>
      <c r="D143" s="62">
        <v>810646</v>
      </c>
      <c r="E143" s="58">
        <v>116.78</v>
      </c>
    </row>
    <row r="144" spans="1:7" ht="15" customHeight="1">
      <c r="A144" s="60">
        <v>6</v>
      </c>
      <c r="C144" s="77" t="s">
        <v>312</v>
      </c>
      <c r="D144" s="62">
        <v>-876575692771.00012</v>
      </c>
      <c r="E144" s="58">
        <v>-130558492.84</v>
      </c>
    </row>
    <row r="145" spans="1:7" s="56" customFormat="1" ht="15" customHeight="1">
      <c r="A145" s="60">
        <v>621</v>
      </c>
      <c r="B145" s="73">
        <v>621</v>
      </c>
      <c r="C145" s="77" t="s">
        <v>577</v>
      </c>
      <c r="D145" s="62">
        <v>-7546915598</v>
      </c>
      <c r="E145" s="58">
        <v>-1103403.72</v>
      </c>
      <c r="G145" s="52"/>
    </row>
    <row r="146" spans="1:7" ht="15" customHeight="1">
      <c r="A146" s="60">
        <v>622</v>
      </c>
      <c r="B146" s="73">
        <v>622</v>
      </c>
      <c r="C146" s="77" t="s">
        <v>339</v>
      </c>
      <c r="D146" s="62">
        <v>-12788763183</v>
      </c>
      <c r="E146" s="58">
        <v>-2029519.9</v>
      </c>
    </row>
    <row r="147" spans="1:7" ht="15" customHeight="1">
      <c r="A147" s="60">
        <v>651</v>
      </c>
      <c r="B147" s="73">
        <v>651</v>
      </c>
      <c r="C147" s="77" t="s">
        <v>225</v>
      </c>
      <c r="D147" s="62">
        <v>-852007707990</v>
      </c>
      <c r="E147" s="58">
        <v>-126768407.51000001</v>
      </c>
    </row>
    <row r="148" spans="1:7" ht="15" customHeight="1">
      <c r="A148" s="60">
        <v>661</v>
      </c>
      <c r="B148" s="73">
        <v>661</v>
      </c>
      <c r="C148" s="77" t="s">
        <v>226</v>
      </c>
      <c r="D148" s="62">
        <v>-4232306000</v>
      </c>
      <c r="E148" s="58">
        <v>-657161.71</v>
      </c>
    </row>
    <row r="149" spans="1:7" ht="15" customHeight="1">
      <c r="A149" s="60">
        <v>7</v>
      </c>
      <c r="C149" s="77" t="s">
        <v>313</v>
      </c>
      <c r="D149" s="62">
        <v>876575692771.00012</v>
      </c>
      <c r="E149" s="58">
        <v>130558492.84</v>
      </c>
    </row>
    <row r="150" spans="1:7" ht="15" customHeight="1">
      <c r="A150" s="60">
        <v>721</v>
      </c>
      <c r="B150" s="73">
        <v>721</v>
      </c>
      <c r="C150" s="77" t="s">
        <v>578</v>
      </c>
      <c r="D150" s="62">
        <v>12788763183</v>
      </c>
      <c r="E150" s="58">
        <v>2029519.9</v>
      </c>
    </row>
    <row r="151" spans="1:7" s="56" customFormat="1" ht="15" customHeight="1">
      <c r="A151" s="60">
        <v>722</v>
      </c>
      <c r="B151" s="73">
        <v>722</v>
      </c>
      <c r="C151" s="77" t="s">
        <v>340</v>
      </c>
      <c r="D151" s="62">
        <v>7546915598</v>
      </c>
      <c r="E151" s="58">
        <v>1103403.72</v>
      </c>
      <c r="G151" s="52"/>
    </row>
    <row r="152" spans="1:7" ht="15" customHeight="1">
      <c r="A152" s="60">
        <v>751</v>
      </c>
      <c r="B152" s="73">
        <v>751</v>
      </c>
      <c r="C152" s="77" t="s">
        <v>227</v>
      </c>
      <c r="D152" s="62">
        <v>852007707990</v>
      </c>
      <c r="E152" s="58">
        <v>126768407.51000001</v>
      </c>
    </row>
    <row r="153" spans="1:7" ht="15" customHeight="1">
      <c r="A153" s="60">
        <v>761</v>
      </c>
      <c r="B153" s="73">
        <v>761</v>
      </c>
      <c r="C153" s="77" t="s">
        <v>228</v>
      </c>
      <c r="D153" s="62">
        <v>4232306000</v>
      </c>
      <c r="E153" s="58">
        <v>657161.71</v>
      </c>
    </row>
    <row r="154" spans="1:7" ht="15" customHeight="1">
      <c r="A154" s="60">
        <v>3</v>
      </c>
      <c r="C154" s="77" t="s">
        <v>23</v>
      </c>
      <c r="D154" s="62">
        <v>12796909126</v>
      </c>
      <c r="E154" s="58">
        <v>1928456.5319999999</v>
      </c>
    </row>
    <row r="155" spans="1:7" ht="15" customHeight="1">
      <c r="A155" s="60">
        <v>310</v>
      </c>
      <c r="C155" s="77" t="s">
        <v>183</v>
      </c>
      <c r="D155" s="62">
        <v>10716000000</v>
      </c>
      <c r="E155" s="58">
        <v>1656025.18</v>
      </c>
    </row>
    <row r="156" spans="1:7" ht="15" customHeight="1">
      <c r="A156" s="60">
        <v>310101</v>
      </c>
      <c r="C156" s="77" t="s">
        <v>557</v>
      </c>
      <c r="D156" s="62">
        <v>10000000000</v>
      </c>
      <c r="E156" s="58">
        <v>1596450.0000000002</v>
      </c>
    </row>
    <row r="157" spans="1:7" ht="15" customHeight="1">
      <c r="A157" s="60">
        <v>31010101</v>
      </c>
      <c r="B157" s="73">
        <v>31010101</v>
      </c>
      <c r="C157" s="77" t="s">
        <v>580</v>
      </c>
      <c r="D157" s="62">
        <v>15000000000</v>
      </c>
      <c r="E157" s="58">
        <v>2391027.31</v>
      </c>
    </row>
    <row r="158" spans="1:7" ht="15" customHeight="1">
      <c r="A158" s="60">
        <v>31010102</v>
      </c>
      <c r="B158" s="73">
        <v>31010102</v>
      </c>
      <c r="C158" s="77" t="s">
        <v>583</v>
      </c>
      <c r="D158" s="62">
        <v>-5000000000</v>
      </c>
      <c r="E158" s="58">
        <v>-794577.31</v>
      </c>
    </row>
    <row r="159" spans="1:7" ht="15" customHeight="1">
      <c r="A159" s="60">
        <v>310102</v>
      </c>
      <c r="C159" s="77" t="s">
        <v>311</v>
      </c>
      <c r="D159" s="62">
        <v>716000000</v>
      </c>
      <c r="E159" s="58">
        <v>59575.18</v>
      </c>
    </row>
    <row r="160" spans="1:7" ht="15" customHeight="1">
      <c r="A160" s="60">
        <v>31010201</v>
      </c>
      <c r="B160" s="73">
        <v>31010201</v>
      </c>
      <c r="C160" s="77" t="s">
        <v>507</v>
      </c>
      <c r="D160" s="62">
        <v>615000000</v>
      </c>
      <c r="E160" s="58">
        <v>45103.94</v>
      </c>
    </row>
    <row r="161" spans="1:17" s="56" customFormat="1" ht="15" customHeight="1">
      <c r="A161" s="60">
        <v>31010202</v>
      </c>
      <c r="B161" s="73">
        <v>31010202</v>
      </c>
      <c r="C161" s="77" t="s">
        <v>584</v>
      </c>
      <c r="D161" s="62">
        <v>101000000</v>
      </c>
      <c r="E161" s="58">
        <v>14471.24</v>
      </c>
      <c r="G161" s="52"/>
      <c r="N161" s="52"/>
      <c r="Q161" s="52"/>
    </row>
    <row r="162" spans="1:17" s="56" customFormat="1" ht="15" customHeight="1">
      <c r="A162" s="60">
        <v>315</v>
      </c>
      <c r="B162" s="74"/>
      <c r="C162" s="77" t="s">
        <v>12</v>
      </c>
      <c r="D162" s="62">
        <v>35338445</v>
      </c>
      <c r="E162" s="58">
        <v>2594.84</v>
      </c>
      <c r="N162" s="52"/>
      <c r="Q162" s="52"/>
    </row>
    <row r="163" spans="1:17" s="56" customFormat="1" ht="15" customHeight="1">
      <c r="A163" s="60">
        <v>31501</v>
      </c>
      <c r="B163" s="73">
        <v>31501</v>
      </c>
      <c r="C163" s="77" t="s">
        <v>185</v>
      </c>
      <c r="D163" s="62">
        <v>32519922</v>
      </c>
      <c r="E163" s="58">
        <v>2386.94</v>
      </c>
      <c r="G163" s="52"/>
      <c r="N163" s="52"/>
      <c r="Q163" s="52"/>
    </row>
    <row r="164" spans="1:17" ht="15" customHeight="1">
      <c r="A164" s="60">
        <v>31503</v>
      </c>
      <c r="C164" s="77" t="s">
        <v>187</v>
      </c>
      <c r="D164" s="62">
        <v>2818523</v>
      </c>
      <c r="E164" s="58">
        <v>207.9</v>
      </c>
      <c r="J164" s="56"/>
    </row>
    <row r="165" spans="1:17" ht="15" customHeight="1">
      <c r="A165" s="60">
        <v>315102</v>
      </c>
      <c r="B165" s="73">
        <v>31503</v>
      </c>
      <c r="C165" s="77" t="s">
        <v>508</v>
      </c>
      <c r="D165" s="62">
        <v>2818523</v>
      </c>
      <c r="E165" s="58">
        <v>207.9</v>
      </c>
    </row>
    <row r="166" spans="1:17" ht="15" customHeight="1">
      <c r="A166" s="60">
        <v>316</v>
      </c>
      <c r="C166" s="77" t="s">
        <v>132</v>
      </c>
      <c r="D166" s="62">
        <v>2045570681</v>
      </c>
      <c r="E166" s="58">
        <v>269836.51199999999</v>
      </c>
    </row>
    <row r="167" spans="1:17" ht="15" customHeight="1">
      <c r="A167" s="60">
        <v>31601</v>
      </c>
      <c r="B167" s="73">
        <v>31601</v>
      </c>
      <c r="C167" s="77" t="s">
        <v>188</v>
      </c>
      <c r="D167" s="62">
        <v>-16109965</v>
      </c>
      <c r="E167" s="58">
        <v>-3133.2180000000008</v>
      </c>
    </row>
    <row r="168" spans="1:17" ht="15" customHeight="1">
      <c r="A168" s="60">
        <v>31602</v>
      </c>
      <c r="B168" s="73">
        <v>31602</v>
      </c>
      <c r="C168" s="77" t="s">
        <v>189</v>
      </c>
      <c r="D168" s="62">
        <v>2061680646</v>
      </c>
      <c r="E168" s="58">
        <v>272969.75</v>
      </c>
    </row>
    <row r="169" spans="1:17" s="56" customFormat="1" ht="15" customHeight="1">
      <c r="A169" s="60">
        <v>4</v>
      </c>
      <c r="B169" s="74"/>
      <c r="C169" s="77" t="s">
        <v>190</v>
      </c>
      <c r="D169" s="62">
        <v>10727527489</v>
      </c>
      <c r="E169" s="58">
        <v>1799327.24</v>
      </c>
    </row>
    <row r="170" spans="1:17" ht="15" customHeight="1">
      <c r="A170" s="60">
        <v>41</v>
      </c>
      <c r="C170" s="77" t="s">
        <v>14</v>
      </c>
      <c r="D170" s="62">
        <v>9321273805</v>
      </c>
      <c r="E170" s="58">
        <v>1372003.38</v>
      </c>
    </row>
    <row r="171" spans="1:17" ht="15" customHeight="1">
      <c r="A171" s="60">
        <v>410101</v>
      </c>
      <c r="B171" s="176">
        <v>401010201</v>
      </c>
      <c r="C171" s="77" t="s">
        <v>341</v>
      </c>
      <c r="D171" s="62">
        <v>714002845</v>
      </c>
      <c r="E171" s="58">
        <v>106597.47</v>
      </c>
    </row>
    <row r="172" spans="1:17" ht="15" customHeight="1">
      <c r="A172" s="60">
        <v>410102</v>
      </c>
      <c r="B172" s="176">
        <v>4060401</v>
      </c>
      <c r="C172" s="77" t="s">
        <v>193</v>
      </c>
      <c r="D172" s="62">
        <v>86114976</v>
      </c>
      <c r="E172" s="58">
        <v>12895.43</v>
      </c>
      <c r="I172" s="57"/>
    </row>
    <row r="173" spans="1:17" s="56" customFormat="1" ht="15" customHeight="1">
      <c r="A173" s="60">
        <v>410103</v>
      </c>
      <c r="B173" s="176">
        <v>4020302</v>
      </c>
      <c r="C173" s="77" t="s">
        <v>283</v>
      </c>
      <c r="D173" s="62">
        <v>334936935</v>
      </c>
      <c r="E173" s="58">
        <v>49500</v>
      </c>
      <c r="J173" s="52"/>
      <c r="K173" s="52"/>
    </row>
    <row r="174" spans="1:17" ht="15" customHeight="1">
      <c r="A174" s="60">
        <v>410104</v>
      </c>
      <c r="B174" s="176">
        <v>4060501</v>
      </c>
      <c r="C174" s="77" t="s">
        <v>284</v>
      </c>
      <c r="D174" s="62">
        <v>21544991</v>
      </c>
      <c r="E174" s="58">
        <v>3226.22</v>
      </c>
    </row>
    <row r="175" spans="1:17" ht="15" customHeight="1">
      <c r="A175" s="60">
        <v>410105</v>
      </c>
      <c r="B175" s="176">
        <v>401010101</v>
      </c>
      <c r="C175" s="77" t="s">
        <v>387</v>
      </c>
      <c r="D175" s="62">
        <v>400000</v>
      </c>
      <c r="E175" s="58">
        <v>59.67</v>
      </c>
    </row>
    <row r="176" spans="1:17" ht="15" customHeight="1">
      <c r="A176" s="60">
        <v>410106</v>
      </c>
      <c r="B176" s="176">
        <v>401010201</v>
      </c>
      <c r="C176" s="77" t="s">
        <v>388</v>
      </c>
      <c r="D176" s="62">
        <v>6807664</v>
      </c>
      <c r="E176" s="58">
        <v>1037.1099999999999</v>
      </c>
    </row>
    <row r="177" spans="1:5" ht="15" customHeight="1">
      <c r="A177" s="60">
        <v>410107</v>
      </c>
      <c r="B177" s="176">
        <v>403020101</v>
      </c>
      <c r="C177" s="77" t="s">
        <v>389</v>
      </c>
      <c r="D177" s="62">
        <v>2165907172</v>
      </c>
      <c r="E177" s="58">
        <v>316761.02</v>
      </c>
    </row>
    <row r="178" spans="1:5" ht="15" customHeight="1">
      <c r="A178" s="60">
        <v>410108</v>
      </c>
      <c r="B178" s="176">
        <v>403020101</v>
      </c>
      <c r="C178" s="77" t="s">
        <v>285</v>
      </c>
      <c r="D178" s="62">
        <v>415409228</v>
      </c>
      <c r="E178" s="58">
        <v>59843.45</v>
      </c>
    </row>
    <row r="179" spans="1:5" ht="15" customHeight="1">
      <c r="A179" s="60">
        <v>410109</v>
      </c>
      <c r="B179" s="176">
        <v>403010101</v>
      </c>
      <c r="C179" s="77" t="s">
        <v>191</v>
      </c>
      <c r="D179" s="62">
        <v>209023783</v>
      </c>
      <c r="E179" s="58">
        <v>30704.76</v>
      </c>
    </row>
    <row r="180" spans="1:5" ht="15" customHeight="1">
      <c r="A180" s="60">
        <v>410110</v>
      </c>
      <c r="B180" s="176">
        <v>403010105</v>
      </c>
      <c r="C180" s="77" t="s">
        <v>390</v>
      </c>
      <c r="D180" s="62">
        <v>477734810</v>
      </c>
      <c r="E180" s="58">
        <v>69466.210000000006</v>
      </c>
    </row>
    <row r="181" spans="1:5" ht="15" customHeight="1">
      <c r="A181" s="60">
        <v>410111</v>
      </c>
      <c r="B181" s="176">
        <v>40202</v>
      </c>
      <c r="C181" s="77" t="s">
        <v>192</v>
      </c>
      <c r="D181" s="62">
        <v>13561518</v>
      </c>
      <c r="E181" s="58">
        <v>1975.1</v>
      </c>
    </row>
    <row r="182" spans="1:5" ht="15" customHeight="1">
      <c r="A182" s="60">
        <v>410112</v>
      </c>
      <c r="B182" s="176">
        <v>4010301</v>
      </c>
      <c r="C182" s="77" t="s">
        <v>391</v>
      </c>
      <c r="D182" s="62">
        <v>754199881</v>
      </c>
      <c r="E182" s="58">
        <v>114107.13</v>
      </c>
    </row>
    <row r="183" spans="1:5" ht="15" customHeight="1">
      <c r="A183" s="60">
        <v>410115</v>
      </c>
      <c r="B183" s="176">
        <v>4060601</v>
      </c>
      <c r="C183" s="77" t="s">
        <v>194</v>
      </c>
      <c r="D183" s="62">
        <v>6021870</v>
      </c>
      <c r="E183" s="58">
        <v>881.76</v>
      </c>
    </row>
    <row r="184" spans="1:5" ht="15" customHeight="1">
      <c r="A184" s="60">
        <v>410116</v>
      </c>
      <c r="B184" s="176">
        <v>403020105</v>
      </c>
      <c r="C184" s="77" t="s">
        <v>332</v>
      </c>
      <c r="D184" s="62">
        <v>3918687347</v>
      </c>
      <c r="E184" s="58">
        <v>576768.99</v>
      </c>
    </row>
    <row r="185" spans="1:5" ht="15" customHeight="1">
      <c r="A185" s="60">
        <v>410118</v>
      </c>
      <c r="B185" s="176">
        <v>403020202</v>
      </c>
      <c r="C185" s="77" t="s">
        <v>392</v>
      </c>
      <c r="D185" s="62">
        <v>3516576</v>
      </c>
      <c r="E185" s="58">
        <v>535.42999999999995</v>
      </c>
    </row>
    <row r="186" spans="1:5" ht="15" customHeight="1">
      <c r="A186" s="60">
        <v>410119</v>
      </c>
      <c r="B186" s="176">
        <v>403020131</v>
      </c>
      <c r="C186" s="77" t="s">
        <v>499</v>
      </c>
      <c r="D186" s="62">
        <v>192230510</v>
      </c>
      <c r="E186" s="58">
        <v>27473.33</v>
      </c>
    </row>
    <row r="187" spans="1:5" ht="15" customHeight="1">
      <c r="A187" s="60">
        <v>410121</v>
      </c>
      <c r="B187" s="73">
        <v>403010130</v>
      </c>
      <c r="C187" s="77" t="s">
        <v>629</v>
      </c>
      <c r="D187" s="62">
        <v>1173699</v>
      </c>
      <c r="E187" s="58">
        <v>170.3</v>
      </c>
    </row>
    <row r="188" spans="1:5" ht="15" customHeight="1">
      <c r="A188" s="60">
        <v>42</v>
      </c>
      <c r="C188" s="77" t="s">
        <v>286</v>
      </c>
      <c r="D188" s="62">
        <v>1289289068</v>
      </c>
      <c r="E188" s="58">
        <v>410332.18</v>
      </c>
    </row>
    <row r="189" spans="1:5" ht="15" customHeight="1">
      <c r="A189" s="60">
        <v>42103</v>
      </c>
      <c r="B189" s="176">
        <v>4070201</v>
      </c>
      <c r="C189" s="77" t="s">
        <v>195</v>
      </c>
      <c r="D189" s="62">
        <v>1288095434</v>
      </c>
      <c r="E189" s="58">
        <v>410155.61</v>
      </c>
    </row>
    <row r="190" spans="1:5" ht="15" customHeight="1">
      <c r="A190" s="60">
        <v>42205</v>
      </c>
      <c r="B190" s="176">
        <v>40701</v>
      </c>
      <c r="C190" s="77" t="s">
        <v>287</v>
      </c>
      <c r="D190" s="62">
        <v>1193634</v>
      </c>
      <c r="E190" s="58">
        <v>176.57</v>
      </c>
    </row>
    <row r="191" spans="1:5" ht="15" customHeight="1">
      <c r="A191" s="60">
        <v>43</v>
      </c>
      <c r="C191" s="77" t="s">
        <v>288</v>
      </c>
      <c r="D191" s="62">
        <v>116964616</v>
      </c>
      <c r="E191" s="58">
        <v>16991.68</v>
      </c>
    </row>
    <row r="192" spans="1:5" ht="15" customHeight="1">
      <c r="A192" s="60">
        <v>4304</v>
      </c>
      <c r="B192" s="73">
        <v>40808</v>
      </c>
      <c r="C192" s="77" t="s">
        <v>611</v>
      </c>
      <c r="D192" s="62">
        <v>103990631</v>
      </c>
      <c r="E192" s="58">
        <v>15083.21</v>
      </c>
    </row>
    <row r="193" spans="1:5" ht="15" customHeight="1">
      <c r="A193" s="60">
        <v>4305</v>
      </c>
      <c r="B193" s="73">
        <v>40803</v>
      </c>
      <c r="C193" s="77" t="s">
        <v>196</v>
      </c>
      <c r="D193" s="62">
        <v>12973985</v>
      </c>
      <c r="E193" s="58">
        <v>1908.47</v>
      </c>
    </row>
    <row r="194" spans="1:5" ht="15" customHeight="1">
      <c r="A194" s="60">
        <v>5</v>
      </c>
      <c r="C194" s="77" t="s">
        <v>197</v>
      </c>
      <c r="D194" s="62">
        <v>8665846843</v>
      </c>
      <c r="E194" s="58">
        <v>1526357.51</v>
      </c>
    </row>
    <row r="195" spans="1:5" ht="15" customHeight="1">
      <c r="A195" s="60">
        <v>51</v>
      </c>
      <c r="C195" s="77" t="s">
        <v>198</v>
      </c>
      <c r="D195" s="62">
        <v>8286854206</v>
      </c>
      <c r="E195" s="58">
        <v>1471488.55</v>
      </c>
    </row>
    <row r="196" spans="1:5" ht="15" customHeight="1">
      <c r="A196" s="60">
        <v>5101</v>
      </c>
      <c r="C196" s="77" t="s">
        <v>289</v>
      </c>
      <c r="D196" s="62">
        <v>1880067313</v>
      </c>
      <c r="E196" s="58">
        <v>273401.81999999995</v>
      </c>
    </row>
    <row r="197" spans="1:5" ht="15" customHeight="1">
      <c r="A197" s="60">
        <v>510101</v>
      </c>
      <c r="B197" s="73">
        <v>511010201</v>
      </c>
      <c r="C197" s="77" t="s">
        <v>290</v>
      </c>
      <c r="D197" s="62">
        <v>56638828</v>
      </c>
      <c r="E197" s="58">
        <v>8580.3799999999992</v>
      </c>
    </row>
    <row r="198" spans="1:5" ht="15" customHeight="1">
      <c r="A198" s="60">
        <v>510102</v>
      </c>
      <c r="B198" s="73">
        <v>511020101</v>
      </c>
      <c r="C198" s="77" t="s">
        <v>219</v>
      </c>
      <c r="D198" s="62">
        <v>223124937</v>
      </c>
      <c r="E198" s="58">
        <v>32647.14</v>
      </c>
    </row>
    <row r="199" spans="1:5" ht="15" customHeight="1">
      <c r="A199" s="60">
        <v>510103</v>
      </c>
      <c r="B199" s="73">
        <v>511020201</v>
      </c>
      <c r="C199" s="77" t="s">
        <v>291</v>
      </c>
      <c r="D199" s="62">
        <v>47538328</v>
      </c>
      <c r="E199" s="58">
        <v>6993.33</v>
      </c>
    </row>
    <row r="200" spans="1:5" ht="15" customHeight="1">
      <c r="A200" s="60">
        <v>510104</v>
      </c>
      <c r="B200" s="73">
        <v>51103012002</v>
      </c>
      <c r="C200" s="77" t="s">
        <v>292</v>
      </c>
      <c r="D200" s="62">
        <v>1057133388</v>
      </c>
      <c r="E200" s="58">
        <v>153811.15</v>
      </c>
    </row>
    <row r="201" spans="1:5" ht="15" customHeight="1">
      <c r="A201" s="60">
        <v>510105</v>
      </c>
      <c r="B201" s="73">
        <v>51103012001</v>
      </c>
      <c r="C201" s="77" t="s">
        <v>220</v>
      </c>
      <c r="D201" s="62">
        <v>251012134</v>
      </c>
      <c r="E201" s="58">
        <v>36032.400000000001</v>
      </c>
    </row>
    <row r="202" spans="1:5" ht="15" customHeight="1">
      <c r="A202" s="60">
        <v>510106</v>
      </c>
      <c r="B202" s="73">
        <v>5110203</v>
      </c>
      <c r="C202" s="77" t="s">
        <v>293</v>
      </c>
      <c r="D202" s="62">
        <v>2530200</v>
      </c>
      <c r="E202" s="58">
        <v>390.84</v>
      </c>
    </row>
    <row r="203" spans="1:5" ht="15" customHeight="1">
      <c r="A203" s="60">
        <v>510110</v>
      </c>
      <c r="B203" s="73">
        <v>51103010101</v>
      </c>
      <c r="C203" s="77" t="s">
        <v>393</v>
      </c>
      <c r="D203" s="62">
        <v>82039498</v>
      </c>
      <c r="E203" s="58">
        <v>12160.739999999991</v>
      </c>
    </row>
    <row r="204" spans="1:5" ht="15" customHeight="1">
      <c r="A204" s="60">
        <v>510111</v>
      </c>
      <c r="B204" s="73">
        <v>51103012030</v>
      </c>
      <c r="C204" s="77" t="s">
        <v>630</v>
      </c>
      <c r="D204" s="62">
        <v>160050000</v>
      </c>
      <c r="E204" s="58">
        <v>22785.84</v>
      </c>
    </row>
    <row r="205" spans="1:5" ht="15" customHeight="1">
      <c r="A205" s="60">
        <v>5102</v>
      </c>
      <c r="C205" s="77" t="s">
        <v>294</v>
      </c>
      <c r="D205" s="62">
        <v>366062959</v>
      </c>
      <c r="E205" s="58">
        <v>54272.21</v>
      </c>
    </row>
    <row r="206" spans="1:5" ht="15" customHeight="1">
      <c r="A206" s="60">
        <v>510201</v>
      </c>
      <c r="B206" s="73">
        <v>51201</v>
      </c>
      <c r="C206" s="77" t="s">
        <v>206</v>
      </c>
      <c r="D206" s="62">
        <v>2635894</v>
      </c>
      <c r="E206" s="58">
        <v>764.92000000000098</v>
      </c>
    </row>
    <row r="207" spans="1:5" ht="15" customHeight="1">
      <c r="A207" s="60">
        <v>510203</v>
      </c>
      <c r="B207" s="73">
        <v>51204</v>
      </c>
      <c r="C207" s="77" t="s">
        <v>295</v>
      </c>
      <c r="D207" s="62">
        <v>6170137</v>
      </c>
      <c r="E207" s="58">
        <v>893.12</v>
      </c>
    </row>
    <row r="208" spans="1:5" ht="15" customHeight="1">
      <c r="A208" s="60">
        <v>510204</v>
      </c>
      <c r="B208" s="73">
        <v>51201</v>
      </c>
      <c r="C208" s="77" t="s">
        <v>296</v>
      </c>
      <c r="D208" s="62">
        <v>182256928</v>
      </c>
      <c r="E208" s="58">
        <v>26848.41</v>
      </c>
    </row>
    <row r="209" spans="1:5" ht="15" customHeight="1">
      <c r="A209" s="60">
        <v>510206</v>
      </c>
      <c r="B209" s="73">
        <v>51206</v>
      </c>
      <c r="C209" s="77" t="s">
        <v>297</v>
      </c>
      <c r="D209" s="62">
        <v>175000000</v>
      </c>
      <c r="E209" s="58">
        <v>25765.759999999998</v>
      </c>
    </row>
    <row r="210" spans="1:5" ht="15" customHeight="1">
      <c r="A210" s="60">
        <v>5103</v>
      </c>
      <c r="C210" s="77" t="s">
        <v>15</v>
      </c>
      <c r="D210" s="62">
        <v>4593663841</v>
      </c>
      <c r="E210" s="58">
        <v>677151.12000000011</v>
      </c>
    </row>
    <row r="211" spans="1:5" ht="15" customHeight="1">
      <c r="A211" s="60">
        <v>510301</v>
      </c>
      <c r="C211" s="77" t="s">
        <v>298</v>
      </c>
      <c r="D211" s="62">
        <v>1886570513</v>
      </c>
      <c r="E211" s="58">
        <v>276809.21999999997</v>
      </c>
    </row>
    <row r="212" spans="1:5" ht="15" customHeight="1">
      <c r="A212" s="60">
        <v>51030101</v>
      </c>
      <c r="B212" s="73">
        <v>5130101</v>
      </c>
      <c r="C212" s="77" t="s">
        <v>199</v>
      </c>
      <c r="D212" s="62">
        <v>1274843333</v>
      </c>
      <c r="E212" s="58">
        <v>187340.78</v>
      </c>
    </row>
    <row r="213" spans="1:5" ht="15" customHeight="1">
      <c r="A213" s="60">
        <v>51030103</v>
      </c>
      <c r="B213" s="73">
        <v>5130304</v>
      </c>
      <c r="C213" s="77" t="s">
        <v>200</v>
      </c>
      <c r="D213" s="62">
        <v>193136116</v>
      </c>
      <c r="E213" s="58">
        <v>28415.57</v>
      </c>
    </row>
    <row r="214" spans="1:5" ht="15" customHeight="1">
      <c r="A214" s="60">
        <v>51030104</v>
      </c>
      <c r="B214" s="73">
        <v>5130104</v>
      </c>
      <c r="C214" s="77" t="s">
        <v>201</v>
      </c>
      <c r="D214" s="62">
        <v>123197731</v>
      </c>
      <c r="E214" s="58">
        <v>18111.96</v>
      </c>
    </row>
    <row r="215" spans="1:5" ht="15" customHeight="1">
      <c r="A215" s="60">
        <v>51030105</v>
      </c>
      <c r="B215" s="73">
        <v>5130105</v>
      </c>
      <c r="C215" s="77" t="s">
        <v>202</v>
      </c>
      <c r="D215" s="62">
        <v>10393333</v>
      </c>
      <c r="E215" s="58">
        <v>1588.38</v>
      </c>
    </row>
    <row r="216" spans="1:5" ht="15" customHeight="1">
      <c r="A216" s="60">
        <v>51030107</v>
      </c>
      <c r="B216" s="73">
        <v>5130203</v>
      </c>
      <c r="C216" s="77" t="s">
        <v>631</v>
      </c>
      <c r="D216" s="62">
        <v>285000000</v>
      </c>
      <c r="E216" s="58">
        <v>41352.53</v>
      </c>
    </row>
    <row r="217" spans="1:5" ht="15" customHeight="1">
      <c r="A217" s="60">
        <v>510302</v>
      </c>
      <c r="B217" s="73">
        <v>5130301</v>
      </c>
      <c r="C217" s="77" t="s">
        <v>342</v>
      </c>
      <c r="D217" s="62">
        <v>399212750</v>
      </c>
      <c r="E217" s="58">
        <v>58501.120000000003</v>
      </c>
    </row>
    <row r="218" spans="1:5" ht="15" customHeight="1">
      <c r="A218" s="60">
        <v>510303</v>
      </c>
      <c r="B218" s="73">
        <v>5130201</v>
      </c>
      <c r="C218" s="77" t="s">
        <v>203</v>
      </c>
      <c r="D218" s="62">
        <v>243931510</v>
      </c>
      <c r="E218" s="58">
        <v>35861.879999999997</v>
      </c>
    </row>
    <row r="219" spans="1:5" ht="15" customHeight="1">
      <c r="A219" s="60">
        <v>510304</v>
      </c>
      <c r="B219" s="73">
        <v>51504</v>
      </c>
      <c r="C219" s="77" t="s">
        <v>204</v>
      </c>
      <c r="D219" s="62">
        <v>239294319</v>
      </c>
      <c r="E219" s="58">
        <v>34690.94</v>
      </c>
    </row>
    <row r="220" spans="1:5" ht="15" customHeight="1">
      <c r="A220" s="60">
        <v>510305</v>
      </c>
      <c r="B220" s="73">
        <v>5131002</v>
      </c>
      <c r="C220" s="77" t="s">
        <v>205</v>
      </c>
      <c r="D220" s="62">
        <v>3329302</v>
      </c>
      <c r="E220" s="58">
        <v>515.13</v>
      </c>
    </row>
    <row r="221" spans="1:5" ht="15" customHeight="1">
      <c r="A221" s="60">
        <v>510306</v>
      </c>
      <c r="B221" s="73">
        <v>5131006</v>
      </c>
      <c r="C221" s="77" t="s">
        <v>207</v>
      </c>
      <c r="D221" s="62">
        <v>6198182</v>
      </c>
      <c r="E221" s="58">
        <v>920.53000000000009</v>
      </c>
    </row>
    <row r="222" spans="1:5" ht="15" customHeight="1">
      <c r="A222" s="60">
        <v>510307</v>
      </c>
      <c r="B222" s="73">
        <v>51203</v>
      </c>
      <c r="C222" s="77" t="s">
        <v>209</v>
      </c>
      <c r="D222" s="62">
        <v>16217832</v>
      </c>
      <c r="E222" s="58">
        <v>2436.33</v>
      </c>
    </row>
    <row r="223" spans="1:5" ht="15" customHeight="1">
      <c r="A223" s="60">
        <v>510308</v>
      </c>
      <c r="B223" s="73">
        <v>5130208</v>
      </c>
      <c r="C223" s="77" t="s">
        <v>509</v>
      </c>
      <c r="D223" s="62">
        <v>16388271</v>
      </c>
      <c r="E223" s="58">
        <v>2365.75</v>
      </c>
    </row>
    <row r="224" spans="1:5" ht="15" customHeight="1">
      <c r="A224" s="60">
        <v>510309</v>
      </c>
      <c r="B224" s="73">
        <v>5130206</v>
      </c>
      <c r="C224" s="77" t="s">
        <v>394</v>
      </c>
      <c r="D224" s="62">
        <v>65692208</v>
      </c>
      <c r="E224" s="58">
        <v>9660.7000000000007</v>
      </c>
    </row>
    <row r="225" spans="1:5" ht="15" customHeight="1">
      <c r="A225" s="60">
        <v>510310</v>
      </c>
      <c r="B225" s="73">
        <v>5130207</v>
      </c>
      <c r="C225" s="77" t="s">
        <v>510</v>
      </c>
      <c r="D225" s="62">
        <v>96729000</v>
      </c>
      <c r="E225" s="58">
        <v>14213.04</v>
      </c>
    </row>
    <row r="226" spans="1:5" ht="15" customHeight="1">
      <c r="A226" s="60">
        <v>510311</v>
      </c>
      <c r="B226" s="73">
        <v>5130404</v>
      </c>
      <c r="C226" s="77" t="s">
        <v>211</v>
      </c>
      <c r="D226" s="62">
        <v>5334395</v>
      </c>
      <c r="E226" s="58">
        <v>805.78</v>
      </c>
    </row>
    <row r="227" spans="1:5" ht="15" customHeight="1">
      <c r="A227" s="60">
        <v>510312</v>
      </c>
      <c r="B227" s="73">
        <v>5130401</v>
      </c>
      <c r="C227" s="77" t="s">
        <v>213</v>
      </c>
      <c r="D227" s="62">
        <v>250000000</v>
      </c>
      <c r="E227" s="58">
        <v>36516.21</v>
      </c>
    </row>
    <row r="228" spans="1:5" ht="15" customHeight="1">
      <c r="A228" s="60">
        <v>510313</v>
      </c>
      <c r="B228" s="73">
        <v>5130405</v>
      </c>
      <c r="C228" s="77" t="s">
        <v>299</v>
      </c>
      <c r="D228" s="62">
        <v>95227250</v>
      </c>
      <c r="E228" s="58">
        <v>14050</v>
      </c>
    </row>
    <row r="229" spans="1:5" ht="15" customHeight="1">
      <c r="A229" s="60">
        <v>510315</v>
      </c>
      <c r="B229" s="73">
        <v>5131015</v>
      </c>
      <c r="C229" s="77" t="s">
        <v>300</v>
      </c>
      <c r="D229" s="62">
        <v>32340909</v>
      </c>
      <c r="E229" s="58">
        <v>4759.63</v>
      </c>
    </row>
    <row r="230" spans="1:5" ht="15" customHeight="1">
      <c r="A230" s="60">
        <v>510316</v>
      </c>
      <c r="B230" s="73">
        <v>5130701</v>
      </c>
      <c r="C230" s="77" t="s">
        <v>48</v>
      </c>
      <c r="D230" s="62">
        <v>83333332</v>
      </c>
      <c r="E230" s="58">
        <v>12734.28</v>
      </c>
    </row>
    <row r="231" spans="1:5" ht="15" customHeight="1">
      <c r="A231" s="60">
        <v>510318</v>
      </c>
      <c r="B231" s="73">
        <v>5130605</v>
      </c>
      <c r="C231" s="77" t="s">
        <v>301</v>
      </c>
      <c r="D231" s="62">
        <v>9900000</v>
      </c>
      <c r="E231" s="58">
        <v>1507.15</v>
      </c>
    </row>
    <row r="232" spans="1:5" ht="15" customHeight="1">
      <c r="A232" s="60">
        <v>510319</v>
      </c>
      <c r="B232" s="73">
        <v>5131010</v>
      </c>
      <c r="C232" s="77" t="s">
        <v>215</v>
      </c>
      <c r="D232" s="62">
        <v>400000</v>
      </c>
      <c r="E232" s="58">
        <v>61.28</v>
      </c>
    </row>
    <row r="233" spans="1:5" ht="15" customHeight="1">
      <c r="A233" s="60">
        <v>510320</v>
      </c>
      <c r="B233" s="73">
        <v>5131006</v>
      </c>
      <c r="C233" s="77" t="s">
        <v>216</v>
      </c>
      <c r="D233" s="62">
        <v>49756906</v>
      </c>
      <c r="E233" s="58">
        <v>7206.61</v>
      </c>
    </row>
    <row r="234" spans="1:5" ht="15" customHeight="1">
      <c r="A234" s="60">
        <v>510321</v>
      </c>
      <c r="B234" s="73">
        <v>5130402</v>
      </c>
      <c r="C234" s="77" t="s">
        <v>217</v>
      </c>
      <c r="D234" s="62">
        <v>238600070</v>
      </c>
      <c r="E234" s="58">
        <v>35519.06</v>
      </c>
    </row>
    <row r="235" spans="1:5" ht="15" customHeight="1">
      <c r="A235" s="60">
        <v>510322</v>
      </c>
      <c r="B235" s="73">
        <v>5130405</v>
      </c>
      <c r="C235" s="77" t="s">
        <v>234</v>
      </c>
      <c r="D235" s="62">
        <v>359799982</v>
      </c>
      <c r="E235" s="58">
        <v>52858.13</v>
      </c>
    </row>
    <row r="236" spans="1:5" ht="15" customHeight="1">
      <c r="A236" s="60">
        <v>510323</v>
      </c>
      <c r="B236" s="73">
        <v>5130902</v>
      </c>
      <c r="C236" s="77" t="s">
        <v>212</v>
      </c>
      <c r="D236" s="62">
        <v>8256339</v>
      </c>
      <c r="E236" s="58">
        <v>1266.04</v>
      </c>
    </row>
    <row r="237" spans="1:5" ht="15" customHeight="1">
      <c r="A237" s="60">
        <v>510324</v>
      </c>
      <c r="B237" s="73">
        <v>513050101</v>
      </c>
      <c r="C237" s="77" t="s">
        <v>218</v>
      </c>
      <c r="D237" s="62">
        <v>2839598</v>
      </c>
      <c r="E237" s="58">
        <v>435.97</v>
      </c>
    </row>
    <row r="238" spans="1:5" ht="15" customHeight="1">
      <c r="A238" s="60">
        <v>510325</v>
      </c>
      <c r="B238" s="73">
        <v>513050201</v>
      </c>
      <c r="C238" s="77" t="s">
        <v>261</v>
      </c>
      <c r="D238" s="62">
        <v>7235868</v>
      </c>
      <c r="E238" s="58">
        <v>1212</v>
      </c>
    </row>
    <row r="239" spans="1:5" ht="15" customHeight="1">
      <c r="A239" s="60">
        <v>510327</v>
      </c>
      <c r="B239" s="73">
        <v>5130204</v>
      </c>
      <c r="C239" s="77" t="s">
        <v>333</v>
      </c>
      <c r="D239" s="62">
        <v>56758411</v>
      </c>
      <c r="E239" s="58">
        <v>8346.2199999999993</v>
      </c>
    </row>
    <row r="240" spans="1:5" ht="15" customHeight="1">
      <c r="A240" s="60">
        <v>510328</v>
      </c>
      <c r="B240" s="73">
        <v>5131007</v>
      </c>
      <c r="C240" s="77" t="s">
        <v>334</v>
      </c>
      <c r="D240" s="62">
        <v>4355762</v>
      </c>
      <c r="E240" s="58">
        <v>665.05</v>
      </c>
    </row>
    <row r="241" spans="1:5" ht="15" customHeight="1">
      <c r="A241" s="60">
        <v>510330</v>
      </c>
      <c r="B241" s="73">
        <v>5131016</v>
      </c>
      <c r="C241" s="77" t="s">
        <v>302</v>
      </c>
      <c r="D241" s="62">
        <v>950000</v>
      </c>
      <c r="E241" s="58">
        <v>141.02000000000001</v>
      </c>
    </row>
    <row r="242" spans="1:5" ht="15" customHeight="1">
      <c r="A242" s="60">
        <v>510331</v>
      </c>
      <c r="B242" s="73">
        <v>5130407</v>
      </c>
      <c r="C242" s="77" t="s">
        <v>632</v>
      </c>
      <c r="D242" s="62">
        <v>2663980</v>
      </c>
      <c r="E242" s="58">
        <v>386.57</v>
      </c>
    </row>
    <row r="243" spans="1:5" ht="15" customHeight="1">
      <c r="A243" s="60">
        <v>510335</v>
      </c>
      <c r="B243" s="73">
        <v>5130801</v>
      </c>
      <c r="C243" s="77" t="s">
        <v>210</v>
      </c>
      <c r="D243" s="62">
        <v>892657</v>
      </c>
      <c r="E243" s="58">
        <v>129.53</v>
      </c>
    </row>
    <row r="244" spans="1:5" ht="15" customHeight="1">
      <c r="A244" s="60">
        <v>510337</v>
      </c>
      <c r="B244" s="73">
        <v>513050202</v>
      </c>
      <c r="C244" s="77" t="s">
        <v>395</v>
      </c>
      <c r="D244" s="62">
        <v>128817828</v>
      </c>
      <c r="E244" s="58">
        <v>21081.119999999999</v>
      </c>
    </row>
    <row r="245" spans="1:5" ht="15" customHeight="1">
      <c r="A245" s="60">
        <v>510338</v>
      </c>
      <c r="B245" s="73">
        <v>5131014</v>
      </c>
      <c r="C245" s="77" t="s">
        <v>396</v>
      </c>
      <c r="D245" s="62">
        <v>20176917</v>
      </c>
      <c r="E245" s="58">
        <v>2889.2</v>
      </c>
    </row>
    <row r="246" spans="1:5" ht="15" customHeight="1">
      <c r="A246" s="60">
        <v>510339</v>
      </c>
      <c r="B246" s="73">
        <v>51207</v>
      </c>
      <c r="C246" s="77" t="s">
        <v>397</v>
      </c>
      <c r="D246" s="62">
        <v>184948448</v>
      </c>
      <c r="E246" s="58">
        <v>27211.59</v>
      </c>
    </row>
    <row r="247" spans="1:5" ht="15" customHeight="1">
      <c r="A247" s="60">
        <v>510341</v>
      </c>
      <c r="B247" s="73">
        <v>5131019</v>
      </c>
      <c r="C247" s="77" t="s">
        <v>500</v>
      </c>
      <c r="D247" s="62">
        <v>3909140</v>
      </c>
      <c r="E247" s="58">
        <v>575.21</v>
      </c>
    </row>
    <row r="248" spans="1:5" ht="15" customHeight="1">
      <c r="A248" s="60">
        <v>510342</v>
      </c>
      <c r="B248" s="73">
        <v>5131012</v>
      </c>
      <c r="C248" s="77" t="s">
        <v>633</v>
      </c>
      <c r="D248" s="62">
        <v>5736362</v>
      </c>
      <c r="E248" s="58">
        <v>818.83</v>
      </c>
    </row>
    <row r="249" spans="1:5" ht="15" customHeight="1">
      <c r="A249" s="60">
        <v>510343</v>
      </c>
      <c r="B249" s="73">
        <v>5130603</v>
      </c>
      <c r="C249" s="77" t="s">
        <v>634</v>
      </c>
      <c r="D249" s="62">
        <v>67865800</v>
      </c>
      <c r="E249" s="58">
        <v>10000</v>
      </c>
    </row>
    <row r="250" spans="1:5" ht="15" customHeight="1">
      <c r="A250" s="60">
        <v>5104</v>
      </c>
      <c r="C250" s="77" t="s">
        <v>223</v>
      </c>
      <c r="D250" s="62">
        <v>1447060093</v>
      </c>
      <c r="E250" s="58">
        <v>466663.4</v>
      </c>
    </row>
    <row r="251" spans="1:5" ht="15" customHeight="1">
      <c r="A251" s="60">
        <v>510402</v>
      </c>
      <c r="B251" s="73">
        <v>51404</v>
      </c>
      <c r="C251" s="77" t="s">
        <v>221</v>
      </c>
      <c r="D251" s="62">
        <v>196772299</v>
      </c>
      <c r="E251" s="58">
        <v>28341.79</v>
      </c>
    </row>
    <row r="252" spans="1:5" ht="15" customHeight="1">
      <c r="A252" s="60">
        <v>510403</v>
      </c>
      <c r="B252" s="73">
        <v>51406</v>
      </c>
      <c r="C252" s="77" t="s">
        <v>80</v>
      </c>
      <c r="D252" s="62">
        <v>13255937</v>
      </c>
      <c r="E252" s="58">
        <v>1930.96</v>
      </c>
    </row>
    <row r="253" spans="1:5" ht="15" customHeight="1">
      <c r="A253" s="60">
        <v>510405</v>
      </c>
      <c r="B253" s="73">
        <v>5140701</v>
      </c>
      <c r="C253" s="77" t="s">
        <v>222</v>
      </c>
      <c r="D253" s="62">
        <v>1237031857</v>
      </c>
      <c r="E253" s="58">
        <v>436390.63</v>
      </c>
    </row>
    <row r="254" spans="1:5" ht="15" customHeight="1">
      <c r="A254" s="60">
        <v>52</v>
      </c>
      <c r="C254" s="77" t="s">
        <v>303</v>
      </c>
      <c r="D254" s="62">
        <v>378992637</v>
      </c>
      <c r="E254" s="58">
        <v>54868.960000000006</v>
      </c>
    </row>
    <row r="255" spans="1:5" ht="15" customHeight="1">
      <c r="A255" s="60">
        <v>5201</v>
      </c>
      <c r="C255" s="77" t="s">
        <v>304</v>
      </c>
      <c r="D255" s="62">
        <v>378992637</v>
      </c>
      <c r="E255" s="58">
        <v>54868.960000000006</v>
      </c>
    </row>
    <row r="256" spans="1:5" ht="15" customHeight="1">
      <c r="A256" s="60">
        <v>520101</v>
      </c>
      <c r="B256" s="73">
        <v>51501</v>
      </c>
      <c r="C256" s="77" t="s">
        <v>79</v>
      </c>
      <c r="D256" s="62">
        <v>263473906</v>
      </c>
      <c r="E256" s="58">
        <v>37960.57</v>
      </c>
    </row>
    <row r="257" spans="1:5" ht="15" customHeight="1">
      <c r="A257" s="60">
        <v>520102</v>
      </c>
      <c r="B257" s="73">
        <v>51505</v>
      </c>
      <c r="C257" s="77" t="s">
        <v>159</v>
      </c>
      <c r="D257" s="62">
        <v>2367767</v>
      </c>
      <c r="E257" s="58">
        <v>336.96</v>
      </c>
    </row>
    <row r="258" spans="1:5" ht="15" customHeight="1">
      <c r="A258" s="60">
        <v>520103</v>
      </c>
      <c r="B258" s="73">
        <v>51502</v>
      </c>
      <c r="C258" s="77" t="s">
        <v>305</v>
      </c>
      <c r="D258" s="62">
        <v>91745164</v>
      </c>
      <c r="E258" s="58">
        <v>13469.98</v>
      </c>
    </row>
    <row r="259" spans="1:5" ht="15" customHeight="1">
      <c r="A259" s="60">
        <v>520136</v>
      </c>
      <c r="B259" s="73">
        <v>5150301</v>
      </c>
      <c r="C259" s="77" t="s">
        <v>224</v>
      </c>
      <c r="D259" s="62">
        <v>21405800</v>
      </c>
      <c r="E259" s="58">
        <v>3101.45</v>
      </c>
    </row>
    <row r="260" spans="1:5" ht="15" customHeight="1">
      <c r="A260" s="60"/>
      <c r="C260" s="77"/>
      <c r="D260" s="62"/>
    </row>
  </sheetData>
  <printOptions gridLinesSet="0"/>
  <pageMargins left="0.75" right="0.75" top="1" bottom="0.75" header="0.5" footer="0.5"/>
  <pageSetup paperSize="9"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94"/>
  <sheetViews>
    <sheetView zoomScale="90" zoomScaleNormal="90" workbookViewId="0">
      <pane xSplit="3" ySplit="3" topLeftCell="D84" activePane="bottomRight" state="frozen"/>
      <selection activeCell="B84" sqref="B84"/>
      <selection pane="topRight" activeCell="B84" sqref="B84"/>
      <selection pane="bottomLeft" activeCell="B84" sqref="B84"/>
      <selection pane="bottomRight" activeCell="B84" sqref="B84"/>
    </sheetView>
  </sheetViews>
  <sheetFormatPr baseColWidth="10" defaultColWidth="9.109375" defaultRowHeight="15" customHeight="1" outlineLevelCol="1"/>
  <cols>
    <col min="1" max="1" width="12.44140625" style="80" customWidth="1"/>
    <col min="2" max="2" width="24" style="80" customWidth="1"/>
    <col min="3" max="3" width="30.44140625" style="80" customWidth="1" outlineLevel="1"/>
    <col min="4" max="4" width="16" style="80" customWidth="1"/>
    <col min="5" max="5" width="15" style="80" customWidth="1" outlineLevel="1"/>
    <col min="6" max="6" width="16.44140625" style="80" customWidth="1" outlineLevel="1"/>
    <col min="7" max="7" width="16.33203125" style="80" customWidth="1" outlineLevel="1"/>
    <col min="8" max="8" width="16" style="80" customWidth="1" outlineLevel="1"/>
    <col min="9" max="9" width="15.33203125" style="80" bestFit="1" customWidth="1"/>
    <col min="10" max="11" width="18.109375" style="80" bestFit="1" customWidth="1"/>
    <col min="12" max="12" width="14.109375" style="80" bestFit="1" customWidth="1"/>
    <col min="13" max="13" width="16.6640625" style="80" bestFit="1" customWidth="1"/>
    <col min="14" max="14" width="16.6640625" style="80" customWidth="1"/>
    <col min="15" max="16" width="15.44140625" style="80" bestFit="1" customWidth="1"/>
    <col min="17" max="17" width="15.5546875" style="80" bestFit="1" customWidth="1"/>
    <col min="18" max="18" width="15.5546875" style="80" customWidth="1"/>
    <col min="19" max="19" width="16.44140625" style="80" customWidth="1"/>
    <col min="20" max="21" width="15.5546875" style="80" customWidth="1"/>
    <col min="22" max="22" width="13.6640625" style="80" bestFit="1" customWidth="1"/>
    <col min="23" max="23" width="13.33203125" style="80" bestFit="1" customWidth="1"/>
    <col min="24" max="24" width="12.33203125" style="80" bestFit="1" customWidth="1"/>
    <col min="25" max="25" width="16.44140625" style="80" bestFit="1" customWidth="1"/>
    <col min="26" max="26" width="17.6640625" style="80" bestFit="1" customWidth="1"/>
    <col min="27" max="27" width="16.44140625" style="90" bestFit="1" customWidth="1"/>
    <col min="28" max="28" width="16.44140625" style="81" bestFit="1" customWidth="1"/>
    <col min="29" max="54" width="9.109375" style="81"/>
    <col min="55" max="262" width="9.109375" style="80"/>
    <col min="263" max="263" width="33.6640625" style="80" customWidth="1"/>
    <col min="264" max="264" width="16" style="80" customWidth="1"/>
    <col min="265" max="266" width="15" style="80" bestFit="1" customWidth="1"/>
    <col min="267" max="267" width="16.5546875" style="80" bestFit="1" customWidth="1"/>
    <col min="268" max="268" width="12.5546875" style="80" customWidth="1"/>
    <col min="269" max="269" width="17.5546875" style="80" bestFit="1" customWidth="1"/>
    <col min="270" max="271" width="18.109375" style="80" bestFit="1" customWidth="1"/>
    <col min="272" max="272" width="12.88671875" style="80" bestFit="1" customWidth="1"/>
    <col min="273" max="274" width="16.5546875" style="80" bestFit="1" customWidth="1"/>
    <col min="275" max="276" width="13.109375" style="80" bestFit="1" customWidth="1"/>
    <col min="277" max="277" width="15.5546875" style="80" bestFit="1" customWidth="1"/>
    <col min="278" max="278" width="13.6640625" style="80" bestFit="1" customWidth="1"/>
    <col min="279" max="281" width="12.33203125" style="80" bestFit="1" customWidth="1"/>
    <col min="282" max="282" width="17.5546875" style="80" bestFit="1" customWidth="1"/>
    <col min="283" max="283" width="12.33203125" style="80" bestFit="1" customWidth="1"/>
    <col min="284" max="284" width="13.44140625" style="80" bestFit="1" customWidth="1"/>
    <col min="285" max="518" width="9.109375" style="80"/>
    <col min="519" max="519" width="33.6640625" style="80" customWidth="1"/>
    <col min="520" max="520" width="16" style="80" customWidth="1"/>
    <col min="521" max="522" width="15" style="80" bestFit="1" customWidth="1"/>
    <col min="523" max="523" width="16.5546875" style="80" bestFit="1" customWidth="1"/>
    <col min="524" max="524" width="12.5546875" style="80" customWidth="1"/>
    <col min="525" max="525" width="17.5546875" style="80" bestFit="1" customWidth="1"/>
    <col min="526" max="527" width="18.109375" style="80" bestFit="1" customWidth="1"/>
    <col min="528" max="528" width="12.88671875" style="80" bestFit="1" customWidth="1"/>
    <col min="529" max="530" width="16.5546875" style="80" bestFit="1" customWidth="1"/>
    <col min="531" max="532" width="13.109375" style="80" bestFit="1" customWidth="1"/>
    <col min="533" max="533" width="15.5546875" style="80" bestFit="1" customWidth="1"/>
    <col min="534" max="534" width="13.6640625" style="80" bestFit="1" customWidth="1"/>
    <col min="535" max="537" width="12.33203125" style="80" bestFit="1" customWidth="1"/>
    <col min="538" max="538" width="17.5546875" style="80" bestFit="1" customWidth="1"/>
    <col min="539" max="539" width="12.33203125" style="80" bestFit="1" customWidth="1"/>
    <col min="540" max="540" width="13.44140625" style="80" bestFit="1" customWidth="1"/>
    <col min="541" max="774" width="9.109375" style="80"/>
    <col min="775" max="775" width="33.6640625" style="80" customWidth="1"/>
    <col min="776" max="776" width="16" style="80" customWidth="1"/>
    <col min="777" max="778" width="15" style="80" bestFit="1" customWidth="1"/>
    <col min="779" max="779" width="16.5546875" style="80" bestFit="1" customWidth="1"/>
    <col min="780" max="780" width="12.5546875" style="80" customWidth="1"/>
    <col min="781" max="781" width="17.5546875" style="80" bestFit="1" customWidth="1"/>
    <col min="782" max="783" width="18.109375" style="80" bestFit="1" customWidth="1"/>
    <col min="784" max="784" width="12.88671875" style="80" bestFit="1" customWidth="1"/>
    <col min="785" max="786" width="16.5546875" style="80" bestFit="1" customWidth="1"/>
    <col min="787" max="788" width="13.109375" style="80" bestFit="1" customWidth="1"/>
    <col min="789" max="789" width="15.5546875" style="80" bestFit="1" customWidth="1"/>
    <col min="790" max="790" width="13.6640625" style="80" bestFit="1" customWidth="1"/>
    <col min="791" max="793" width="12.33203125" style="80" bestFit="1" customWidth="1"/>
    <col min="794" max="794" width="17.5546875" style="80" bestFit="1" customWidth="1"/>
    <col min="795" max="795" width="12.33203125" style="80" bestFit="1" customWidth="1"/>
    <col min="796" max="796" width="13.44140625" style="80" bestFit="1" customWidth="1"/>
    <col min="797" max="1030" width="9.109375" style="80"/>
    <col min="1031" max="1031" width="33.6640625" style="80" customWidth="1"/>
    <col min="1032" max="1032" width="16" style="80" customWidth="1"/>
    <col min="1033" max="1034" width="15" style="80" bestFit="1" customWidth="1"/>
    <col min="1035" max="1035" width="16.5546875" style="80" bestFit="1" customWidth="1"/>
    <col min="1036" max="1036" width="12.5546875" style="80" customWidth="1"/>
    <col min="1037" max="1037" width="17.5546875" style="80" bestFit="1" customWidth="1"/>
    <col min="1038" max="1039" width="18.109375" style="80" bestFit="1" customWidth="1"/>
    <col min="1040" max="1040" width="12.88671875" style="80" bestFit="1" customWidth="1"/>
    <col min="1041" max="1042" width="16.5546875" style="80" bestFit="1" customWidth="1"/>
    <col min="1043" max="1044" width="13.109375" style="80" bestFit="1" customWidth="1"/>
    <col min="1045" max="1045" width="15.5546875" style="80" bestFit="1" customWidth="1"/>
    <col min="1046" max="1046" width="13.6640625" style="80" bestFit="1" customWidth="1"/>
    <col min="1047" max="1049" width="12.33203125" style="80" bestFit="1" customWidth="1"/>
    <col min="1050" max="1050" width="17.5546875" style="80" bestFit="1" customWidth="1"/>
    <col min="1051" max="1051" width="12.33203125" style="80" bestFit="1" customWidth="1"/>
    <col min="1052" max="1052" width="13.44140625" style="80" bestFit="1" customWidth="1"/>
    <col min="1053" max="1286" width="9.109375" style="80"/>
    <col min="1287" max="1287" width="33.6640625" style="80" customWidth="1"/>
    <col min="1288" max="1288" width="16" style="80" customWidth="1"/>
    <col min="1289" max="1290" width="15" style="80" bestFit="1" customWidth="1"/>
    <col min="1291" max="1291" width="16.5546875" style="80" bestFit="1" customWidth="1"/>
    <col min="1292" max="1292" width="12.5546875" style="80" customWidth="1"/>
    <col min="1293" max="1293" width="17.5546875" style="80" bestFit="1" customWidth="1"/>
    <col min="1294" max="1295" width="18.109375" style="80" bestFit="1" customWidth="1"/>
    <col min="1296" max="1296" width="12.88671875" style="80" bestFit="1" customWidth="1"/>
    <col min="1297" max="1298" width="16.5546875" style="80" bestFit="1" customWidth="1"/>
    <col min="1299" max="1300" width="13.109375" style="80" bestFit="1" customWidth="1"/>
    <col min="1301" max="1301" width="15.5546875" style="80" bestFit="1" customWidth="1"/>
    <col min="1302" max="1302" width="13.6640625" style="80" bestFit="1" customWidth="1"/>
    <col min="1303" max="1305" width="12.33203125" style="80" bestFit="1" customWidth="1"/>
    <col min="1306" max="1306" width="17.5546875" style="80" bestFit="1" customWidth="1"/>
    <col min="1307" max="1307" width="12.33203125" style="80" bestFit="1" customWidth="1"/>
    <col min="1308" max="1308" width="13.44140625" style="80" bestFit="1" customWidth="1"/>
    <col min="1309" max="1542" width="9.109375" style="80"/>
    <col min="1543" max="1543" width="33.6640625" style="80" customWidth="1"/>
    <col min="1544" max="1544" width="16" style="80" customWidth="1"/>
    <col min="1545" max="1546" width="15" style="80" bestFit="1" customWidth="1"/>
    <col min="1547" max="1547" width="16.5546875" style="80" bestFit="1" customWidth="1"/>
    <col min="1548" max="1548" width="12.5546875" style="80" customWidth="1"/>
    <col min="1549" max="1549" width="17.5546875" style="80" bestFit="1" customWidth="1"/>
    <col min="1550" max="1551" width="18.109375" style="80" bestFit="1" customWidth="1"/>
    <col min="1552" max="1552" width="12.88671875" style="80" bestFit="1" customWidth="1"/>
    <col min="1553" max="1554" width="16.5546875" style="80" bestFit="1" customWidth="1"/>
    <col min="1555" max="1556" width="13.109375" style="80" bestFit="1" customWidth="1"/>
    <col min="1557" max="1557" width="15.5546875" style="80" bestFit="1" customWidth="1"/>
    <col min="1558" max="1558" width="13.6640625" style="80" bestFit="1" customWidth="1"/>
    <col min="1559" max="1561" width="12.33203125" style="80" bestFit="1" customWidth="1"/>
    <col min="1562" max="1562" width="17.5546875" style="80" bestFit="1" customWidth="1"/>
    <col min="1563" max="1563" width="12.33203125" style="80" bestFit="1" customWidth="1"/>
    <col min="1564" max="1564" width="13.44140625" style="80" bestFit="1" customWidth="1"/>
    <col min="1565" max="1798" width="9.109375" style="80"/>
    <col min="1799" max="1799" width="33.6640625" style="80" customWidth="1"/>
    <col min="1800" max="1800" width="16" style="80" customWidth="1"/>
    <col min="1801" max="1802" width="15" style="80" bestFit="1" customWidth="1"/>
    <col min="1803" max="1803" width="16.5546875" style="80" bestFit="1" customWidth="1"/>
    <col min="1804" max="1804" width="12.5546875" style="80" customWidth="1"/>
    <col min="1805" max="1805" width="17.5546875" style="80" bestFit="1" customWidth="1"/>
    <col min="1806" max="1807" width="18.109375" style="80" bestFit="1" customWidth="1"/>
    <col min="1808" max="1808" width="12.88671875" style="80" bestFit="1" customWidth="1"/>
    <col min="1809" max="1810" width="16.5546875" style="80" bestFit="1" customWidth="1"/>
    <col min="1811" max="1812" width="13.109375" style="80" bestFit="1" customWidth="1"/>
    <col min="1813" max="1813" width="15.5546875" style="80" bestFit="1" customWidth="1"/>
    <col min="1814" max="1814" width="13.6640625" style="80" bestFit="1" customWidth="1"/>
    <col min="1815" max="1817" width="12.33203125" style="80" bestFit="1" customWidth="1"/>
    <col min="1818" max="1818" width="17.5546875" style="80" bestFit="1" customWidth="1"/>
    <col min="1819" max="1819" width="12.33203125" style="80" bestFit="1" customWidth="1"/>
    <col min="1820" max="1820" width="13.44140625" style="80" bestFit="1" customWidth="1"/>
    <col min="1821" max="2054" width="9.109375" style="80"/>
    <col min="2055" max="2055" width="33.6640625" style="80" customWidth="1"/>
    <col min="2056" max="2056" width="16" style="80" customWidth="1"/>
    <col min="2057" max="2058" width="15" style="80" bestFit="1" customWidth="1"/>
    <col min="2059" max="2059" width="16.5546875" style="80" bestFit="1" customWidth="1"/>
    <col min="2060" max="2060" width="12.5546875" style="80" customWidth="1"/>
    <col min="2061" max="2061" width="17.5546875" style="80" bestFit="1" customWidth="1"/>
    <col min="2062" max="2063" width="18.109375" style="80" bestFit="1" customWidth="1"/>
    <col min="2064" max="2064" width="12.88671875" style="80" bestFit="1" customWidth="1"/>
    <col min="2065" max="2066" width="16.5546875" style="80" bestFit="1" customWidth="1"/>
    <col min="2067" max="2068" width="13.109375" style="80" bestFit="1" customWidth="1"/>
    <col min="2069" max="2069" width="15.5546875" style="80" bestFit="1" customWidth="1"/>
    <col min="2070" max="2070" width="13.6640625" style="80" bestFit="1" customWidth="1"/>
    <col min="2071" max="2073" width="12.33203125" style="80" bestFit="1" customWidth="1"/>
    <col min="2074" max="2074" width="17.5546875" style="80" bestFit="1" customWidth="1"/>
    <col min="2075" max="2075" width="12.33203125" style="80" bestFit="1" customWidth="1"/>
    <col min="2076" max="2076" width="13.44140625" style="80" bestFit="1" customWidth="1"/>
    <col min="2077" max="2310" width="9.109375" style="80"/>
    <col min="2311" max="2311" width="33.6640625" style="80" customWidth="1"/>
    <col min="2312" max="2312" width="16" style="80" customWidth="1"/>
    <col min="2313" max="2314" width="15" style="80" bestFit="1" customWidth="1"/>
    <col min="2315" max="2315" width="16.5546875" style="80" bestFit="1" customWidth="1"/>
    <col min="2316" max="2316" width="12.5546875" style="80" customWidth="1"/>
    <col min="2317" max="2317" width="17.5546875" style="80" bestFit="1" customWidth="1"/>
    <col min="2318" max="2319" width="18.109375" style="80" bestFit="1" customWidth="1"/>
    <col min="2320" max="2320" width="12.88671875" style="80" bestFit="1" customWidth="1"/>
    <col min="2321" max="2322" width="16.5546875" style="80" bestFit="1" customWidth="1"/>
    <col min="2323" max="2324" width="13.109375" style="80" bestFit="1" customWidth="1"/>
    <col min="2325" max="2325" width="15.5546875" style="80" bestFit="1" customWidth="1"/>
    <col min="2326" max="2326" width="13.6640625" style="80" bestFit="1" customWidth="1"/>
    <col min="2327" max="2329" width="12.33203125" style="80" bestFit="1" customWidth="1"/>
    <col min="2330" max="2330" width="17.5546875" style="80" bestFit="1" customWidth="1"/>
    <col min="2331" max="2331" width="12.33203125" style="80" bestFit="1" customWidth="1"/>
    <col min="2332" max="2332" width="13.44140625" style="80" bestFit="1" customWidth="1"/>
    <col min="2333" max="2566" width="9.109375" style="80"/>
    <col min="2567" max="2567" width="33.6640625" style="80" customWidth="1"/>
    <col min="2568" max="2568" width="16" style="80" customWidth="1"/>
    <col min="2569" max="2570" width="15" style="80" bestFit="1" customWidth="1"/>
    <col min="2571" max="2571" width="16.5546875" style="80" bestFit="1" customWidth="1"/>
    <col min="2572" max="2572" width="12.5546875" style="80" customWidth="1"/>
    <col min="2573" max="2573" width="17.5546875" style="80" bestFit="1" customWidth="1"/>
    <col min="2574" max="2575" width="18.109375" style="80" bestFit="1" customWidth="1"/>
    <col min="2576" max="2576" width="12.88671875" style="80" bestFit="1" customWidth="1"/>
    <col min="2577" max="2578" width="16.5546875" style="80" bestFit="1" customWidth="1"/>
    <col min="2579" max="2580" width="13.109375" style="80" bestFit="1" customWidth="1"/>
    <col min="2581" max="2581" width="15.5546875" style="80" bestFit="1" customWidth="1"/>
    <col min="2582" max="2582" width="13.6640625" style="80" bestFit="1" customWidth="1"/>
    <col min="2583" max="2585" width="12.33203125" style="80" bestFit="1" customWidth="1"/>
    <col min="2586" max="2586" width="17.5546875" style="80" bestFit="1" customWidth="1"/>
    <col min="2587" max="2587" width="12.33203125" style="80" bestFit="1" customWidth="1"/>
    <col min="2588" max="2588" width="13.44140625" style="80" bestFit="1" customWidth="1"/>
    <col min="2589" max="2822" width="9.109375" style="80"/>
    <col min="2823" max="2823" width="33.6640625" style="80" customWidth="1"/>
    <col min="2824" max="2824" width="16" style="80" customWidth="1"/>
    <col min="2825" max="2826" width="15" style="80" bestFit="1" customWidth="1"/>
    <col min="2827" max="2827" width="16.5546875" style="80" bestFit="1" customWidth="1"/>
    <col min="2828" max="2828" width="12.5546875" style="80" customWidth="1"/>
    <col min="2829" max="2829" width="17.5546875" style="80" bestFit="1" customWidth="1"/>
    <col min="2830" max="2831" width="18.109375" style="80" bestFit="1" customWidth="1"/>
    <col min="2832" max="2832" width="12.88671875" style="80" bestFit="1" customWidth="1"/>
    <col min="2833" max="2834" width="16.5546875" style="80" bestFit="1" customWidth="1"/>
    <col min="2835" max="2836" width="13.109375" style="80" bestFit="1" customWidth="1"/>
    <col min="2837" max="2837" width="15.5546875" style="80" bestFit="1" customWidth="1"/>
    <col min="2838" max="2838" width="13.6640625" style="80" bestFit="1" customWidth="1"/>
    <col min="2839" max="2841" width="12.33203125" style="80" bestFit="1" customWidth="1"/>
    <col min="2842" max="2842" width="17.5546875" style="80" bestFit="1" customWidth="1"/>
    <col min="2843" max="2843" width="12.33203125" style="80" bestFit="1" customWidth="1"/>
    <col min="2844" max="2844" width="13.44140625" style="80" bestFit="1" customWidth="1"/>
    <col min="2845" max="3078" width="9.109375" style="80"/>
    <col min="3079" max="3079" width="33.6640625" style="80" customWidth="1"/>
    <col min="3080" max="3080" width="16" style="80" customWidth="1"/>
    <col min="3081" max="3082" width="15" style="80" bestFit="1" customWidth="1"/>
    <col min="3083" max="3083" width="16.5546875" style="80" bestFit="1" customWidth="1"/>
    <col min="3084" max="3084" width="12.5546875" style="80" customWidth="1"/>
    <col min="3085" max="3085" width="17.5546875" style="80" bestFit="1" customWidth="1"/>
    <col min="3086" max="3087" width="18.109375" style="80" bestFit="1" customWidth="1"/>
    <col min="3088" max="3088" width="12.88671875" style="80" bestFit="1" customWidth="1"/>
    <col min="3089" max="3090" width="16.5546875" style="80" bestFit="1" customWidth="1"/>
    <col min="3091" max="3092" width="13.109375" style="80" bestFit="1" customWidth="1"/>
    <col min="3093" max="3093" width="15.5546875" style="80" bestFit="1" customWidth="1"/>
    <col min="3094" max="3094" width="13.6640625" style="80" bestFit="1" customWidth="1"/>
    <col min="3095" max="3097" width="12.33203125" style="80" bestFit="1" customWidth="1"/>
    <col min="3098" max="3098" width="17.5546875" style="80" bestFit="1" customWidth="1"/>
    <col min="3099" max="3099" width="12.33203125" style="80" bestFit="1" customWidth="1"/>
    <col min="3100" max="3100" width="13.44140625" style="80" bestFit="1" customWidth="1"/>
    <col min="3101" max="3334" width="9.109375" style="80"/>
    <col min="3335" max="3335" width="33.6640625" style="80" customWidth="1"/>
    <col min="3336" max="3336" width="16" style="80" customWidth="1"/>
    <col min="3337" max="3338" width="15" style="80" bestFit="1" customWidth="1"/>
    <col min="3339" max="3339" width="16.5546875" style="80" bestFit="1" customWidth="1"/>
    <col min="3340" max="3340" width="12.5546875" style="80" customWidth="1"/>
    <col min="3341" max="3341" width="17.5546875" style="80" bestFit="1" customWidth="1"/>
    <col min="3342" max="3343" width="18.109375" style="80" bestFit="1" customWidth="1"/>
    <col min="3344" max="3344" width="12.88671875" style="80" bestFit="1" customWidth="1"/>
    <col min="3345" max="3346" width="16.5546875" style="80" bestFit="1" customWidth="1"/>
    <col min="3347" max="3348" width="13.109375" style="80" bestFit="1" customWidth="1"/>
    <col min="3349" max="3349" width="15.5546875" style="80" bestFit="1" customWidth="1"/>
    <col min="3350" max="3350" width="13.6640625" style="80" bestFit="1" customWidth="1"/>
    <col min="3351" max="3353" width="12.33203125" style="80" bestFit="1" customWidth="1"/>
    <col min="3354" max="3354" width="17.5546875" style="80" bestFit="1" customWidth="1"/>
    <col min="3355" max="3355" width="12.33203125" style="80" bestFit="1" customWidth="1"/>
    <col min="3356" max="3356" width="13.44140625" style="80" bestFit="1" customWidth="1"/>
    <col min="3357" max="3590" width="9.109375" style="80"/>
    <col min="3591" max="3591" width="33.6640625" style="80" customWidth="1"/>
    <col min="3592" max="3592" width="16" style="80" customWidth="1"/>
    <col min="3593" max="3594" width="15" style="80" bestFit="1" customWidth="1"/>
    <col min="3595" max="3595" width="16.5546875" style="80" bestFit="1" customWidth="1"/>
    <col min="3596" max="3596" width="12.5546875" style="80" customWidth="1"/>
    <col min="3597" max="3597" width="17.5546875" style="80" bestFit="1" customWidth="1"/>
    <col min="3598" max="3599" width="18.109375" style="80" bestFit="1" customWidth="1"/>
    <col min="3600" max="3600" width="12.88671875" style="80" bestFit="1" customWidth="1"/>
    <col min="3601" max="3602" width="16.5546875" style="80" bestFit="1" customWidth="1"/>
    <col min="3603" max="3604" width="13.109375" style="80" bestFit="1" customWidth="1"/>
    <col min="3605" max="3605" width="15.5546875" style="80" bestFit="1" customWidth="1"/>
    <col min="3606" max="3606" width="13.6640625" style="80" bestFit="1" customWidth="1"/>
    <col min="3607" max="3609" width="12.33203125" style="80" bestFit="1" customWidth="1"/>
    <col min="3610" max="3610" width="17.5546875" style="80" bestFit="1" customWidth="1"/>
    <col min="3611" max="3611" width="12.33203125" style="80" bestFit="1" customWidth="1"/>
    <col min="3612" max="3612" width="13.44140625" style="80" bestFit="1" customWidth="1"/>
    <col min="3613" max="3846" width="9.109375" style="80"/>
    <col min="3847" max="3847" width="33.6640625" style="80" customWidth="1"/>
    <col min="3848" max="3848" width="16" style="80" customWidth="1"/>
    <col min="3849" max="3850" width="15" style="80" bestFit="1" customWidth="1"/>
    <col min="3851" max="3851" width="16.5546875" style="80" bestFit="1" customWidth="1"/>
    <col min="3852" max="3852" width="12.5546875" style="80" customWidth="1"/>
    <col min="3853" max="3853" width="17.5546875" style="80" bestFit="1" customWidth="1"/>
    <col min="3854" max="3855" width="18.109375" style="80" bestFit="1" customWidth="1"/>
    <col min="3856" max="3856" width="12.88671875" style="80" bestFit="1" customWidth="1"/>
    <col min="3857" max="3858" width="16.5546875" style="80" bestFit="1" customWidth="1"/>
    <col min="3859" max="3860" width="13.109375" style="80" bestFit="1" customWidth="1"/>
    <col min="3861" max="3861" width="15.5546875" style="80" bestFit="1" customWidth="1"/>
    <col min="3862" max="3862" width="13.6640625" style="80" bestFit="1" customWidth="1"/>
    <col min="3863" max="3865" width="12.33203125" style="80" bestFit="1" customWidth="1"/>
    <col min="3866" max="3866" width="17.5546875" style="80" bestFit="1" customWidth="1"/>
    <col min="3867" max="3867" width="12.33203125" style="80" bestFit="1" customWidth="1"/>
    <col min="3868" max="3868" width="13.44140625" style="80" bestFit="1" customWidth="1"/>
    <col min="3869" max="4102" width="9.109375" style="80"/>
    <col min="4103" max="4103" width="33.6640625" style="80" customWidth="1"/>
    <col min="4104" max="4104" width="16" style="80" customWidth="1"/>
    <col min="4105" max="4106" width="15" style="80" bestFit="1" customWidth="1"/>
    <col min="4107" max="4107" width="16.5546875" style="80" bestFit="1" customWidth="1"/>
    <col min="4108" max="4108" width="12.5546875" style="80" customWidth="1"/>
    <col min="4109" max="4109" width="17.5546875" style="80" bestFit="1" customWidth="1"/>
    <col min="4110" max="4111" width="18.109375" style="80" bestFit="1" customWidth="1"/>
    <col min="4112" max="4112" width="12.88671875" style="80" bestFit="1" customWidth="1"/>
    <col min="4113" max="4114" width="16.5546875" style="80" bestFit="1" customWidth="1"/>
    <col min="4115" max="4116" width="13.109375" style="80" bestFit="1" customWidth="1"/>
    <col min="4117" max="4117" width="15.5546875" style="80" bestFit="1" customWidth="1"/>
    <col min="4118" max="4118" width="13.6640625" style="80" bestFit="1" customWidth="1"/>
    <col min="4119" max="4121" width="12.33203125" style="80" bestFit="1" customWidth="1"/>
    <col min="4122" max="4122" width="17.5546875" style="80" bestFit="1" customWidth="1"/>
    <col min="4123" max="4123" width="12.33203125" style="80" bestFit="1" customWidth="1"/>
    <col min="4124" max="4124" width="13.44140625" style="80" bestFit="1" customWidth="1"/>
    <col min="4125" max="4358" width="9.109375" style="80"/>
    <col min="4359" max="4359" width="33.6640625" style="80" customWidth="1"/>
    <col min="4360" max="4360" width="16" style="80" customWidth="1"/>
    <col min="4361" max="4362" width="15" style="80" bestFit="1" customWidth="1"/>
    <col min="4363" max="4363" width="16.5546875" style="80" bestFit="1" customWidth="1"/>
    <col min="4364" max="4364" width="12.5546875" style="80" customWidth="1"/>
    <col min="4365" max="4365" width="17.5546875" style="80" bestFit="1" customWidth="1"/>
    <col min="4366" max="4367" width="18.109375" style="80" bestFit="1" customWidth="1"/>
    <col min="4368" max="4368" width="12.88671875" style="80" bestFit="1" customWidth="1"/>
    <col min="4369" max="4370" width="16.5546875" style="80" bestFit="1" customWidth="1"/>
    <col min="4371" max="4372" width="13.109375" style="80" bestFit="1" customWidth="1"/>
    <col min="4373" max="4373" width="15.5546875" style="80" bestFit="1" customWidth="1"/>
    <col min="4374" max="4374" width="13.6640625" style="80" bestFit="1" customWidth="1"/>
    <col min="4375" max="4377" width="12.33203125" style="80" bestFit="1" customWidth="1"/>
    <col min="4378" max="4378" width="17.5546875" style="80" bestFit="1" customWidth="1"/>
    <col min="4379" max="4379" width="12.33203125" style="80" bestFit="1" customWidth="1"/>
    <col min="4380" max="4380" width="13.44140625" style="80" bestFit="1" customWidth="1"/>
    <col min="4381" max="4614" width="9.109375" style="80"/>
    <col min="4615" max="4615" width="33.6640625" style="80" customWidth="1"/>
    <col min="4616" max="4616" width="16" style="80" customWidth="1"/>
    <col min="4617" max="4618" width="15" style="80" bestFit="1" customWidth="1"/>
    <col min="4619" max="4619" width="16.5546875" style="80" bestFit="1" customWidth="1"/>
    <col min="4620" max="4620" width="12.5546875" style="80" customWidth="1"/>
    <col min="4621" max="4621" width="17.5546875" style="80" bestFit="1" customWidth="1"/>
    <col min="4622" max="4623" width="18.109375" style="80" bestFit="1" customWidth="1"/>
    <col min="4624" max="4624" width="12.88671875" style="80" bestFit="1" customWidth="1"/>
    <col min="4625" max="4626" width="16.5546875" style="80" bestFit="1" customWidth="1"/>
    <col min="4627" max="4628" width="13.109375" style="80" bestFit="1" customWidth="1"/>
    <col min="4629" max="4629" width="15.5546875" style="80" bestFit="1" customWidth="1"/>
    <col min="4630" max="4630" width="13.6640625" style="80" bestFit="1" customWidth="1"/>
    <col min="4631" max="4633" width="12.33203125" style="80" bestFit="1" customWidth="1"/>
    <col min="4634" max="4634" width="17.5546875" style="80" bestFit="1" customWidth="1"/>
    <col min="4635" max="4635" width="12.33203125" style="80" bestFit="1" customWidth="1"/>
    <col min="4636" max="4636" width="13.44140625" style="80" bestFit="1" customWidth="1"/>
    <col min="4637" max="4870" width="9.109375" style="80"/>
    <col min="4871" max="4871" width="33.6640625" style="80" customWidth="1"/>
    <col min="4872" max="4872" width="16" style="80" customWidth="1"/>
    <col min="4873" max="4874" width="15" style="80" bestFit="1" customWidth="1"/>
    <col min="4875" max="4875" width="16.5546875" style="80" bestFit="1" customWidth="1"/>
    <col min="4876" max="4876" width="12.5546875" style="80" customWidth="1"/>
    <col min="4877" max="4877" width="17.5546875" style="80" bestFit="1" customWidth="1"/>
    <col min="4878" max="4879" width="18.109375" style="80" bestFit="1" customWidth="1"/>
    <col min="4880" max="4880" width="12.88671875" style="80" bestFit="1" customWidth="1"/>
    <col min="4881" max="4882" width="16.5546875" style="80" bestFit="1" customWidth="1"/>
    <col min="4883" max="4884" width="13.109375" style="80" bestFit="1" customWidth="1"/>
    <col min="4885" max="4885" width="15.5546875" style="80" bestFit="1" customWidth="1"/>
    <col min="4886" max="4886" width="13.6640625" style="80" bestFit="1" customWidth="1"/>
    <col min="4887" max="4889" width="12.33203125" style="80" bestFit="1" customWidth="1"/>
    <col min="4890" max="4890" width="17.5546875" style="80" bestFit="1" customWidth="1"/>
    <col min="4891" max="4891" width="12.33203125" style="80" bestFit="1" customWidth="1"/>
    <col min="4892" max="4892" width="13.44140625" style="80" bestFit="1" customWidth="1"/>
    <col min="4893" max="5126" width="9.109375" style="80"/>
    <col min="5127" max="5127" width="33.6640625" style="80" customWidth="1"/>
    <col min="5128" max="5128" width="16" style="80" customWidth="1"/>
    <col min="5129" max="5130" width="15" style="80" bestFit="1" customWidth="1"/>
    <col min="5131" max="5131" width="16.5546875" style="80" bestFit="1" customWidth="1"/>
    <col min="5132" max="5132" width="12.5546875" style="80" customWidth="1"/>
    <col min="5133" max="5133" width="17.5546875" style="80" bestFit="1" customWidth="1"/>
    <col min="5134" max="5135" width="18.109375" style="80" bestFit="1" customWidth="1"/>
    <col min="5136" max="5136" width="12.88671875" style="80" bestFit="1" customWidth="1"/>
    <col min="5137" max="5138" width="16.5546875" style="80" bestFit="1" customWidth="1"/>
    <col min="5139" max="5140" width="13.109375" style="80" bestFit="1" customWidth="1"/>
    <col min="5141" max="5141" width="15.5546875" style="80" bestFit="1" customWidth="1"/>
    <col min="5142" max="5142" width="13.6640625" style="80" bestFit="1" customWidth="1"/>
    <col min="5143" max="5145" width="12.33203125" style="80" bestFit="1" customWidth="1"/>
    <col min="5146" max="5146" width="17.5546875" style="80" bestFit="1" customWidth="1"/>
    <col min="5147" max="5147" width="12.33203125" style="80" bestFit="1" customWidth="1"/>
    <col min="5148" max="5148" width="13.44140625" style="80" bestFit="1" customWidth="1"/>
    <col min="5149" max="5382" width="9.109375" style="80"/>
    <col min="5383" max="5383" width="33.6640625" style="80" customWidth="1"/>
    <col min="5384" max="5384" width="16" style="80" customWidth="1"/>
    <col min="5385" max="5386" width="15" style="80" bestFit="1" customWidth="1"/>
    <col min="5387" max="5387" width="16.5546875" style="80" bestFit="1" customWidth="1"/>
    <col min="5388" max="5388" width="12.5546875" style="80" customWidth="1"/>
    <col min="5389" max="5389" width="17.5546875" style="80" bestFit="1" customWidth="1"/>
    <col min="5390" max="5391" width="18.109375" style="80" bestFit="1" customWidth="1"/>
    <col min="5392" max="5392" width="12.88671875" style="80" bestFit="1" customWidth="1"/>
    <col min="5393" max="5394" width="16.5546875" style="80" bestFit="1" customWidth="1"/>
    <col min="5395" max="5396" width="13.109375" style="80" bestFit="1" customWidth="1"/>
    <col min="5397" max="5397" width="15.5546875" style="80" bestFit="1" customWidth="1"/>
    <col min="5398" max="5398" width="13.6640625" style="80" bestFit="1" customWidth="1"/>
    <col min="5399" max="5401" width="12.33203125" style="80" bestFit="1" customWidth="1"/>
    <col min="5402" max="5402" width="17.5546875" style="80" bestFit="1" customWidth="1"/>
    <col min="5403" max="5403" width="12.33203125" style="80" bestFit="1" customWidth="1"/>
    <col min="5404" max="5404" width="13.44140625" style="80" bestFit="1" customWidth="1"/>
    <col min="5405" max="5638" width="9.109375" style="80"/>
    <col min="5639" max="5639" width="33.6640625" style="80" customWidth="1"/>
    <col min="5640" max="5640" width="16" style="80" customWidth="1"/>
    <col min="5641" max="5642" width="15" style="80" bestFit="1" customWidth="1"/>
    <col min="5643" max="5643" width="16.5546875" style="80" bestFit="1" customWidth="1"/>
    <col min="5644" max="5644" width="12.5546875" style="80" customWidth="1"/>
    <col min="5645" max="5645" width="17.5546875" style="80" bestFit="1" customWidth="1"/>
    <col min="5646" max="5647" width="18.109375" style="80" bestFit="1" customWidth="1"/>
    <col min="5648" max="5648" width="12.88671875" style="80" bestFit="1" customWidth="1"/>
    <col min="5649" max="5650" width="16.5546875" style="80" bestFit="1" customWidth="1"/>
    <col min="5651" max="5652" width="13.109375" style="80" bestFit="1" customWidth="1"/>
    <col min="5653" max="5653" width="15.5546875" style="80" bestFit="1" customWidth="1"/>
    <col min="5654" max="5654" width="13.6640625" style="80" bestFit="1" customWidth="1"/>
    <col min="5655" max="5657" width="12.33203125" style="80" bestFit="1" customWidth="1"/>
    <col min="5658" max="5658" width="17.5546875" style="80" bestFit="1" customWidth="1"/>
    <col min="5659" max="5659" width="12.33203125" style="80" bestFit="1" customWidth="1"/>
    <col min="5660" max="5660" width="13.44140625" style="80" bestFit="1" customWidth="1"/>
    <col min="5661" max="5894" width="9.109375" style="80"/>
    <col min="5895" max="5895" width="33.6640625" style="80" customWidth="1"/>
    <col min="5896" max="5896" width="16" style="80" customWidth="1"/>
    <col min="5897" max="5898" width="15" style="80" bestFit="1" customWidth="1"/>
    <col min="5899" max="5899" width="16.5546875" style="80" bestFit="1" customWidth="1"/>
    <col min="5900" max="5900" width="12.5546875" style="80" customWidth="1"/>
    <col min="5901" max="5901" width="17.5546875" style="80" bestFit="1" customWidth="1"/>
    <col min="5902" max="5903" width="18.109375" style="80" bestFit="1" customWidth="1"/>
    <col min="5904" max="5904" width="12.88671875" style="80" bestFit="1" customWidth="1"/>
    <col min="5905" max="5906" width="16.5546875" style="80" bestFit="1" customWidth="1"/>
    <col min="5907" max="5908" width="13.109375" style="80" bestFit="1" customWidth="1"/>
    <col min="5909" max="5909" width="15.5546875" style="80" bestFit="1" customWidth="1"/>
    <col min="5910" max="5910" width="13.6640625" style="80" bestFit="1" customWidth="1"/>
    <col min="5911" max="5913" width="12.33203125" style="80" bestFit="1" customWidth="1"/>
    <col min="5914" max="5914" width="17.5546875" style="80" bestFit="1" customWidth="1"/>
    <col min="5915" max="5915" width="12.33203125" style="80" bestFit="1" customWidth="1"/>
    <col min="5916" max="5916" width="13.44140625" style="80" bestFit="1" customWidth="1"/>
    <col min="5917" max="6150" width="9.109375" style="80"/>
    <col min="6151" max="6151" width="33.6640625" style="80" customWidth="1"/>
    <col min="6152" max="6152" width="16" style="80" customWidth="1"/>
    <col min="6153" max="6154" width="15" style="80" bestFit="1" customWidth="1"/>
    <col min="6155" max="6155" width="16.5546875" style="80" bestFit="1" customWidth="1"/>
    <col min="6156" max="6156" width="12.5546875" style="80" customWidth="1"/>
    <col min="6157" max="6157" width="17.5546875" style="80" bestFit="1" customWidth="1"/>
    <col min="6158" max="6159" width="18.109375" style="80" bestFit="1" customWidth="1"/>
    <col min="6160" max="6160" width="12.88671875" style="80" bestFit="1" customWidth="1"/>
    <col min="6161" max="6162" width="16.5546875" style="80" bestFit="1" customWidth="1"/>
    <col min="6163" max="6164" width="13.109375" style="80" bestFit="1" customWidth="1"/>
    <col min="6165" max="6165" width="15.5546875" style="80" bestFit="1" customWidth="1"/>
    <col min="6166" max="6166" width="13.6640625" style="80" bestFit="1" customWidth="1"/>
    <col min="6167" max="6169" width="12.33203125" style="80" bestFit="1" customWidth="1"/>
    <col min="6170" max="6170" width="17.5546875" style="80" bestFit="1" customWidth="1"/>
    <col min="6171" max="6171" width="12.33203125" style="80" bestFit="1" customWidth="1"/>
    <col min="6172" max="6172" width="13.44140625" style="80" bestFit="1" customWidth="1"/>
    <col min="6173" max="6406" width="9.109375" style="80"/>
    <col min="6407" max="6407" width="33.6640625" style="80" customWidth="1"/>
    <col min="6408" max="6408" width="16" style="80" customWidth="1"/>
    <col min="6409" max="6410" width="15" style="80" bestFit="1" customWidth="1"/>
    <col min="6411" max="6411" width="16.5546875" style="80" bestFit="1" customWidth="1"/>
    <col min="6412" max="6412" width="12.5546875" style="80" customWidth="1"/>
    <col min="6413" max="6413" width="17.5546875" style="80" bestFit="1" customWidth="1"/>
    <col min="6414" max="6415" width="18.109375" style="80" bestFit="1" customWidth="1"/>
    <col min="6416" max="6416" width="12.88671875" style="80" bestFit="1" customWidth="1"/>
    <col min="6417" max="6418" width="16.5546875" style="80" bestFit="1" customWidth="1"/>
    <col min="6419" max="6420" width="13.109375" style="80" bestFit="1" customWidth="1"/>
    <col min="6421" max="6421" width="15.5546875" style="80" bestFit="1" customWidth="1"/>
    <col min="6422" max="6422" width="13.6640625" style="80" bestFit="1" customWidth="1"/>
    <col min="6423" max="6425" width="12.33203125" style="80" bestFit="1" customWidth="1"/>
    <col min="6426" max="6426" width="17.5546875" style="80" bestFit="1" customWidth="1"/>
    <col min="6427" max="6427" width="12.33203125" style="80" bestFit="1" customWidth="1"/>
    <col min="6428" max="6428" width="13.44140625" style="80" bestFit="1" customWidth="1"/>
    <col min="6429" max="6662" width="9.109375" style="80"/>
    <col min="6663" max="6663" width="33.6640625" style="80" customWidth="1"/>
    <col min="6664" max="6664" width="16" style="80" customWidth="1"/>
    <col min="6665" max="6666" width="15" style="80" bestFit="1" customWidth="1"/>
    <col min="6667" max="6667" width="16.5546875" style="80" bestFit="1" customWidth="1"/>
    <col min="6668" max="6668" width="12.5546875" style="80" customWidth="1"/>
    <col min="6669" max="6669" width="17.5546875" style="80" bestFit="1" customWidth="1"/>
    <col min="6670" max="6671" width="18.109375" style="80" bestFit="1" customWidth="1"/>
    <col min="6672" max="6672" width="12.88671875" style="80" bestFit="1" customWidth="1"/>
    <col min="6673" max="6674" width="16.5546875" style="80" bestFit="1" customWidth="1"/>
    <col min="6675" max="6676" width="13.109375" style="80" bestFit="1" customWidth="1"/>
    <col min="6677" max="6677" width="15.5546875" style="80" bestFit="1" customWidth="1"/>
    <col min="6678" max="6678" width="13.6640625" style="80" bestFit="1" customWidth="1"/>
    <col min="6679" max="6681" width="12.33203125" style="80" bestFit="1" customWidth="1"/>
    <col min="6682" max="6682" width="17.5546875" style="80" bestFit="1" customWidth="1"/>
    <col min="6683" max="6683" width="12.33203125" style="80" bestFit="1" customWidth="1"/>
    <col min="6684" max="6684" width="13.44140625" style="80" bestFit="1" customWidth="1"/>
    <col min="6685" max="6918" width="9.109375" style="80"/>
    <col min="6919" max="6919" width="33.6640625" style="80" customWidth="1"/>
    <col min="6920" max="6920" width="16" style="80" customWidth="1"/>
    <col min="6921" max="6922" width="15" style="80" bestFit="1" customWidth="1"/>
    <col min="6923" max="6923" width="16.5546875" style="80" bestFit="1" customWidth="1"/>
    <col min="6924" max="6924" width="12.5546875" style="80" customWidth="1"/>
    <col min="6925" max="6925" width="17.5546875" style="80" bestFit="1" customWidth="1"/>
    <col min="6926" max="6927" width="18.109375" style="80" bestFit="1" customWidth="1"/>
    <col min="6928" max="6928" width="12.88671875" style="80" bestFit="1" customWidth="1"/>
    <col min="6929" max="6930" width="16.5546875" style="80" bestFit="1" customWidth="1"/>
    <col min="6931" max="6932" width="13.109375" style="80" bestFit="1" customWidth="1"/>
    <col min="6933" max="6933" width="15.5546875" style="80" bestFit="1" customWidth="1"/>
    <col min="6934" max="6934" width="13.6640625" style="80" bestFit="1" customWidth="1"/>
    <col min="6935" max="6937" width="12.33203125" style="80" bestFit="1" customWidth="1"/>
    <col min="6938" max="6938" width="17.5546875" style="80" bestFit="1" customWidth="1"/>
    <col min="6939" max="6939" width="12.33203125" style="80" bestFit="1" customWidth="1"/>
    <col min="6940" max="6940" width="13.44140625" style="80" bestFit="1" customWidth="1"/>
    <col min="6941" max="7174" width="9.109375" style="80"/>
    <col min="7175" max="7175" width="33.6640625" style="80" customWidth="1"/>
    <col min="7176" max="7176" width="16" style="80" customWidth="1"/>
    <col min="7177" max="7178" width="15" style="80" bestFit="1" customWidth="1"/>
    <col min="7179" max="7179" width="16.5546875" style="80" bestFit="1" customWidth="1"/>
    <col min="7180" max="7180" width="12.5546875" style="80" customWidth="1"/>
    <col min="7181" max="7181" width="17.5546875" style="80" bestFit="1" customWidth="1"/>
    <col min="7182" max="7183" width="18.109375" style="80" bestFit="1" customWidth="1"/>
    <col min="7184" max="7184" width="12.88671875" style="80" bestFit="1" customWidth="1"/>
    <col min="7185" max="7186" width="16.5546875" style="80" bestFit="1" customWidth="1"/>
    <col min="7187" max="7188" width="13.109375" style="80" bestFit="1" customWidth="1"/>
    <col min="7189" max="7189" width="15.5546875" style="80" bestFit="1" customWidth="1"/>
    <col min="7190" max="7190" width="13.6640625" style="80" bestFit="1" customWidth="1"/>
    <col min="7191" max="7193" width="12.33203125" style="80" bestFit="1" customWidth="1"/>
    <col min="7194" max="7194" width="17.5546875" style="80" bestFit="1" customWidth="1"/>
    <col min="7195" max="7195" width="12.33203125" style="80" bestFit="1" customWidth="1"/>
    <col min="7196" max="7196" width="13.44140625" style="80" bestFit="1" customWidth="1"/>
    <col min="7197" max="7430" width="9.109375" style="80"/>
    <col min="7431" max="7431" width="33.6640625" style="80" customWidth="1"/>
    <col min="7432" max="7432" width="16" style="80" customWidth="1"/>
    <col min="7433" max="7434" width="15" style="80" bestFit="1" customWidth="1"/>
    <col min="7435" max="7435" width="16.5546875" style="80" bestFit="1" customWidth="1"/>
    <col min="7436" max="7436" width="12.5546875" style="80" customWidth="1"/>
    <col min="7437" max="7437" width="17.5546875" style="80" bestFit="1" customWidth="1"/>
    <col min="7438" max="7439" width="18.109375" style="80" bestFit="1" customWidth="1"/>
    <col min="7440" max="7440" width="12.88671875" style="80" bestFit="1" customWidth="1"/>
    <col min="7441" max="7442" width="16.5546875" style="80" bestFit="1" customWidth="1"/>
    <col min="7443" max="7444" width="13.109375" style="80" bestFit="1" customWidth="1"/>
    <col min="7445" max="7445" width="15.5546875" style="80" bestFit="1" customWidth="1"/>
    <col min="7446" max="7446" width="13.6640625" style="80" bestFit="1" customWidth="1"/>
    <col min="7447" max="7449" width="12.33203125" style="80" bestFit="1" customWidth="1"/>
    <col min="7450" max="7450" width="17.5546875" style="80" bestFit="1" customWidth="1"/>
    <col min="7451" max="7451" width="12.33203125" style="80" bestFit="1" customWidth="1"/>
    <col min="7452" max="7452" width="13.44140625" style="80" bestFit="1" customWidth="1"/>
    <col min="7453" max="7686" width="9.109375" style="80"/>
    <col min="7687" max="7687" width="33.6640625" style="80" customWidth="1"/>
    <col min="7688" max="7688" width="16" style="80" customWidth="1"/>
    <col min="7689" max="7690" width="15" style="80" bestFit="1" customWidth="1"/>
    <col min="7691" max="7691" width="16.5546875" style="80" bestFit="1" customWidth="1"/>
    <col min="7692" max="7692" width="12.5546875" style="80" customWidth="1"/>
    <col min="7693" max="7693" width="17.5546875" style="80" bestFit="1" customWidth="1"/>
    <col min="7694" max="7695" width="18.109375" style="80" bestFit="1" customWidth="1"/>
    <col min="7696" max="7696" width="12.88671875" style="80" bestFit="1" customWidth="1"/>
    <col min="7697" max="7698" width="16.5546875" style="80" bestFit="1" customWidth="1"/>
    <col min="7699" max="7700" width="13.109375" style="80" bestFit="1" customWidth="1"/>
    <col min="7701" max="7701" width="15.5546875" style="80" bestFit="1" customWidth="1"/>
    <col min="7702" max="7702" width="13.6640625" style="80" bestFit="1" customWidth="1"/>
    <col min="7703" max="7705" width="12.33203125" style="80" bestFit="1" customWidth="1"/>
    <col min="7706" max="7706" width="17.5546875" style="80" bestFit="1" customWidth="1"/>
    <col min="7707" max="7707" width="12.33203125" style="80" bestFit="1" customWidth="1"/>
    <col min="7708" max="7708" width="13.44140625" style="80" bestFit="1" customWidth="1"/>
    <col min="7709" max="7942" width="9.109375" style="80"/>
    <col min="7943" max="7943" width="33.6640625" style="80" customWidth="1"/>
    <col min="7944" max="7944" width="16" style="80" customWidth="1"/>
    <col min="7945" max="7946" width="15" style="80" bestFit="1" customWidth="1"/>
    <col min="7947" max="7947" width="16.5546875" style="80" bestFit="1" customWidth="1"/>
    <col min="7948" max="7948" width="12.5546875" style="80" customWidth="1"/>
    <col min="7949" max="7949" width="17.5546875" style="80" bestFit="1" customWidth="1"/>
    <col min="7950" max="7951" width="18.109375" style="80" bestFit="1" customWidth="1"/>
    <col min="7952" max="7952" width="12.88671875" style="80" bestFit="1" customWidth="1"/>
    <col min="7953" max="7954" width="16.5546875" style="80" bestFit="1" customWidth="1"/>
    <col min="7955" max="7956" width="13.109375" style="80" bestFit="1" customWidth="1"/>
    <col min="7957" max="7957" width="15.5546875" style="80" bestFit="1" customWidth="1"/>
    <col min="7958" max="7958" width="13.6640625" style="80" bestFit="1" customWidth="1"/>
    <col min="7959" max="7961" width="12.33203125" style="80" bestFit="1" customWidth="1"/>
    <col min="7962" max="7962" width="17.5546875" style="80" bestFit="1" customWidth="1"/>
    <col min="7963" max="7963" width="12.33203125" style="80" bestFit="1" customWidth="1"/>
    <col min="7964" max="7964" width="13.44140625" style="80" bestFit="1" customWidth="1"/>
    <col min="7965" max="8198" width="9.109375" style="80"/>
    <col min="8199" max="8199" width="33.6640625" style="80" customWidth="1"/>
    <col min="8200" max="8200" width="16" style="80" customWidth="1"/>
    <col min="8201" max="8202" width="15" style="80" bestFit="1" customWidth="1"/>
    <col min="8203" max="8203" width="16.5546875" style="80" bestFit="1" customWidth="1"/>
    <col min="8204" max="8204" width="12.5546875" style="80" customWidth="1"/>
    <col min="8205" max="8205" width="17.5546875" style="80" bestFit="1" customWidth="1"/>
    <col min="8206" max="8207" width="18.109375" style="80" bestFit="1" customWidth="1"/>
    <col min="8208" max="8208" width="12.88671875" style="80" bestFit="1" customWidth="1"/>
    <col min="8209" max="8210" width="16.5546875" style="80" bestFit="1" customWidth="1"/>
    <col min="8211" max="8212" width="13.109375" style="80" bestFit="1" customWidth="1"/>
    <col min="8213" max="8213" width="15.5546875" style="80" bestFit="1" customWidth="1"/>
    <col min="8214" max="8214" width="13.6640625" style="80" bestFit="1" customWidth="1"/>
    <col min="8215" max="8217" width="12.33203125" style="80" bestFit="1" customWidth="1"/>
    <col min="8218" max="8218" width="17.5546875" style="80" bestFit="1" customWidth="1"/>
    <col min="8219" max="8219" width="12.33203125" style="80" bestFit="1" customWidth="1"/>
    <col min="8220" max="8220" width="13.44140625" style="80" bestFit="1" customWidth="1"/>
    <col min="8221" max="8454" width="9.109375" style="80"/>
    <col min="8455" max="8455" width="33.6640625" style="80" customWidth="1"/>
    <col min="8456" max="8456" width="16" style="80" customWidth="1"/>
    <col min="8457" max="8458" width="15" style="80" bestFit="1" customWidth="1"/>
    <col min="8459" max="8459" width="16.5546875" style="80" bestFit="1" customWidth="1"/>
    <col min="8460" max="8460" width="12.5546875" style="80" customWidth="1"/>
    <col min="8461" max="8461" width="17.5546875" style="80" bestFit="1" customWidth="1"/>
    <col min="8462" max="8463" width="18.109375" style="80" bestFit="1" customWidth="1"/>
    <col min="8464" max="8464" width="12.88671875" style="80" bestFit="1" customWidth="1"/>
    <col min="8465" max="8466" width="16.5546875" style="80" bestFit="1" customWidth="1"/>
    <col min="8467" max="8468" width="13.109375" style="80" bestFit="1" customWidth="1"/>
    <col min="8469" max="8469" width="15.5546875" style="80" bestFit="1" customWidth="1"/>
    <col min="8470" max="8470" width="13.6640625" style="80" bestFit="1" customWidth="1"/>
    <col min="8471" max="8473" width="12.33203125" style="80" bestFit="1" customWidth="1"/>
    <col min="8474" max="8474" width="17.5546875" style="80" bestFit="1" customWidth="1"/>
    <col min="8475" max="8475" width="12.33203125" style="80" bestFit="1" customWidth="1"/>
    <col min="8476" max="8476" width="13.44140625" style="80" bestFit="1" customWidth="1"/>
    <col min="8477" max="8710" width="9.109375" style="80"/>
    <col min="8711" max="8711" width="33.6640625" style="80" customWidth="1"/>
    <col min="8712" max="8712" width="16" style="80" customWidth="1"/>
    <col min="8713" max="8714" width="15" style="80" bestFit="1" customWidth="1"/>
    <col min="8715" max="8715" width="16.5546875" style="80" bestFit="1" customWidth="1"/>
    <col min="8716" max="8716" width="12.5546875" style="80" customWidth="1"/>
    <col min="8717" max="8717" width="17.5546875" style="80" bestFit="1" customWidth="1"/>
    <col min="8718" max="8719" width="18.109375" style="80" bestFit="1" customWidth="1"/>
    <col min="8720" max="8720" width="12.88671875" style="80" bestFit="1" customWidth="1"/>
    <col min="8721" max="8722" width="16.5546875" style="80" bestFit="1" customWidth="1"/>
    <col min="8723" max="8724" width="13.109375" style="80" bestFit="1" customWidth="1"/>
    <col min="8725" max="8725" width="15.5546875" style="80" bestFit="1" customWidth="1"/>
    <col min="8726" max="8726" width="13.6640625" style="80" bestFit="1" customWidth="1"/>
    <col min="8727" max="8729" width="12.33203125" style="80" bestFit="1" customWidth="1"/>
    <col min="8730" max="8730" width="17.5546875" style="80" bestFit="1" customWidth="1"/>
    <col min="8731" max="8731" width="12.33203125" style="80" bestFit="1" customWidth="1"/>
    <col min="8732" max="8732" width="13.44140625" style="80" bestFit="1" customWidth="1"/>
    <col min="8733" max="8966" width="9.109375" style="80"/>
    <col min="8967" max="8967" width="33.6640625" style="80" customWidth="1"/>
    <col min="8968" max="8968" width="16" style="80" customWidth="1"/>
    <col min="8969" max="8970" width="15" style="80" bestFit="1" customWidth="1"/>
    <col min="8971" max="8971" width="16.5546875" style="80" bestFit="1" customWidth="1"/>
    <col min="8972" max="8972" width="12.5546875" style="80" customWidth="1"/>
    <col min="8973" max="8973" width="17.5546875" style="80" bestFit="1" customWidth="1"/>
    <col min="8974" max="8975" width="18.109375" style="80" bestFit="1" customWidth="1"/>
    <col min="8976" max="8976" width="12.88671875" style="80" bestFit="1" customWidth="1"/>
    <col min="8977" max="8978" width="16.5546875" style="80" bestFit="1" customWidth="1"/>
    <col min="8979" max="8980" width="13.109375" style="80" bestFit="1" customWidth="1"/>
    <col min="8981" max="8981" width="15.5546875" style="80" bestFit="1" customWidth="1"/>
    <col min="8982" max="8982" width="13.6640625" style="80" bestFit="1" customWidth="1"/>
    <col min="8983" max="8985" width="12.33203125" style="80" bestFit="1" customWidth="1"/>
    <col min="8986" max="8986" width="17.5546875" style="80" bestFit="1" customWidth="1"/>
    <col min="8987" max="8987" width="12.33203125" style="80" bestFit="1" customWidth="1"/>
    <col min="8988" max="8988" width="13.44140625" style="80" bestFit="1" customWidth="1"/>
    <col min="8989" max="9222" width="9.109375" style="80"/>
    <col min="9223" max="9223" width="33.6640625" style="80" customWidth="1"/>
    <col min="9224" max="9224" width="16" style="80" customWidth="1"/>
    <col min="9225" max="9226" width="15" style="80" bestFit="1" customWidth="1"/>
    <col min="9227" max="9227" width="16.5546875" style="80" bestFit="1" customWidth="1"/>
    <col min="9228" max="9228" width="12.5546875" style="80" customWidth="1"/>
    <col min="9229" max="9229" width="17.5546875" style="80" bestFit="1" customWidth="1"/>
    <col min="9230" max="9231" width="18.109375" style="80" bestFit="1" customWidth="1"/>
    <col min="9232" max="9232" width="12.88671875" style="80" bestFit="1" customWidth="1"/>
    <col min="9233" max="9234" width="16.5546875" style="80" bestFit="1" customWidth="1"/>
    <col min="9235" max="9236" width="13.109375" style="80" bestFit="1" customWidth="1"/>
    <col min="9237" max="9237" width="15.5546875" style="80" bestFit="1" customWidth="1"/>
    <col min="9238" max="9238" width="13.6640625" style="80" bestFit="1" customWidth="1"/>
    <col min="9239" max="9241" width="12.33203125" style="80" bestFit="1" customWidth="1"/>
    <col min="9242" max="9242" width="17.5546875" style="80" bestFit="1" customWidth="1"/>
    <col min="9243" max="9243" width="12.33203125" style="80" bestFit="1" customWidth="1"/>
    <col min="9244" max="9244" width="13.44140625" style="80" bestFit="1" customWidth="1"/>
    <col min="9245" max="9478" width="9.109375" style="80"/>
    <col min="9479" max="9479" width="33.6640625" style="80" customWidth="1"/>
    <col min="9480" max="9480" width="16" style="80" customWidth="1"/>
    <col min="9481" max="9482" width="15" style="80" bestFit="1" customWidth="1"/>
    <col min="9483" max="9483" width="16.5546875" style="80" bestFit="1" customWidth="1"/>
    <col min="9484" max="9484" width="12.5546875" style="80" customWidth="1"/>
    <col min="9485" max="9485" width="17.5546875" style="80" bestFit="1" customWidth="1"/>
    <col min="9486" max="9487" width="18.109375" style="80" bestFit="1" customWidth="1"/>
    <col min="9488" max="9488" width="12.88671875" style="80" bestFit="1" customWidth="1"/>
    <col min="9489" max="9490" width="16.5546875" style="80" bestFit="1" customWidth="1"/>
    <col min="9491" max="9492" width="13.109375" style="80" bestFit="1" customWidth="1"/>
    <col min="9493" max="9493" width="15.5546875" style="80" bestFit="1" customWidth="1"/>
    <col min="9494" max="9494" width="13.6640625" style="80" bestFit="1" customWidth="1"/>
    <col min="9495" max="9497" width="12.33203125" style="80" bestFit="1" customWidth="1"/>
    <col min="9498" max="9498" width="17.5546875" style="80" bestFit="1" customWidth="1"/>
    <col min="9499" max="9499" width="12.33203125" style="80" bestFit="1" customWidth="1"/>
    <col min="9500" max="9500" width="13.44140625" style="80" bestFit="1" customWidth="1"/>
    <col min="9501" max="9734" width="9.109375" style="80"/>
    <col min="9735" max="9735" width="33.6640625" style="80" customWidth="1"/>
    <col min="9736" max="9736" width="16" style="80" customWidth="1"/>
    <col min="9737" max="9738" width="15" style="80" bestFit="1" customWidth="1"/>
    <col min="9739" max="9739" width="16.5546875" style="80" bestFit="1" customWidth="1"/>
    <col min="9740" max="9740" width="12.5546875" style="80" customWidth="1"/>
    <col min="9741" max="9741" width="17.5546875" style="80" bestFit="1" customWidth="1"/>
    <col min="9742" max="9743" width="18.109375" style="80" bestFit="1" customWidth="1"/>
    <col min="9744" max="9744" width="12.88671875" style="80" bestFit="1" customWidth="1"/>
    <col min="9745" max="9746" width="16.5546875" style="80" bestFit="1" customWidth="1"/>
    <col min="9747" max="9748" width="13.109375" style="80" bestFit="1" customWidth="1"/>
    <col min="9749" max="9749" width="15.5546875" style="80" bestFit="1" customWidth="1"/>
    <col min="9750" max="9750" width="13.6640625" style="80" bestFit="1" customWidth="1"/>
    <col min="9751" max="9753" width="12.33203125" style="80" bestFit="1" customWidth="1"/>
    <col min="9754" max="9754" width="17.5546875" style="80" bestFit="1" customWidth="1"/>
    <col min="9755" max="9755" width="12.33203125" style="80" bestFit="1" customWidth="1"/>
    <col min="9756" max="9756" width="13.44140625" style="80" bestFit="1" customWidth="1"/>
    <col min="9757" max="9990" width="9.109375" style="80"/>
    <col min="9991" max="9991" width="33.6640625" style="80" customWidth="1"/>
    <col min="9992" max="9992" width="16" style="80" customWidth="1"/>
    <col min="9993" max="9994" width="15" style="80" bestFit="1" customWidth="1"/>
    <col min="9995" max="9995" width="16.5546875" style="80" bestFit="1" customWidth="1"/>
    <col min="9996" max="9996" width="12.5546875" style="80" customWidth="1"/>
    <col min="9997" max="9997" width="17.5546875" style="80" bestFit="1" customWidth="1"/>
    <col min="9998" max="9999" width="18.109375" style="80" bestFit="1" customWidth="1"/>
    <col min="10000" max="10000" width="12.88671875" style="80" bestFit="1" customWidth="1"/>
    <col min="10001" max="10002" width="16.5546875" style="80" bestFit="1" customWidth="1"/>
    <col min="10003" max="10004" width="13.109375" style="80" bestFit="1" customWidth="1"/>
    <col min="10005" max="10005" width="15.5546875" style="80" bestFit="1" customWidth="1"/>
    <col min="10006" max="10006" width="13.6640625" style="80" bestFit="1" customWidth="1"/>
    <col min="10007" max="10009" width="12.33203125" style="80" bestFit="1" customWidth="1"/>
    <col min="10010" max="10010" width="17.5546875" style="80" bestFit="1" customWidth="1"/>
    <col min="10011" max="10011" width="12.33203125" style="80" bestFit="1" customWidth="1"/>
    <col min="10012" max="10012" width="13.44140625" style="80" bestFit="1" customWidth="1"/>
    <col min="10013" max="10246" width="9.109375" style="80"/>
    <col min="10247" max="10247" width="33.6640625" style="80" customWidth="1"/>
    <col min="10248" max="10248" width="16" style="80" customWidth="1"/>
    <col min="10249" max="10250" width="15" style="80" bestFit="1" customWidth="1"/>
    <col min="10251" max="10251" width="16.5546875" style="80" bestFit="1" customWidth="1"/>
    <col min="10252" max="10252" width="12.5546875" style="80" customWidth="1"/>
    <col min="10253" max="10253" width="17.5546875" style="80" bestFit="1" customWidth="1"/>
    <col min="10254" max="10255" width="18.109375" style="80" bestFit="1" customWidth="1"/>
    <col min="10256" max="10256" width="12.88671875" style="80" bestFit="1" customWidth="1"/>
    <col min="10257" max="10258" width="16.5546875" style="80" bestFit="1" customWidth="1"/>
    <col min="10259" max="10260" width="13.109375" style="80" bestFit="1" customWidth="1"/>
    <col min="10261" max="10261" width="15.5546875" style="80" bestFit="1" customWidth="1"/>
    <col min="10262" max="10262" width="13.6640625" style="80" bestFit="1" customWidth="1"/>
    <col min="10263" max="10265" width="12.33203125" style="80" bestFit="1" customWidth="1"/>
    <col min="10266" max="10266" width="17.5546875" style="80" bestFit="1" customWidth="1"/>
    <col min="10267" max="10267" width="12.33203125" style="80" bestFit="1" customWidth="1"/>
    <col min="10268" max="10268" width="13.44140625" style="80" bestFit="1" customWidth="1"/>
    <col min="10269" max="10502" width="9.109375" style="80"/>
    <col min="10503" max="10503" width="33.6640625" style="80" customWidth="1"/>
    <col min="10504" max="10504" width="16" style="80" customWidth="1"/>
    <col min="10505" max="10506" width="15" style="80" bestFit="1" customWidth="1"/>
    <col min="10507" max="10507" width="16.5546875" style="80" bestFit="1" customWidth="1"/>
    <col min="10508" max="10508" width="12.5546875" style="80" customWidth="1"/>
    <col min="10509" max="10509" width="17.5546875" style="80" bestFit="1" customWidth="1"/>
    <col min="10510" max="10511" width="18.109375" style="80" bestFit="1" customWidth="1"/>
    <col min="10512" max="10512" width="12.88671875" style="80" bestFit="1" customWidth="1"/>
    <col min="10513" max="10514" width="16.5546875" style="80" bestFit="1" customWidth="1"/>
    <col min="10515" max="10516" width="13.109375" style="80" bestFit="1" customWidth="1"/>
    <col min="10517" max="10517" width="15.5546875" style="80" bestFit="1" customWidth="1"/>
    <col min="10518" max="10518" width="13.6640625" style="80" bestFit="1" customWidth="1"/>
    <col min="10519" max="10521" width="12.33203125" style="80" bestFit="1" customWidth="1"/>
    <col min="10522" max="10522" width="17.5546875" style="80" bestFit="1" customWidth="1"/>
    <col min="10523" max="10523" width="12.33203125" style="80" bestFit="1" customWidth="1"/>
    <col min="10524" max="10524" width="13.44140625" style="80" bestFit="1" customWidth="1"/>
    <col min="10525" max="10758" width="9.109375" style="80"/>
    <col min="10759" max="10759" width="33.6640625" style="80" customWidth="1"/>
    <col min="10760" max="10760" width="16" style="80" customWidth="1"/>
    <col min="10761" max="10762" width="15" style="80" bestFit="1" customWidth="1"/>
    <col min="10763" max="10763" width="16.5546875" style="80" bestFit="1" customWidth="1"/>
    <col min="10764" max="10764" width="12.5546875" style="80" customWidth="1"/>
    <col min="10765" max="10765" width="17.5546875" style="80" bestFit="1" customWidth="1"/>
    <col min="10766" max="10767" width="18.109375" style="80" bestFit="1" customWidth="1"/>
    <col min="10768" max="10768" width="12.88671875" style="80" bestFit="1" customWidth="1"/>
    <col min="10769" max="10770" width="16.5546875" style="80" bestFit="1" customWidth="1"/>
    <col min="10771" max="10772" width="13.109375" style="80" bestFit="1" customWidth="1"/>
    <col min="10773" max="10773" width="15.5546875" style="80" bestFit="1" customWidth="1"/>
    <col min="10774" max="10774" width="13.6640625" style="80" bestFit="1" customWidth="1"/>
    <col min="10775" max="10777" width="12.33203125" style="80" bestFit="1" customWidth="1"/>
    <col min="10778" max="10778" width="17.5546875" style="80" bestFit="1" customWidth="1"/>
    <col min="10779" max="10779" width="12.33203125" style="80" bestFit="1" customWidth="1"/>
    <col min="10780" max="10780" width="13.44140625" style="80" bestFit="1" customWidth="1"/>
    <col min="10781" max="11014" width="9.109375" style="80"/>
    <col min="11015" max="11015" width="33.6640625" style="80" customWidth="1"/>
    <col min="11016" max="11016" width="16" style="80" customWidth="1"/>
    <col min="11017" max="11018" width="15" style="80" bestFit="1" customWidth="1"/>
    <col min="11019" max="11019" width="16.5546875" style="80" bestFit="1" customWidth="1"/>
    <col min="11020" max="11020" width="12.5546875" style="80" customWidth="1"/>
    <col min="11021" max="11021" width="17.5546875" style="80" bestFit="1" customWidth="1"/>
    <col min="11022" max="11023" width="18.109375" style="80" bestFit="1" customWidth="1"/>
    <col min="11024" max="11024" width="12.88671875" style="80" bestFit="1" customWidth="1"/>
    <col min="11025" max="11026" width="16.5546875" style="80" bestFit="1" customWidth="1"/>
    <col min="11027" max="11028" width="13.109375" style="80" bestFit="1" customWidth="1"/>
    <col min="11029" max="11029" width="15.5546875" style="80" bestFit="1" customWidth="1"/>
    <col min="11030" max="11030" width="13.6640625" style="80" bestFit="1" customWidth="1"/>
    <col min="11031" max="11033" width="12.33203125" style="80" bestFit="1" customWidth="1"/>
    <col min="11034" max="11034" width="17.5546875" style="80" bestFit="1" customWidth="1"/>
    <col min="11035" max="11035" width="12.33203125" style="80" bestFit="1" customWidth="1"/>
    <col min="11036" max="11036" width="13.44140625" style="80" bestFit="1" customWidth="1"/>
    <col min="11037" max="11270" width="9.109375" style="80"/>
    <col min="11271" max="11271" width="33.6640625" style="80" customWidth="1"/>
    <col min="11272" max="11272" width="16" style="80" customWidth="1"/>
    <col min="11273" max="11274" width="15" style="80" bestFit="1" customWidth="1"/>
    <col min="11275" max="11275" width="16.5546875" style="80" bestFit="1" customWidth="1"/>
    <col min="11276" max="11276" width="12.5546875" style="80" customWidth="1"/>
    <col min="11277" max="11277" width="17.5546875" style="80" bestFit="1" customWidth="1"/>
    <col min="11278" max="11279" width="18.109375" style="80" bestFit="1" customWidth="1"/>
    <col min="11280" max="11280" width="12.88671875" style="80" bestFit="1" customWidth="1"/>
    <col min="11281" max="11282" width="16.5546875" style="80" bestFit="1" customWidth="1"/>
    <col min="11283" max="11284" width="13.109375" style="80" bestFit="1" customWidth="1"/>
    <col min="11285" max="11285" width="15.5546875" style="80" bestFit="1" customWidth="1"/>
    <col min="11286" max="11286" width="13.6640625" style="80" bestFit="1" customWidth="1"/>
    <col min="11287" max="11289" width="12.33203125" style="80" bestFit="1" customWidth="1"/>
    <col min="11290" max="11290" width="17.5546875" style="80" bestFit="1" customWidth="1"/>
    <col min="11291" max="11291" width="12.33203125" style="80" bestFit="1" customWidth="1"/>
    <col min="11292" max="11292" width="13.44140625" style="80" bestFit="1" customWidth="1"/>
    <col min="11293" max="11526" width="9.109375" style="80"/>
    <col min="11527" max="11527" width="33.6640625" style="80" customWidth="1"/>
    <col min="11528" max="11528" width="16" style="80" customWidth="1"/>
    <col min="11529" max="11530" width="15" style="80" bestFit="1" customWidth="1"/>
    <col min="11531" max="11531" width="16.5546875" style="80" bestFit="1" customWidth="1"/>
    <col min="11532" max="11532" width="12.5546875" style="80" customWidth="1"/>
    <col min="11533" max="11533" width="17.5546875" style="80" bestFit="1" customWidth="1"/>
    <col min="11534" max="11535" width="18.109375" style="80" bestFit="1" customWidth="1"/>
    <col min="11536" max="11536" width="12.88671875" style="80" bestFit="1" customWidth="1"/>
    <col min="11537" max="11538" width="16.5546875" style="80" bestFit="1" customWidth="1"/>
    <col min="11539" max="11540" width="13.109375" style="80" bestFit="1" customWidth="1"/>
    <col min="11541" max="11541" width="15.5546875" style="80" bestFit="1" customWidth="1"/>
    <col min="11542" max="11542" width="13.6640625" style="80" bestFit="1" customWidth="1"/>
    <col min="11543" max="11545" width="12.33203125" style="80" bestFit="1" customWidth="1"/>
    <col min="11546" max="11546" width="17.5546875" style="80" bestFit="1" customWidth="1"/>
    <col min="11547" max="11547" width="12.33203125" style="80" bestFit="1" customWidth="1"/>
    <col min="11548" max="11548" width="13.44140625" style="80" bestFit="1" customWidth="1"/>
    <col min="11549" max="11782" width="9.109375" style="80"/>
    <col min="11783" max="11783" width="33.6640625" style="80" customWidth="1"/>
    <col min="11784" max="11784" width="16" style="80" customWidth="1"/>
    <col min="11785" max="11786" width="15" style="80" bestFit="1" customWidth="1"/>
    <col min="11787" max="11787" width="16.5546875" style="80" bestFit="1" customWidth="1"/>
    <col min="11788" max="11788" width="12.5546875" style="80" customWidth="1"/>
    <col min="11789" max="11789" width="17.5546875" style="80" bestFit="1" customWidth="1"/>
    <col min="11790" max="11791" width="18.109375" style="80" bestFit="1" customWidth="1"/>
    <col min="11792" max="11792" width="12.88671875" style="80" bestFit="1" customWidth="1"/>
    <col min="11793" max="11794" width="16.5546875" style="80" bestFit="1" customWidth="1"/>
    <col min="11795" max="11796" width="13.109375" style="80" bestFit="1" customWidth="1"/>
    <col min="11797" max="11797" width="15.5546875" style="80" bestFit="1" customWidth="1"/>
    <col min="11798" max="11798" width="13.6640625" style="80" bestFit="1" customWidth="1"/>
    <col min="11799" max="11801" width="12.33203125" style="80" bestFit="1" customWidth="1"/>
    <col min="11802" max="11802" width="17.5546875" style="80" bestFit="1" customWidth="1"/>
    <col min="11803" max="11803" width="12.33203125" style="80" bestFit="1" customWidth="1"/>
    <col min="11804" max="11804" width="13.44140625" style="80" bestFit="1" customWidth="1"/>
    <col min="11805" max="12038" width="9.109375" style="80"/>
    <col min="12039" max="12039" width="33.6640625" style="80" customWidth="1"/>
    <col min="12040" max="12040" width="16" style="80" customWidth="1"/>
    <col min="12041" max="12042" width="15" style="80" bestFit="1" customWidth="1"/>
    <col min="12043" max="12043" width="16.5546875" style="80" bestFit="1" customWidth="1"/>
    <col min="12044" max="12044" width="12.5546875" style="80" customWidth="1"/>
    <col min="12045" max="12045" width="17.5546875" style="80" bestFit="1" customWidth="1"/>
    <col min="12046" max="12047" width="18.109375" style="80" bestFit="1" customWidth="1"/>
    <col min="12048" max="12048" width="12.88671875" style="80" bestFit="1" customWidth="1"/>
    <col min="12049" max="12050" width="16.5546875" style="80" bestFit="1" customWidth="1"/>
    <col min="12051" max="12052" width="13.109375" style="80" bestFit="1" customWidth="1"/>
    <col min="12053" max="12053" width="15.5546875" style="80" bestFit="1" customWidth="1"/>
    <col min="12054" max="12054" width="13.6640625" style="80" bestFit="1" customWidth="1"/>
    <col min="12055" max="12057" width="12.33203125" style="80" bestFit="1" customWidth="1"/>
    <col min="12058" max="12058" width="17.5546875" style="80" bestFit="1" customWidth="1"/>
    <col min="12059" max="12059" width="12.33203125" style="80" bestFit="1" customWidth="1"/>
    <col min="12060" max="12060" width="13.44140625" style="80" bestFit="1" customWidth="1"/>
    <col min="12061" max="12294" width="9.109375" style="80"/>
    <col min="12295" max="12295" width="33.6640625" style="80" customWidth="1"/>
    <col min="12296" max="12296" width="16" style="80" customWidth="1"/>
    <col min="12297" max="12298" width="15" style="80" bestFit="1" customWidth="1"/>
    <col min="12299" max="12299" width="16.5546875" style="80" bestFit="1" customWidth="1"/>
    <col min="12300" max="12300" width="12.5546875" style="80" customWidth="1"/>
    <col min="12301" max="12301" width="17.5546875" style="80" bestFit="1" customWidth="1"/>
    <col min="12302" max="12303" width="18.109375" style="80" bestFit="1" customWidth="1"/>
    <col min="12304" max="12304" width="12.88671875" style="80" bestFit="1" customWidth="1"/>
    <col min="12305" max="12306" width="16.5546875" style="80" bestFit="1" customWidth="1"/>
    <col min="12307" max="12308" width="13.109375" style="80" bestFit="1" customWidth="1"/>
    <col min="12309" max="12309" width="15.5546875" style="80" bestFit="1" customWidth="1"/>
    <col min="12310" max="12310" width="13.6640625" style="80" bestFit="1" customWidth="1"/>
    <col min="12311" max="12313" width="12.33203125" style="80" bestFit="1" customWidth="1"/>
    <col min="12314" max="12314" width="17.5546875" style="80" bestFit="1" customWidth="1"/>
    <col min="12315" max="12315" width="12.33203125" style="80" bestFit="1" customWidth="1"/>
    <col min="12316" max="12316" width="13.44140625" style="80" bestFit="1" customWidth="1"/>
    <col min="12317" max="12550" width="9.109375" style="80"/>
    <col min="12551" max="12551" width="33.6640625" style="80" customWidth="1"/>
    <col min="12552" max="12552" width="16" style="80" customWidth="1"/>
    <col min="12553" max="12554" width="15" style="80" bestFit="1" customWidth="1"/>
    <col min="12555" max="12555" width="16.5546875" style="80" bestFit="1" customWidth="1"/>
    <col min="12556" max="12556" width="12.5546875" style="80" customWidth="1"/>
    <col min="12557" max="12557" width="17.5546875" style="80" bestFit="1" customWidth="1"/>
    <col min="12558" max="12559" width="18.109375" style="80" bestFit="1" customWidth="1"/>
    <col min="12560" max="12560" width="12.88671875" style="80" bestFit="1" customWidth="1"/>
    <col min="12561" max="12562" width="16.5546875" style="80" bestFit="1" customWidth="1"/>
    <col min="12563" max="12564" width="13.109375" style="80" bestFit="1" customWidth="1"/>
    <col min="12565" max="12565" width="15.5546875" style="80" bestFit="1" customWidth="1"/>
    <col min="12566" max="12566" width="13.6640625" style="80" bestFit="1" customWidth="1"/>
    <col min="12567" max="12569" width="12.33203125" style="80" bestFit="1" customWidth="1"/>
    <col min="12570" max="12570" width="17.5546875" style="80" bestFit="1" customWidth="1"/>
    <col min="12571" max="12571" width="12.33203125" style="80" bestFit="1" customWidth="1"/>
    <col min="12572" max="12572" width="13.44140625" style="80" bestFit="1" customWidth="1"/>
    <col min="12573" max="12806" width="9.109375" style="80"/>
    <col min="12807" max="12807" width="33.6640625" style="80" customWidth="1"/>
    <col min="12808" max="12808" width="16" style="80" customWidth="1"/>
    <col min="12809" max="12810" width="15" style="80" bestFit="1" customWidth="1"/>
    <col min="12811" max="12811" width="16.5546875" style="80" bestFit="1" customWidth="1"/>
    <col min="12812" max="12812" width="12.5546875" style="80" customWidth="1"/>
    <col min="12813" max="12813" width="17.5546875" style="80" bestFit="1" customWidth="1"/>
    <col min="12814" max="12815" width="18.109375" style="80" bestFit="1" customWidth="1"/>
    <col min="12816" max="12816" width="12.88671875" style="80" bestFit="1" customWidth="1"/>
    <col min="12817" max="12818" width="16.5546875" style="80" bestFit="1" customWidth="1"/>
    <col min="12819" max="12820" width="13.109375" style="80" bestFit="1" customWidth="1"/>
    <col min="12821" max="12821" width="15.5546875" style="80" bestFit="1" customWidth="1"/>
    <col min="12822" max="12822" width="13.6640625" style="80" bestFit="1" customWidth="1"/>
    <col min="12823" max="12825" width="12.33203125" style="80" bestFit="1" customWidth="1"/>
    <col min="12826" max="12826" width="17.5546875" style="80" bestFit="1" customWidth="1"/>
    <col min="12827" max="12827" width="12.33203125" style="80" bestFit="1" customWidth="1"/>
    <col min="12828" max="12828" width="13.44140625" style="80" bestFit="1" customWidth="1"/>
    <col min="12829" max="13062" width="9.109375" style="80"/>
    <col min="13063" max="13063" width="33.6640625" style="80" customWidth="1"/>
    <col min="13064" max="13064" width="16" style="80" customWidth="1"/>
    <col min="13065" max="13066" width="15" style="80" bestFit="1" customWidth="1"/>
    <col min="13067" max="13067" width="16.5546875" style="80" bestFit="1" customWidth="1"/>
    <col min="13068" max="13068" width="12.5546875" style="80" customWidth="1"/>
    <col min="13069" max="13069" width="17.5546875" style="80" bestFit="1" customWidth="1"/>
    <col min="13070" max="13071" width="18.109375" style="80" bestFit="1" customWidth="1"/>
    <col min="13072" max="13072" width="12.88671875" style="80" bestFit="1" customWidth="1"/>
    <col min="13073" max="13074" width="16.5546875" style="80" bestFit="1" customWidth="1"/>
    <col min="13075" max="13076" width="13.109375" style="80" bestFit="1" customWidth="1"/>
    <col min="13077" max="13077" width="15.5546875" style="80" bestFit="1" customWidth="1"/>
    <col min="13078" max="13078" width="13.6640625" style="80" bestFit="1" customWidth="1"/>
    <col min="13079" max="13081" width="12.33203125" style="80" bestFit="1" customWidth="1"/>
    <col min="13082" max="13082" width="17.5546875" style="80" bestFit="1" customWidth="1"/>
    <col min="13083" max="13083" width="12.33203125" style="80" bestFit="1" customWidth="1"/>
    <col min="13084" max="13084" width="13.44140625" style="80" bestFit="1" customWidth="1"/>
    <col min="13085" max="13318" width="9.109375" style="80"/>
    <col min="13319" max="13319" width="33.6640625" style="80" customWidth="1"/>
    <col min="13320" max="13320" width="16" style="80" customWidth="1"/>
    <col min="13321" max="13322" width="15" style="80" bestFit="1" customWidth="1"/>
    <col min="13323" max="13323" width="16.5546875" style="80" bestFit="1" customWidth="1"/>
    <col min="13324" max="13324" width="12.5546875" style="80" customWidth="1"/>
    <col min="13325" max="13325" width="17.5546875" style="80" bestFit="1" customWidth="1"/>
    <col min="13326" max="13327" width="18.109375" style="80" bestFit="1" customWidth="1"/>
    <col min="13328" max="13328" width="12.88671875" style="80" bestFit="1" customWidth="1"/>
    <col min="13329" max="13330" width="16.5546875" style="80" bestFit="1" customWidth="1"/>
    <col min="13331" max="13332" width="13.109375" style="80" bestFit="1" customWidth="1"/>
    <col min="13333" max="13333" width="15.5546875" style="80" bestFit="1" customWidth="1"/>
    <col min="13334" max="13334" width="13.6640625" style="80" bestFit="1" customWidth="1"/>
    <col min="13335" max="13337" width="12.33203125" style="80" bestFit="1" customWidth="1"/>
    <col min="13338" max="13338" width="17.5546875" style="80" bestFit="1" customWidth="1"/>
    <col min="13339" max="13339" width="12.33203125" style="80" bestFit="1" customWidth="1"/>
    <col min="13340" max="13340" width="13.44140625" style="80" bestFit="1" customWidth="1"/>
    <col min="13341" max="13574" width="9.109375" style="80"/>
    <col min="13575" max="13575" width="33.6640625" style="80" customWidth="1"/>
    <col min="13576" max="13576" width="16" style="80" customWidth="1"/>
    <col min="13577" max="13578" width="15" style="80" bestFit="1" customWidth="1"/>
    <col min="13579" max="13579" width="16.5546875" style="80" bestFit="1" customWidth="1"/>
    <col min="13580" max="13580" width="12.5546875" style="80" customWidth="1"/>
    <col min="13581" max="13581" width="17.5546875" style="80" bestFit="1" customWidth="1"/>
    <col min="13582" max="13583" width="18.109375" style="80" bestFit="1" customWidth="1"/>
    <col min="13584" max="13584" width="12.88671875" style="80" bestFit="1" customWidth="1"/>
    <col min="13585" max="13586" width="16.5546875" style="80" bestFit="1" customWidth="1"/>
    <col min="13587" max="13588" width="13.109375" style="80" bestFit="1" customWidth="1"/>
    <col min="13589" max="13589" width="15.5546875" style="80" bestFit="1" customWidth="1"/>
    <col min="13590" max="13590" width="13.6640625" style="80" bestFit="1" customWidth="1"/>
    <col min="13591" max="13593" width="12.33203125" style="80" bestFit="1" customWidth="1"/>
    <col min="13594" max="13594" width="17.5546875" style="80" bestFit="1" customWidth="1"/>
    <col min="13595" max="13595" width="12.33203125" style="80" bestFit="1" customWidth="1"/>
    <col min="13596" max="13596" width="13.44140625" style="80" bestFit="1" customWidth="1"/>
    <col min="13597" max="13830" width="9.109375" style="80"/>
    <col min="13831" max="13831" width="33.6640625" style="80" customWidth="1"/>
    <col min="13832" max="13832" width="16" style="80" customWidth="1"/>
    <col min="13833" max="13834" width="15" style="80" bestFit="1" customWidth="1"/>
    <col min="13835" max="13835" width="16.5546875" style="80" bestFit="1" customWidth="1"/>
    <col min="13836" max="13836" width="12.5546875" style="80" customWidth="1"/>
    <col min="13837" max="13837" width="17.5546875" style="80" bestFit="1" customWidth="1"/>
    <col min="13838" max="13839" width="18.109375" style="80" bestFit="1" customWidth="1"/>
    <col min="13840" max="13840" width="12.88671875" style="80" bestFit="1" customWidth="1"/>
    <col min="13841" max="13842" width="16.5546875" style="80" bestFit="1" customWidth="1"/>
    <col min="13843" max="13844" width="13.109375" style="80" bestFit="1" customWidth="1"/>
    <col min="13845" max="13845" width="15.5546875" style="80" bestFit="1" customWidth="1"/>
    <col min="13846" max="13846" width="13.6640625" style="80" bestFit="1" customWidth="1"/>
    <col min="13847" max="13849" width="12.33203125" style="80" bestFit="1" customWidth="1"/>
    <col min="13850" max="13850" width="17.5546875" style="80" bestFit="1" customWidth="1"/>
    <col min="13851" max="13851" width="12.33203125" style="80" bestFit="1" customWidth="1"/>
    <col min="13852" max="13852" width="13.44140625" style="80" bestFit="1" customWidth="1"/>
    <col min="13853" max="14086" width="9.109375" style="80"/>
    <col min="14087" max="14087" width="33.6640625" style="80" customWidth="1"/>
    <col min="14088" max="14088" width="16" style="80" customWidth="1"/>
    <col min="14089" max="14090" width="15" style="80" bestFit="1" customWidth="1"/>
    <col min="14091" max="14091" width="16.5546875" style="80" bestFit="1" customWidth="1"/>
    <col min="14092" max="14092" width="12.5546875" style="80" customWidth="1"/>
    <col min="14093" max="14093" width="17.5546875" style="80" bestFit="1" customWidth="1"/>
    <col min="14094" max="14095" width="18.109375" style="80" bestFit="1" customWidth="1"/>
    <col min="14096" max="14096" width="12.88671875" style="80" bestFit="1" customWidth="1"/>
    <col min="14097" max="14098" width="16.5546875" style="80" bestFit="1" customWidth="1"/>
    <col min="14099" max="14100" width="13.109375" style="80" bestFit="1" customWidth="1"/>
    <col min="14101" max="14101" width="15.5546875" style="80" bestFit="1" customWidth="1"/>
    <col min="14102" max="14102" width="13.6640625" style="80" bestFit="1" customWidth="1"/>
    <col min="14103" max="14105" width="12.33203125" style="80" bestFit="1" customWidth="1"/>
    <col min="14106" max="14106" width="17.5546875" style="80" bestFit="1" customWidth="1"/>
    <col min="14107" max="14107" width="12.33203125" style="80" bestFit="1" customWidth="1"/>
    <col min="14108" max="14108" width="13.44140625" style="80" bestFit="1" customWidth="1"/>
    <col min="14109" max="14342" width="9.109375" style="80"/>
    <col min="14343" max="14343" width="33.6640625" style="80" customWidth="1"/>
    <col min="14344" max="14344" width="16" style="80" customWidth="1"/>
    <col min="14345" max="14346" width="15" style="80" bestFit="1" customWidth="1"/>
    <col min="14347" max="14347" width="16.5546875" style="80" bestFit="1" customWidth="1"/>
    <col min="14348" max="14348" width="12.5546875" style="80" customWidth="1"/>
    <col min="14349" max="14349" width="17.5546875" style="80" bestFit="1" customWidth="1"/>
    <col min="14350" max="14351" width="18.109375" style="80" bestFit="1" customWidth="1"/>
    <col min="14352" max="14352" width="12.88671875" style="80" bestFit="1" customWidth="1"/>
    <col min="14353" max="14354" width="16.5546875" style="80" bestFit="1" customWidth="1"/>
    <col min="14355" max="14356" width="13.109375" style="80" bestFit="1" customWidth="1"/>
    <col min="14357" max="14357" width="15.5546875" style="80" bestFit="1" customWidth="1"/>
    <col min="14358" max="14358" width="13.6640625" style="80" bestFit="1" customWidth="1"/>
    <col min="14359" max="14361" width="12.33203125" style="80" bestFit="1" customWidth="1"/>
    <col min="14362" max="14362" width="17.5546875" style="80" bestFit="1" customWidth="1"/>
    <col min="14363" max="14363" width="12.33203125" style="80" bestFit="1" customWidth="1"/>
    <col min="14364" max="14364" width="13.44140625" style="80" bestFit="1" customWidth="1"/>
    <col min="14365" max="14598" width="9.109375" style="80"/>
    <col min="14599" max="14599" width="33.6640625" style="80" customWidth="1"/>
    <col min="14600" max="14600" width="16" style="80" customWidth="1"/>
    <col min="14601" max="14602" width="15" style="80" bestFit="1" customWidth="1"/>
    <col min="14603" max="14603" width="16.5546875" style="80" bestFit="1" customWidth="1"/>
    <col min="14604" max="14604" width="12.5546875" style="80" customWidth="1"/>
    <col min="14605" max="14605" width="17.5546875" style="80" bestFit="1" customWidth="1"/>
    <col min="14606" max="14607" width="18.109375" style="80" bestFit="1" customWidth="1"/>
    <col min="14608" max="14608" width="12.88671875" style="80" bestFit="1" customWidth="1"/>
    <col min="14609" max="14610" width="16.5546875" style="80" bestFit="1" customWidth="1"/>
    <col min="14611" max="14612" width="13.109375" style="80" bestFit="1" customWidth="1"/>
    <col min="14613" max="14613" width="15.5546875" style="80" bestFit="1" customWidth="1"/>
    <col min="14614" max="14614" width="13.6640625" style="80" bestFit="1" customWidth="1"/>
    <col min="14615" max="14617" width="12.33203125" style="80" bestFit="1" customWidth="1"/>
    <col min="14618" max="14618" width="17.5546875" style="80" bestFit="1" customWidth="1"/>
    <col min="14619" max="14619" width="12.33203125" style="80" bestFit="1" customWidth="1"/>
    <col min="14620" max="14620" width="13.44140625" style="80" bestFit="1" customWidth="1"/>
    <col min="14621" max="14854" width="9.109375" style="80"/>
    <col min="14855" max="14855" width="33.6640625" style="80" customWidth="1"/>
    <col min="14856" max="14856" width="16" style="80" customWidth="1"/>
    <col min="14857" max="14858" width="15" style="80" bestFit="1" customWidth="1"/>
    <col min="14859" max="14859" width="16.5546875" style="80" bestFit="1" customWidth="1"/>
    <col min="14860" max="14860" width="12.5546875" style="80" customWidth="1"/>
    <col min="14861" max="14861" width="17.5546875" style="80" bestFit="1" customWidth="1"/>
    <col min="14862" max="14863" width="18.109375" style="80" bestFit="1" customWidth="1"/>
    <col min="14864" max="14864" width="12.88671875" style="80" bestFit="1" customWidth="1"/>
    <col min="14865" max="14866" width="16.5546875" style="80" bestFit="1" customWidth="1"/>
    <col min="14867" max="14868" width="13.109375" style="80" bestFit="1" customWidth="1"/>
    <col min="14869" max="14869" width="15.5546875" style="80" bestFit="1" customWidth="1"/>
    <col min="14870" max="14870" width="13.6640625" style="80" bestFit="1" customWidth="1"/>
    <col min="14871" max="14873" width="12.33203125" style="80" bestFit="1" customWidth="1"/>
    <col min="14874" max="14874" width="17.5546875" style="80" bestFit="1" customWidth="1"/>
    <col min="14875" max="14875" width="12.33203125" style="80" bestFit="1" customWidth="1"/>
    <col min="14876" max="14876" width="13.44140625" style="80" bestFit="1" customWidth="1"/>
    <col min="14877" max="15110" width="9.109375" style="80"/>
    <col min="15111" max="15111" width="33.6640625" style="80" customWidth="1"/>
    <col min="15112" max="15112" width="16" style="80" customWidth="1"/>
    <col min="15113" max="15114" width="15" style="80" bestFit="1" customWidth="1"/>
    <col min="15115" max="15115" width="16.5546875" style="80" bestFit="1" customWidth="1"/>
    <col min="15116" max="15116" width="12.5546875" style="80" customWidth="1"/>
    <col min="15117" max="15117" width="17.5546875" style="80" bestFit="1" customWidth="1"/>
    <col min="15118" max="15119" width="18.109375" style="80" bestFit="1" customWidth="1"/>
    <col min="15120" max="15120" width="12.88671875" style="80" bestFit="1" customWidth="1"/>
    <col min="15121" max="15122" width="16.5546875" style="80" bestFit="1" customWidth="1"/>
    <col min="15123" max="15124" width="13.109375" style="80" bestFit="1" customWidth="1"/>
    <col min="15125" max="15125" width="15.5546875" style="80" bestFit="1" customWidth="1"/>
    <col min="15126" max="15126" width="13.6640625" style="80" bestFit="1" customWidth="1"/>
    <col min="15127" max="15129" width="12.33203125" style="80" bestFit="1" customWidth="1"/>
    <col min="15130" max="15130" width="17.5546875" style="80" bestFit="1" customWidth="1"/>
    <col min="15131" max="15131" width="12.33203125" style="80" bestFit="1" customWidth="1"/>
    <col min="15132" max="15132" width="13.44140625" style="80" bestFit="1" customWidth="1"/>
    <col min="15133" max="15366" width="9.109375" style="80"/>
    <col min="15367" max="15367" width="33.6640625" style="80" customWidth="1"/>
    <col min="15368" max="15368" width="16" style="80" customWidth="1"/>
    <col min="15369" max="15370" width="15" style="80" bestFit="1" customWidth="1"/>
    <col min="15371" max="15371" width="16.5546875" style="80" bestFit="1" customWidth="1"/>
    <col min="15372" max="15372" width="12.5546875" style="80" customWidth="1"/>
    <col min="15373" max="15373" width="17.5546875" style="80" bestFit="1" customWidth="1"/>
    <col min="15374" max="15375" width="18.109375" style="80" bestFit="1" customWidth="1"/>
    <col min="15376" max="15376" width="12.88671875" style="80" bestFit="1" customWidth="1"/>
    <col min="15377" max="15378" width="16.5546875" style="80" bestFit="1" customWidth="1"/>
    <col min="15379" max="15380" width="13.109375" style="80" bestFit="1" customWidth="1"/>
    <col min="15381" max="15381" width="15.5546875" style="80" bestFit="1" customWidth="1"/>
    <col min="15382" max="15382" width="13.6640625" style="80" bestFit="1" customWidth="1"/>
    <col min="15383" max="15385" width="12.33203125" style="80" bestFit="1" customWidth="1"/>
    <col min="15386" max="15386" width="17.5546875" style="80" bestFit="1" customWidth="1"/>
    <col min="15387" max="15387" width="12.33203125" style="80" bestFit="1" customWidth="1"/>
    <col min="15388" max="15388" width="13.44140625" style="80" bestFit="1" customWidth="1"/>
    <col min="15389" max="15622" width="9.109375" style="80"/>
    <col min="15623" max="15623" width="33.6640625" style="80" customWidth="1"/>
    <col min="15624" max="15624" width="16" style="80" customWidth="1"/>
    <col min="15625" max="15626" width="15" style="80" bestFit="1" customWidth="1"/>
    <col min="15627" max="15627" width="16.5546875" style="80" bestFit="1" customWidth="1"/>
    <col min="15628" max="15628" width="12.5546875" style="80" customWidth="1"/>
    <col min="15629" max="15629" width="17.5546875" style="80" bestFit="1" customWidth="1"/>
    <col min="15630" max="15631" width="18.109375" style="80" bestFit="1" customWidth="1"/>
    <col min="15632" max="15632" width="12.88671875" style="80" bestFit="1" customWidth="1"/>
    <col min="15633" max="15634" width="16.5546875" style="80" bestFit="1" customWidth="1"/>
    <col min="15635" max="15636" width="13.109375" style="80" bestFit="1" customWidth="1"/>
    <col min="15637" max="15637" width="15.5546875" style="80" bestFit="1" customWidth="1"/>
    <col min="15638" max="15638" width="13.6640625" style="80" bestFit="1" customWidth="1"/>
    <col min="15639" max="15641" width="12.33203125" style="80" bestFit="1" customWidth="1"/>
    <col min="15642" max="15642" width="17.5546875" style="80" bestFit="1" customWidth="1"/>
    <col min="15643" max="15643" width="12.33203125" style="80" bestFit="1" customWidth="1"/>
    <col min="15644" max="15644" width="13.44140625" style="80" bestFit="1" customWidth="1"/>
    <col min="15645" max="15878" width="9.109375" style="80"/>
    <col min="15879" max="15879" width="33.6640625" style="80" customWidth="1"/>
    <col min="15880" max="15880" width="16" style="80" customWidth="1"/>
    <col min="15881" max="15882" width="15" style="80" bestFit="1" customWidth="1"/>
    <col min="15883" max="15883" width="16.5546875" style="80" bestFit="1" customWidth="1"/>
    <col min="15884" max="15884" width="12.5546875" style="80" customWidth="1"/>
    <col min="15885" max="15885" width="17.5546875" style="80" bestFit="1" customWidth="1"/>
    <col min="15886" max="15887" width="18.109375" style="80" bestFit="1" customWidth="1"/>
    <col min="15888" max="15888" width="12.88671875" style="80" bestFit="1" customWidth="1"/>
    <col min="15889" max="15890" width="16.5546875" style="80" bestFit="1" customWidth="1"/>
    <col min="15891" max="15892" width="13.109375" style="80" bestFit="1" customWidth="1"/>
    <col min="15893" max="15893" width="15.5546875" style="80" bestFit="1" customWidth="1"/>
    <col min="15894" max="15894" width="13.6640625" style="80" bestFit="1" customWidth="1"/>
    <col min="15895" max="15897" width="12.33203125" style="80" bestFit="1" customWidth="1"/>
    <col min="15898" max="15898" width="17.5546875" style="80" bestFit="1" customWidth="1"/>
    <col min="15899" max="15899" width="12.33203125" style="80" bestFit="1" customWidth="1"/>
    <col min="15900" max="15900" width="13.44140625" style="80" bestFit="1" customWidth="1"/>
    <col min="15901" max="16134" width="9.109375" style="80"/>
    <col min="16135" max="16135" width="33.6640625" style="80" customWidth="1"/>
    <col min="16136" max="16136" width="16" style="80" customWidth="1"/>
    <col min="16137" max="16138" width="15" style="80" bestFit="1" customWidth="1"/>
    <col min="16139" max="16139" width="16.5546875" style="80" bestFit="1" customWidth="1"/>
    <col min="16140" max="16140" width="12.5546875" style="80" customWidth="1"/>
    <col min="16141" max="16141" width="17.5546875" style="80" bestFit="1" customWidth="1"/>
    <col min="16142" max="16143" width="18.109375" style="80" bestFit="1" customWidth="1"/>
    <col min="16144" max="16144" width="12.88671875" style="80" bestFit="1" customWidth="1"/>
    <col min="16145" max="16146" width="16.5546875" style="80" bestFit="1" customWidth="1"/>
    <col min="16147" max="16148" width="13.109375" style="80" bestFit="1" customWidth="1"/>
    <col min="16149" max="16149" width="15.5546875" style="80" bestFit="1" customWidth="1"/>
    <col min="16150" max="16150" width="13.6640625" style="80" bestFit="1" customWidth="1"/>
    <col min="16151" max="16153" width="12.33203125" style="80" bestFit="1" customWidth="1"/>
    <col min="16154" max="16154" width="17.5546875" style="80" bestFit="1" customWidth="1"/>
    <col min="16155" max="16155" width="12.33203125" style="80" bestFit="1" customWidth="1"/>
    <col min="16156" max="16156" width="13.44140625" style="80" bestFit="1" customWidth="1"/>
    <col min="16157" max="16384" width="9.109375" style="80"/>
  </cols>
  <sheetData>
    <row r="1" spans="1:54" ht="14.4" thickBot="1">
      <c r="A1" s="31" t="s">
        <v>586</v>
      </c>
      <c r="D1" s="31"/>
      <c r="E1" s="31"/>
      <c r="F1" s="31"/>
      <c r="G1" s="31"/>
      <c r="H1" s="31"/>
      <c r="I1" s="31"/>
      <c r="J1" s="31"/>
      <c r="K1" s="31"/>
      <c r="L1" s="31"/>
      <c r="M1" s="31"/>
      <c r="N1" s="31"/>
      <c r="O1" s="31"/>
      <c r="P1" s="31"/>
      <c r="Q1" s="31"/>
      <c r="R1" s="31"/>
      <c r="S1" s="31"/>
      <c r="T1" s="31"/>
      <c r="U1" s="31"/>
      <c r="V1" s="31"/>
      <c r="W1" s="31"/>
      <c r="X1" s="31"/>
      <c r="Y1" s="31"/>
      <c r="Z1" s="31"/>
      <c r="AA1" s="31"/>
    </row>
    <row r="2" spans="1:54" ht="31.5" customHeight="1" thickBot="1">
      <c r="A2" s="1010" t="s">
        <v>978</v>
      </c>
      <c r="B2" s="1010" t="s">
        <v>318</v>
      </c>
      <c r="C2" s="921"/>
      <c r="D2" s="64" t="s">
        <v>319</v>
      </c>
      <c r="E2" s="1010" t="s">
        <v>320</v>
      </c>
      <c r="F2" s="1010"/>
      <c r="G2" s="64" t="s">
        <v>319</v>
      </c>
      <c r="H2" s="17" t="s">
        <v>321</v>
      </c>
      <c r="I2" s="1012" t="s">
        <v>322</v>
      </c>
      <c r="J2" s="1013"/>
      <c r="K2" s="1013"/>
      <c r="L2" s="1013"/>
      <c r="M2" s="1013"/>
      <c r="N2" s="1014"/>
      <c r="O2" s="1015" t="s">
        <v>323</v>
      </c>
      <c r="P2" s="1016"/>
      <c r="Q2" s="1016"/>
      <c r="R2" s="1016"/>
      <c r="S2" s="1016"/>
      <c r="T2" s="1016"/>
      <c r="U2" s="1017"/>
      <c r="V2" s="1018" t="s">
        <v>324</v>
      </c>
      <c r="W2" s="1019"/>
      <c r="X2" s="1019"/>
      <c r="Y2" s="1019"/>
      <c r="Z2" s="1020"/>
      <c r="AA2" s="1011" t="s">
        <v>47</v>
      </c>
    </row>
    <row r="3" spans="1:54" ht="41.4" thickBot="1">
      <c r="A3" s="1010"/>
      <c r="B3" s="1010"/>
      <c r="C3" s="921" t="s">
        <v>1739</v>
      </c>
      <c r="D3" s="11">
        <v>44469</v>
      </c>
      <c r="E3" s="64" t="s">
        <v>325</v>
      </c>
      <c r="F3" s="64" t="s">
        <v>156</v>
      </c>
      <c r="G3" s="11">
        <v>44196</v>
      </c>
      <c r="H3" s="17" t="s">
        <v>326</v>
      </c>
      <c r="I3" s="18" t="s">
        <v>136</v>
      </c>
      <c r="J3" s="19" t="s">
        <v>59</v>
      </c>
      <c r="K3" s="19" t="s">
        <v>137</v>
      </c>
      <c r="L3" s="19" t="s">
        <v>139</v>
      </c>
      <c r="M3" s="19" t="s">
        <v>61</v>
      </c>
      <c r="N3" s="20" t="s">
        <v>79</v>
      </c>
      <c r="O3" s="21" t="s">
        <v>142</v>
      </c>
      <c r="P3" s="22" t="s">
        <v>143</v>
      </c>
      <c r="Q3" s="22" t="s">
        <v>144</v>
      </c>
      <c r="R3" s="22" t="s">
        <v>64</v>
      </c>
      <c r="S3" s="22" t="s">
        <v>145</v>
      </c>
      <c r="T3" s="22" t="s">
        <v>146</v>
      </c>
      <c r="U3" s="23" t="s">
        <v>147</v>
      </c>
      <c r="V3" s="112" t="s">
        <v>149</v>
      </c>
      <c r="W3" s="113" t="s">
        <v>67</v>
      </c>
      <c r="X3" s="113" t="s">
        <v>150</v>
      </c>
      <c r="Y3" s="113" t="s">
        <v>78</v>
      </c>
      <c r="Z3" s="114" t="s">
        <v>356</v>
      </c>
      <c r="AA3" s="1011"/>
    </row>
    <row r="4" spans="1:54" s="96" customFormat="1" ht="12" customHeight="1">
      <c r="A4" s="9">
        <v>1</v>
      </c>
      <c r="B4" s="9" t="s">
        <v>3</v>
      </c>
      <c r="C4" s="9"/>
      <c r="D4" s="92">
        <f>+SUM(D5:D188)-'BG 2021'!C8</f>
        <v>0</v>
      </c>
      <c r="E4" s="92">
        <v>0</v>
      </c>
      <c r="F4" s="92">
        <v>0</v>
      </c>
      <c r="G4" s="92">
        <f>+SUM(G5:G188)-'BG 2020'!D6+'BG 2020'!D114+'BG 2020'!D112</f>
        <v>0</v>
      </c>
      <c r="H4" s="92">
        <f>+D4-G4+E4-F4</f>
        <v>0</v>
      </c>
      <c r="I4" s="94">
        <v>0</v>
      </c>
      <c r="J4" s="94">
        <v>0</v>
      </c>
      <c r="K4" s="94">
        <v>0</v>
      </c>
      <c r="L4" s="94">
        <v>0</v>
      </c>
      <c r="M4" s="94">
        <v>0</v>
      </c>
      <c r="N4" s="94"/>
      <c r="O4" s="94">
        <v>0</v>
      </c>
      <c r="P4" s="94">
        <v>0</v>
      </c>
      <c r="Q4" s="94">
        <v>0</v>
      </c>
      <c r="R4" s="94">
        <v>0</v>
      </c>
      <c r="S4" s="94"/>
      <c r="T4" s="94"/>
      <c r="U4" s="94"/>
      <c r="V4" s="94">
        <v>0</v>
      </c>
      <c r="W4" s="94">
        <v>0</v>
      </c>
      <c r="X4" s="94">
        <v>0</v>
      </c>
      <c r="Y4" s="94">
        <v>0</v>
      </c>
      <c r="Z4" s="94">
        <v>0</v>
      </c>
      <c r="AA4" s="26"/>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row>
    <row r="5" spans="1:54" s="96" customFormat="1" ht="12" customHeight="1">
      <c r="A5" s="9">
        <v>11</v>
      </c>
      <c r="B5" s="9" t="s">
        <v>4</v>
      </c>
      <c r="C5" s="9"/>
      <c r="D5" s="92">
        <f>+VLOOKUP(A5,Clasificaciones!C:I,5,FALSE)</f>
        <v>0</v>
      </c>
      <c r="E5" s="92">
        <v>0</v>
      </c>
      <c r="F5" s="92">
        <v>0</v>
      </c>
      <c r="G5" s="92">
        <f>+VLOOKUP(A5,Clasificaciones!C:M,9,FALSE)</f>
        <v>0</v>
      </c>
      <c r="H5" s="92">
        <f t="shared" ref="H5:H8" si="0">+D5-G5+E5-F5</f>
        <v>0</v>
      </c>
      <c r="I5" s="26">
        <v>0</v>
      </c>
      <c r="J5" s="26">
        <v>0</v>
      </c>
      <c r="K5" s="26">
        <v>0</v>
      </c>
      <c r="L5" s="26">
        <v>0</v>
      </c>
      <c r="M5" s="26">
        <v>0</v>
      </c>
      <c r="N5" s="26"/>
      <c r="O5" s="26">
        <v>0</v>
      </c>
      <c r="P5" s="26">
        <v>0</v>
      </c>
      <c r="Q5" s="26">
        <v>0</v>
      </c>
      <c r="R5" s="26">
        <v>0</v>
      </c>
      <c r="S5" s="26"/>
      <c r="T5" s="26"/>
      <c r="U5" s="26"/>
      <c r="V5" s="26">
        <v>0</v>
      </c>
      <c r="W5" s="26">
        <v>0</v>
      </c>
      <c r="X5" s="26">
        <v>0</v>
      </c>
      <c r="Y5" s="26">
        <v>0</v>
      </c>
      <c r="Z5" s="26">
        <v>0</v>
      </c>
      <c r="AA5" s="26">
        <f>SUM(H5:Z5)</f>
        <v>0</v>
      </c>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row>
    <row r="6" spans="1:54" s="96" customFormat="1" ht="12" customHeight="1">
      <c r="A6" s="9">
        <v>111</v>
      </c>
      <c r="B6" s="9" t="s">
        <v>5</v>
      </c>
      <c r="C6" s="9"/>
      <c r="D6" s="92">
        <f>+VLOOKUP(A6,Clasificaciones!C:I,5,FALSE)</f>
        <v>0</v>
      </c>
      <c r="E6" s="92">
        <v>0</v>
      </c>
      <c r="F6" s="92">
        <v>0</v>
      </c>
      <c r="G6" s="92">
        <f>+VLOOKUP(A6,Clasificaciones!C:M,9,FALSE)</f>
        <v>0</v>
      </c>
      <c r="H6" s="92">
        <f t="shared" si="0"/>
        <v>0</v>
      </c>
      <c r="I6" s="26">
        <v>0</v>
      </c>
      <c r="J6" s="26">
        <v>0</v>
      </c>
      <c r="K6" s="26">
        <v>0</v>
      </c>
      <c r="L6" s="26">
        <v>0</v>
      </c>
      <c r="M6" s="26">
        <v>0</v>
      </c>
      <c r="N6" s="26"/>
      <c r="O6" s="26">
        <v>0</v>
      </c>
      <c r="P6" s="26">
        <v>0</v>
      </c>
      <c r="Q6" s="26">
        <v>0</v>
      </c>
      <c r="R6" s="26">
        <v>0</v>
      </c>
      <c r="S6" s="26"/>
      <c r="T6" s="26"/>
      <c r="U6" s="26"/>
      <c r="V6" s="26">
        <v>0</v>
      </c>
      <c r="W6" s="26">
        <v>0</v>
      </c>
      <c r="X6" s="26">
        <v>0</v>
      </c>
      <c r="Y6" s="26">
        <v>0</v>
      </c>
      <c r="Z6" s="26">
        <v>0</v>
      </c>
      <c r="AA6" s="26">
        <f t="shared" ref="AA6:AA69" si="1">SUM(H6:Z6)</f>
        <v>0</v>
      </c>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s="98" customFormat="1" ht="12" customHeight="1">
      <c r="A7" s="8">
        <v>11103</v>
      </c>
      <c r="B7" s="8" t="s">
        <v>17</v>
      </c>
      <c r="C7" s="8"/>
      <c r="D7" s="92">
        <f>+VLOOKUP(A7,Clasificaciones!C:I,5,FALSE)</f>
        <v>0</v>
      </c>
      <c r="E7" s="92">
        <v>0</v>
      </c>
      <c r="F7" s="92">
        <v>0</v>
      </c>
      <c r="G7" s="92">
        <f>+VLOOKUP(A7,Clasificaciones!C:M,9,FALSE)</f>
        <v>0</v>
      </c>
      <c r="H7" s="92">
        <f t="shared" si="0"/>
        <v>0</v>
      </c>
      <c r="I7" s="26">
        <v>0</v>
      </c>
      <c r="J7" s="26">
        <v>0</v>
      </c>
      <c r="K7" s="26">
        <v>0</v>
      </c>
      <c r="L7" s="26">
        <v>0</v>
      </c>
      <c r="M7" s="26">
        <v>0</v>
      </c>
      <c r="N7" s="26"/>
      <c r="O7" s="26">
        <v>0</v>
      </c>
      <c r="P7" s="26">
        <v>0</v>
      </c>
      <c r="Q7" s="26">
        <v>0</v>
      </c>
      <c r="R7" s="26">
        <v>0</v>
      </c>
      <c r="S7" s="26"/>
      <c r="T7" s="26"/>
      <c r="U7" s="26"/>
      <c r="V7" s="26">
        <v>0</v>
      </c>
      <c r="W7" s="26">
        <v>0</v>
      </c>
      <c r="X7" s="26">
        <v>0</v>
      </c>
      <c r="Y7" s="26">
        <v>0</v>
      </c>
      <c r="Z7" s="26">
        <v>0</v>
      </c>
      <c r="AA7" s="26">
        <f t="shared" si="1"/>
        <v>0</v>
      </c>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row>
    <row r="8" spans="1:54" s="98" customFormat="1" ht="12" customHeight="1">
      <c r="A8" s="8">
        <v>1110301</v>
      </c>
      <c r="B8" s="8" t="s">
        <v>741</v>
      </c>
      <c r="C8" s="8"/>
      <c r="D8" s="92">
        <f>+VLOOKUP(A8,Clasificaciones!C:I,5,FALSE)</f>
        <v>0</v>
      </c>
      <c r="E8" s="92">
        <v>0</v>
      </c>
      <c r="F8" s="92">
        <v>0</v>
      </c>
      <c r="G8" s="92">
        <f>+VLOOKUP(A8,Clasificaciones!C:M,9,FALSE)</f>
        <v>0</v>
      </c>
      <c r="H8" s="92">
        <f t="shared" si="0"/>
        <v>0</v>
      </c>
      <c r="I8" s="26">
        <v>0</v>
      </c>
      <c r="J8" s="26">
        <v>0</v>
      </c>
      <c r="K8" s="26">
        <v>0</v>
      </c>
      <c r="L8" s="26">
        <v>0</v>
      </c>
      <c r="M8" s="26">
        <v>0</v>
      </c>
      <c r="N8" s="26"/>
      <c r="O8" s="26">
        <v>0</v>
      </c>
      <c r="P8" s="26">
        <v>0</v>
      </c>
      <c r="Q8" s="26">
        <v>0</v>
      </c>
      <c r="R8" s="26">
        <v>0</v>
      </c>
      <c r="S8" s="26"/>
      <c r="T8" s="26"/>
      <c r="U8" s="26"/>
      <c r="V8" s="26">
        <v>0</v>
      </c>
      <c r="W8" s="26">
        <v>0</v>
      </c>
      <c r="X8" s="26">
        <v>0</v>
      </c>
      <c r="Y8" s="26">
        <v>0</v>
      </c>
      <c r="Z8" s="26">
        <v>0</v>
      </c>
      <c r="AA8" s="26">
        <f t="shared" si="1"/>
        <v>0</v>
      </c>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row>
    <row r="9" spans="1:54" s="96" customFormat="1" ht="12" customHeight="1">
      <c r="A9" s="8">
        <v>111030101</v>
      </c>
      <c r="B9" s="8" t="s">
        <v>1335</v>
      </c>
      <c r="C9" s="8"/>
      <c r="D9" s="92">
        <f>+VLOOKUP(A9,Clasificaciones!C:I,5,FALSE)</f>
        <v>1872447497</v>
      </c>
      <c r="E9" s="92">
        <v>0</v>
      </c>
      <c r="F9" s="92">
        <v>0</v>
      </c>
      <c r="G9" s="92">
        <f>+VLOOKUP(A9,Clasificaciones!C:M,9,FALSE)</f>
        <v>302810046</v>
      </c>
      <c r="H9" s="92">
        <f>+D9-G9+E9-F9</f>
        <v>1569637451</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f t="shared" si="1"/>
        <v>1569637451</v>
      </c>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row>
    <row r="10" spans="1:54" s="96" customFormat="1" ht="12" customHeight="1">
      <c r="A10" s="8">
        <v>111030102</v>
      </c>
      <c r="B10" s="8" t="s">
        <v>742</v>
      </c>
      <c r="C10" s="8"/>
      <c r="D10" s="92">
        <f>+VLOOKUP(A10,Clasificaciones!C:I,5,FALSE)</f>
        <v>121221490</v>
      </c>
      <c r="E10" s="92">
        <v>0</v>
      </c>
      <c r="F10" s="92">
        <v>0</v>
      </c>
      <c r="G10" s="92">
        <f>+VLOOKUP(A10,Clasificaciones!C:M,9,FALSE)</f>
        <v>20227028</v>
      </c>
      <c r="H10" s="92">
        <f t="shared" ref="H10:H73" si="2">+D10-G10+E10-F10</f>
        <v>100994462</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f t="shared" si="1"/>
        <v>100994462</v>
      </c>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row>
    <row r="11" spans="1:54" s="96" customFormat="1" ht="12" customHeight="1">
      <c r="A11" s="8">
        <v>111030103</v>
      </c>
      <c r="B11" s="8" t="s">
        <v>743</v>
      </c>
      <c r="C11" s="8"/>
      <c r="D11" s="92">
        <f>+VLOOKUP(A11,Clasificaciones!C:I,5,FALSE)</f>
        <v>6027989</v>
      </c>
      <c r="E11" s="92">
        <v>0</v>
      </c>
      <c r="F11" s="92">
        <v>0</v>
      </c>
      <c r="G11" s="92">
        <f>+VLOOKUP(A11,Clasificaciones!C:M,9,FALSE)</f>
        <v>6000000</v>
      </c>
      <c r="H11" s="92">
        <f t="shared" si="2"/>
        <v>27989</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f t="shared" si="1"/>
        <v>27989</v>
      </c>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row>
    <row r="12" spans="1:54" s="96" customFormat="1" ht="12" customHeight="1">
      <c r="A12" s="8">
        <v>111030104</v>
      </c>
      <c r="B12" s="8" t="s">
        <v>744</v>
      </c>
      <c r="C12" s="8"/>
      <c r="D12" s="92">
        <f>+VLOOKUP(A12,Clasificaciones!C:I,5,FALSE)</f>
        <v>6000000</v>
      </c>
      <c r="E12" s="92">
        <v>0</v>
      </c>
      <c r="F12" s="92">
        <v>0</v>
      </c>
      <c r="G12" s="92">
        <f>+VLOOKUP(A12,Clasificaciones!C:M,9,FALSE)</f>
        <v>6000000</v>
      </c>
      <c r="H12" s="92">
        <f t="shared" si="2"/>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f t="shared" si="1"/>
        <v>0</v>
      </c>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row>
    <row r="13" spans="1:54" s="96" customFormat="1" ht="12" customHeight="1">
      <c r="A13" s="8">
        <v>111030106</v>
      </c>
      <c r="B13" s="8" t="s">
        <v>745</v>
      </c>
      <c r="C13" s="8"/>
      <c r="D13" s="92">
        <f>+VLOOKUP(A13,Clasificaciones!C:I,5,FALSE)</f>
        <v>5560000</v>
      </c>
      <c r="E13" s="92">
        <v>0</v>
      </c>
      <c r="F13" s="92">
        <v>0</v>
      </c>
      <c r="G13" s="92">
        <f>+VLOOKUP(A13,Clasificaciones!C:M,9,FALSE)</f>
        <v>5100000</v>
      </c>
      <c r="H13" s="92">
        <f t="shared" si="2"/>
        <v>460000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f t="shared" si="1"/>
        <v>460000</v>
      </c>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row>
    <row r="14" spans="1:54" s="96" customFormat="1" ht="12" customHeight="1">
      <c r="A14" s="8">
        <v>111030107</v>
      </c>
      <c r="B14" s="8" t="s">
        <v>746</v>
      </c>
      <c r="C14" s="8"/>
      <c r="D14" s="92">
        <f>+VLOOKUP(A14,Clasificaciones!C:I,5,FALSE)</f>
        <v>300374</v>
      </c>
      <c r="E14" s="92">
        <v>0</v>
      </c>
      <c r="F14" s="92">
        <v>0</v>
      </c>
      <c r="G14" s="92">
        <f>+VLOOKUP(A14,Clasificaciones!C:M,9,FALSE)</f>
        <v>300000</v>
      </c>
      <c r="H14" s="92">
        <f t="shared" si="2"/>
        <v>374</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f t="shared" si="1"/>
        <v>374</v>
      </c>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row>
    <row r="15" spans="1:54" s="96" customFormat="1" ht="12" customHeight="1">
      <c r="A15" s="8">
        <v>111030108</v>
      </c>
      <c r="B15" s="8" t="s">
        <v>747</v>
      </c>
      <c r="C15" s="8"/>
      <c r="D15" s="92">
        <f>+VLOOKUP(A15,Clasificaciones!C:I,5,FALSE)</f>
        <v>3468465</v>
      </c>
      <c r="E15" s="92">
        <v>0</v>
      </c>
      <c r="F15" s="92">
        <v>0</v>
      </c>
      <c r="G15" s="92">
        <f>+VLOOKUP(A15,Clasificaciones!C:M,9,FALSE)</f>
        <v>39964336</v>
      </c>
      <c r="H15" s="92">
        <f t="shared" si="2"/>
        <v>-36495871</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f t="shared" si="1"/>
        <v>-36495871</v>
      </c>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row>
    <row r="16" spans="1:54" s="100" customFormat="1" ht="12" customHeight="1">
      <c r="A16" s="8">
        <v>111030109</v>
      </c>
      <c r="B16" s="8" t="s">
        <v>748</v>
      </c>
      <c r="C16" s="8"/>
      <c r="D16" s="92">
        <f>+VLOOKUP(A16,Clasificaciones!C:I,5,FALSE)</f>
        <v>3982</v>
      </c>
      <c r="E16" s="92">
        <v>0</v>
      </c>
      <c r="F16" s="92">
        <v>0</v>
      </c>
      <c r="G16" s="92">
        <f>+VLOOKUP(A16,Clasificaciones!C:M,9,FALSE)</f>
        <v>1189</v>
      </c>
      <c r="H16" s="92">
        <f t="shared" si="2"/>
        <v>2793</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f t="shared" si="1"/>
        <v>2793</v>
      </c>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s="100" customFormat="1" ht="12" customHeight="1">
      <c r="A17" s="8">
        <v>111030111</v>
      </c>
      <c r="B17" s="8" t="s">
        <v>970</v>
      </c>
      <c r="C17" s="8"/>
      <c r="D17" s="92">
        <f>+VLOOKUP(A17,Clasificaciones!C:I,5,FALSE)</f>
        <v>36676</v>
      </c>
      <c r="E17" s="92">
        <v>0</v>
      </c>
      <c r="F17" s="92">
        <v>0</v>
      </c>
      <c r="G17" s="92">
        <f>+VLOOKUP(A17,Clasificaciones!C:M,9,FALSE)</f>
        <v>448</v>
      </c>
      <c r="H17" s="92">
        <f t="shared" si="2"/>
        <v>36228</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f t="shared" si="1"/>
        <v>36228</v>
      </c>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s="100" customFormat="1" ht="12" customHeight="1">
      <c r="A18" s="8">
        <v>111030112</v>
      </c>
      <c r="B18" s="8" t="s">
        <v>749</v>
      </c>
      <c r="C18" s="8"/>
      <c r="D18" s="92">
        <f>+VLOOKUP(A18,Clasificaciones!C:I,5,FALSE)</f>
        <v>263032</v>
      </c>
      <c r="E18" s="92">
        <v>0</v>
      </c>
      <c r="F18" s="92">
        <v>0</v>
      </c>
      <c r="G18" s="92">
        <f>+VLOOKUP(A18,Clasificaciones!C:M,9,FALSE)</f>
        <v>263014</v>
      </c>
      <c r="H18" s="92">
        <f t="shared" si="2"/>
        <v>18</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f t="shared" si="1"/>
        <v>18</v>
      </c>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s="100" customFormat="1" ht="12" customHeight="1">
      <c r="A19" s="8">
        <v>111030113</v>
      </c>
      <c r="B19" s="8" t="s">
        <v>750</v>
      </c>
      <c r="C19" s="8"/>
      <c r="D19" s="92">
        <f>+VLOOKUP(A19,Clasificaciones!C:I,5,FALSE)</f>
        <v>18159282</v>
      </c>
      <c r="E19" s="92">
        <v>0</v>
      </c>
      <c r="F19" s="92">
        <v>0</v>
      </c>
      <c r="G19" s="92">
        <f>+VLOOKUP(A19,Clasificaciones!C:M,9,FALSE)</f>
        <v>12324356</v>
      </c>
      <c r="H19" s="92">
        <f t="shared" si="2"/>
        <v>5834926</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f t="shared" si="1"/>
        <v>5834926</v>
      </c>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row>
    <row r="20" spans="1:54" s="100" customFormat="1" ht="12" customHeight="1">
      <c r="A20" s="8">
        <v>111030114</v>
      </c>
      <c r="B20" s="8" t="s">
        <v>751</v>
      </c>
      <c r="C20" s="8"/>
      <c r="D20" s="92">
        <f>+VLOOKUP(A20,Clasificaciones!C:I,5,FALSE)</f>
        <v>6759960</v>
      </c>
      <c r="E20" s="92">
        <v>0</v>
      </c>
      <c r="F20" s="92">
        <v>0</v>
      </c>
      <c r="G20" s="92">
        <f>+VLOOKUP(A20,Clasificaciones!C:M,9,FALSE)</f>
        <v>3000000</v>
      </c>
      <c r="H20" s="92">
        <f t="shared" si="2"/>
        <v>3759960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f t="shared" si="1"/>
        <v>3759960</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row>
    <row r="21" spans="1:54" s="100" customFormat="1" ht="12" customHeight="1">
      <c r="A21" s="8">
        <v>111030116</v>
      </c>
      <c r="B21" s="8" t="s">
        <v>1311</v>
      </c>
      <c r="C21" s="8"/>
      <c r="D21" s="92">
        <f>+VLOOKUP(A21,Clasificaciones!C:I,5,FALSE)</f>
        <v>3800000</v>
      </c>
      <c r="E21" s="92">
        <v>0</v>
      </c>
      <c r="F21" s="92">
        <v>0</v>
      </c>
      <c r="G21" s="92">
        <f>+VLOOKUP(A21,Clasificaciones!C:M,9,FALSE)</f>
        <v>0</v>
      </c>
      <c r="H21" s="92">
        <f t="shared" si="2"/>
        <v>3800000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f t="shared" si="1"/>
        <v>3800000</v>
      </c>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row>
    <row r="22" spans="1:54" s="100" customFormat="1" ht="12" customHeight="1">
      <c r="A22" s="8">
        <v>111030117</v>
      </c>
      <c r="B22" s="8" t="s">
        <v>1311</v>
      </c>
      <c r="C22" s="8"/>
      <c r="D22" s="92">
        <f>+VLOOKUP(A22,Clasificaciones!C:I,5,FALSE)</f>
        <v>1000706</v>
      </c>
      <c r="E22" s="92">
        <v>0</v>
      </c>
      <c r="F22" s="92">
        <v>0</v>
      </c>
      <c r="G22" s="92">
        <f>+VLOOKUP(A22,Clasificaciones!C:M,9,FALSE)</f>
        <v>0</v>
      </c>
      <c r="H22" s="92">
        <f t="shared" si="2"/>
        <v>1000706</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f t="shared" si="1"/>
        <v>1000706</v>
      </c>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row>
    <row r="23" spans="1:54" s="100" customFormat="1" ht="12" customHeight="1">
      <c r="A23" s="8">
        <v>111030118</v>
      </c>
      <c r="B23" s="8" t="s">
        <v>1312</v>
      </c>
      <c r="C23" s="8"/>
      <c r="D23" s="92">
        <f>+VLOOKUP(A23,Clasificaciones!C:I,5,FALSE)</f>
        <v>468059075</v>
      </c>
      <c r="E23" s="92">
        <v>0</v>
      </c>
      <c r="F23" s="92">
        <v>0</v>
      </c>
      <c r="G23" s="92">
        <f>+VLOOKUP(A23,Clasificaciones!C:M,9,FALSE)</f>
        <v>0</v>
      </c>
      <c r="H23" s="92">
        <f t="shared" si="2"/>
        <v>468059075</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f t="shared" si="1"/>
        <v>468059075</v>
      </c>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row>
    <row r="24" spans="1:54" s="102" customFormat="1" ht="12" customHeight="1">
      <c r="A24" s="8">
        <v>111030119</v>
      </c>
      <c r="B24" s="8" t="s">
        <v>761</v>
      </c>
      <c r="C24" s="8"/>
      <c r="D24" s="92">
        <f>+VLOOKUP(A24,Clasificaciones!C:I,5,FALSE)</f>
        <v>110</v>
      </c>
      <c r="E24" s="92">
        <v>0</v>
      </c>
      <c r="F24" s="92">
        <v>0</v>
      </c>
      <c r="G24" s="92">
        <f>+VLOOKUP(A24,Clasificaciones!C:M,9,FALSE)</f>
        <v>0</v>
      </c>
      <c r="H24" s="92">
        <f t="shared" si="2"/>
        <v>110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f t="shared" si="1"/>
        <v>110</v>
      </c>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row>
    <row r="25" spans="1:54" s="102" customFormat="1" ht="12" customHeight="1">
      <c r="A25" s="8">
        <v>111030121</v>
      </c>
      <c r="B25" s="8" t="s">
        <v>988</v>
      </c>
      <c r="C25" s="8"/>
      <c r="D25" s="92">
        <f>+VLOOKUP(A25,Clasificaciones!C:I,5,FALSE)</f>
        <v>47834073</v>
      </c>
      <c r="E25" s="92">
        <v>0</v>
      </c>
      <c r="F25" s="92">
        <v>0</v>
      </c>
      <c r="G25" s="92">
        <f>+VLOOKUP(A25,Clasificaciones!C:M,9,FALSE)</f>
        <v>0</v>
      </c>
      <c r="H25" s="92">
        <f t="shared" si="2"/>
        <v>47834073</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f t="shared" si="1"/>
        <v>47834073</v>
      </c>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s="100" customFormat="1" ht="12" customHeight="1">
      <c r="A26" s="8">
        <v>111030122</v>
      </c>
      <c r="B26" s="8" t="s">
        <v>1313</v>
      </c>
      <c r="C26" s="8"/>
      <c r="D26" s="92">
        <f>+VLOOKUP(A26,Clasificaciones!C:I,5,FALSE)</f>
        <v>7781169</v>
      </c>
      <c r="E26" s="92">
        <v>0</v>
      </c>
      <c r="F26" s="92">
        <v>0</v>
      </c>
      <c r="G26" s="92">
        <f>+VLOOKUP(A26,Clasificaciones!C:M,9,FALSE)</f>
        <v>0</v>
      </c>
      <c r="H26" s="92">
        <f t="shared" si="2"/>
        <v>7781169</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f t="shared" si="1"/>
        <v>7781169</v>
      </c>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row>
    <row r="27" spans="1:54" s="100" customFormat="1" ht="12" customHeight="1">
      <c r="A27" s="8">
        <v>1110302</v>
      </c>
      <c r="B27" s="8" t="s">
        <v>752</v>
      </c>
      <c r="C27" s="8"/>
      <c r="D27" s="92">
        <f>+VLOOKUP(A27,Clasificaciones!C:I,5,FALSE)</f>
        <v>0</v>
      </c>
      <c r="E27" s="92">
        <v>0</v>
      </c>
      <c r="F27" s="92">
        <v>0</v>
      </c>
      <c r="G27" s="92">
        <f>+VLOOKUP(A27,Clasificaciones!C:M,9,FALSE)</f>
        <v>0</v>
      </c>
      <c r="H27" s="92">
        <f t="shared" si="2"/>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f t="shared" si="1"/>
        <v>0</v>
      </c>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row>
    <row r="28" spans="1:54" s="100" customFormat="1" ht="12" customHeight="1">
      <c r="A28" s="8">
        <v>111030201</v>
      </c>
      <c r="B28" s="8" t="s">
        <v>989</v>
      </c>
      <c r="C28" s="8"/>
      <c r="D28" s="92">
        <f>+VLOOKUP(A28,Clasificaciones!C:I,5,FALSE)</f>
        <v>1</v>
      </c>
      <c r="E28" s="92">
        <v>0</v>
      </c>
      <c r="F28" s="92">
        <v>0</v>
      </c>
      <c r="G28" s="92">
        <f>+VLOOKUP(A28,Clasificaciones!C:M,9,FALSE)</f>
        <v>0</v>
      </c>
      <c r="H28" s="92">
        <f t="shared" si="2"/>
        <v>1</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c r="Z28" s="26">
        <v>0</v>
      </c>
      <c r="AA28" s="26">
        <f t="shared" si="1"/>
        <v>1</v>
      </c>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row>
    <row r="29" spans="1:54" s="100" customFormat="1" ht="12" customHeight="1">
      <c r="A29" s="8">
        <v>111030202</v>
      </c>
      <c r="B29" s="8" t="s">
        <v>753</v>
      </c>
      <c r="C29" s="8"/>
      <c r="D29" s="92">
        <f>+VLOOKUP(A29,Clasificaciones!C:I,5,FALSE)</f>
        <v>103749</v>
      </c>
      <c r="E29" s="92">
        <v>0</v>
      </c>
      <c r="F29" s="92">
        <v>0</v>
      </c>
      <c r="G29" s="92">
        <f>+VLOOKUP(A29,Clasificaciones!C:M,9,FALSE)</f>
        <v>45627</v>
      </c>
      <c r="H29" s="92">
        <f t="shared" si="2"/>
        <v>58122</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f t="shared" si="1"/>
        <v>58122</v>
      </c>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row>
    <row r="30" spans="1:54" s="100" customFormat="1" ht="12" customHeight="1">
      <c r="A30" s="8">
        <v>111030203</v>
      </c>
      <c r="B30" s="8" t="s">
        <v>754</v>
      </c>
      <c r="C30" s="8"/>
      <c r="D30" s="92">
        <f>+VLOOKUP(A30,Clasificaciones!C:I,5,FALSE)</f>
        <v>47566618</v>
      </c>
      <c r="E30" s="92">
        <v>0</v>
      </c>
      <c r="F30" s="92">
        <v>0</v>
      </c>
      <c r="G30" s="92">
        <f>+VLOOKUP(A30,Clasificaciones!C:M,9,FALSE)</f>
        <v>41351760</v>
      </c>
      <c r="H30" s="92">
        <f t="shared" si="2"/>
        <v>6214858</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f t="shared" si="1"/>
        <v>6214858</v>
      </c>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row>
    <row r="31" spans="1:54" s="100" customFormat="1" ht="12" customHeight="1">
      <c r="A31" s="8">
        <v>111030204</v>
      </c>
      <c r="B31" s="8" t="s">
        <v>755</v>
      </c>
      <c r="C31" s="8"/>
      <c r="D31" s="92">
        <f>+VLOOKUP(A31,Clasificaciones!C:I,5,FALSE)</f>
        <v>51387132</v>
      </c>
      <c r="E31" s="92">
        <v>0</v>
      </c>
      <c r="F31" s="92">
        <v>0</v>
      </c>
      <c r="G31" s="92">
        <f>+VLOOKUP(A31,Clasificaciones!C:M,9,FALSE)</f>
        <v>41351760</v>
      </c>
      <c r="H31" s="92">
        <f t="shared" si="2"/>
        <v>10035372</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f t="shared" si="1"/>
        <v>10035372</v>
      </c>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row>
    <row r="32" spans="1:54" s="100" customFormat="1" ht="12" customHeight="1">
      <c r="A32" s="8">
        <v>111030206</v>
      </c>
      <c r="B32" s="8" t="s">
        <v>756</v>
      </c>
      <c r="C32" s="8"/>
      <c r="D32" s="92">
        <f>+VLOOKUP(A32,Clasificaciones!C:I,5,FALSE)</f>
        <v>39661888</v>
      </c>
      <c r="E32" s="92">
        <v>0</v>
      </c>
      <c r="F32" s="92">
        <v>0</v>
      </c>
      <c r="G32" s="92">
        <f>+VLOOKUP(A32,Clasificaciones!C:M,9,FALSE)</f>
        <v>5858</v>
      </c>
      <c r="H32" s="92">
        <f t="shared" si="2"/>
        <v>39656030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f t="shared" si="1"/>
        <v>39656030</v>
      </c>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row>
    <row r="33" spans="1:54" s="100" customFormat="1" ht="12" customHeight="1">
      <c r="A33" s="8">
        <v>111030207</v>
      </c>
      <c r="B33" s="8" t="s">
        <v>991</v>
      </c>
      <c r="C33" s="8"/>
      <c r="D33" s="92">
        <f>+VLOOKUP(A33,Clasificaciones!C:I,5,FALSE)</f>
        <v>12780</v>
      </c>
      <c r="E33" s="92">
        <v>0</v>
      </c>
      <c r="F33" s="92">
        <v>0</v>
      </c>
      <c r="G33" s="92">
        <f>+VLOOKUP(A33,Clasificaciones!C:M,9,FALSE)</f>
        <v>0</v>
      </c>
      <c r="H33" s="92">
        <f t="shared" si="2"/>
        <v>12780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f t="shared" si="1"/>
        <v>12780</v>
      </c>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row>
    <row r="34" spans="1:54" s="100" customFormat="1" ht="12" customHeight="1">
      <c r="A34" s="8">
        <v>111030209</v>
      </c>
      <c r="B34" s="8" t="s">
        <v>757</v>
      </c>
      <c r="C34" s="8"/>
      <c r="D34" s="92">
        <f>+VLOOKUP(A34,Clasificaciones!C:I,5,FALSE)</f>
        <v>34835</v>
      </c>
      <c r="E34" s="92">
        <v>0</v>
      </c>
      <c r="F34" s="92">
        <v>0</v>
      </c>
      <c r="G34" s="92">
        <f>+VLOOKUP(A34,Clasificaciones!C:M,9,FALSE)</f>
        <v>758</v>
      </c>
      <c r="H34" s="92">
        <f t="shared" si="2"/>
        <v>34077</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f t="shared" si="1"/>
        <v>34077</v>
      </c>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s="100" customFormat="1" ht="12" customHeight="1">
      <c r="A35" s="8">
        <v>111030210</v>
      </c>
      <c r="B35" s="8" t="s">
        <v>758</v>
      </c>
      <c r="C35" s="8"/>
      <c r="D35" s="92">
        <f>+VLOOKUP(A35,Clasificaciones!C:I,5,FALSE)</f>
        <v>28300935</v>
      </c>
      <c r="E35" s="92">
        <v>0</v>
      </c>
      <c r="F35" s="92">
        <v>0</v>
      </c>
      <c r="G35" s="92">
        <f>+VLOOKUP(A35,Clasificaciones!C:M,9,FALSE)</f>
        <v>104212293</v>
      </c>
      <c r="H35" s="92">
        <f t="shared" si="2"/>
        <v>-75911358</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f t="shared" si="1"/>
        <v>-75911358</v>
      </c>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row>
    <row r="36" spans="1:54" s="100" customFormat="1" ht="12" customHeight="1">
      <c r="A36" s="8">
        <v>111030211</v>
      </c>
      <c r="B36" s="8" t="s">
        <v>759</v>
      </c>
      <c r="C36" s="8"/>
      <c r="D36" s="92">
        <f>+VLOOKUP(A36,Clasificaciones!C:I,5,FALSE)</f>
        <v>16401929</v>
      </c>
      <c r="E36" s="92">
        <v>0</v>
      </c>
      <c r="F36" s="92">
        <v>0</v>
      </c>
      <c r="G36" s="92">
        <f>+VLOOKUP(A36,Clasificaciones!C:M,9,FALSE)</f>
        <v>59334538</v>
      </c>
      <c r="H36" s="92">
        <f t="shared" si="2"/>
        <v>-42932609</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f t="shared" si="1"/>
        <v>-42932609</v>
      </c>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row>
    <row r="37" spans="1:54" s="100" customFormat="1" ht="12" customHeight="1">
      <c r="A37" s="8">
        <v>111030212</v>
      </c>
      <c r="B37" s="8" t="s">
        <v>760</v>
      </c>
      <c r="C37" s="8"/>
      <c r="D37" s="92">
        <f>+VLOOKUP(A37,Clasificaciones!C:I,5,FALSE)</f>
        <v>22914151</v>
      </c>
      <c r="E37" s="92">
        <v>0</v>
      </c>
      <c r="F37" s="92">
        <v>0</v>
      </c>
      <c r="G37" s="92">
        <f>+VLOOKUP(A37,Clasificaciones!C:M,9,FALSE)</f>
        <v>20675880</v>
      </c>
      <c r="H37" s="92">
        <f t="shared" si="2"/>
        <v>2238271</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f t="shared" si="1"/>
        <v>2238271</v>
      </c>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row>
    <row r="38" spans="1:54" s="100" customFormat="1" ht="12" customHeight="1">
      <c r="A38" s="8">
        <v>111030214</v>
      </c>
      <c r="B38" s="8" t="s">
        <v>761</v>
      </c>
      <c r="C38" s="8"/>
      <c r="D38" s="92">
        <f>+VLOOKUP(A38,Clasificaciones!C:I,5,FALSE)</f>
        <v>10492</v>
      </c>
      <c r="E38" s="92">
        <v>0</v>
      </c>
      <c r="F38" s="92">
        <v>0</v>
      </c>
      <c r="G38" s="92">
        <f>+VLOOKUP(A38,Clasificaciones!C:M,9,FALSE)</f>
        <v>0</v>
      </c>
      <c r="H38" s="92">
        <f t="shared" si="2"/>
        <v>10492</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f t="shared" si="1"/>
        <v>10492</v>
      </c>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row>
    <row r="39" spans="1:54" s="100" customFormat="1" ht="12" customHeight="1">
      <c r="A39" s="8">
        <v>111030216</v>
      </c>
      <c r="B39" s="8" t="s">
        <v>1355</v>
      </c>
      <c r="C39" s="8"/>
      <c r="D39" s="92">
        <f>+VLOOKUP(A39,Clasificaciones!C:I,5,FALSE)</f>
        <v>6871291</v>
      </c>
      <c r="E39" s="92">
        <v>0</v>
      </c>
      <c r="F39" s="92">
        <v>0</v>
      </c>
      <c r="G39" s="92">
        <f>+VLOOKUP(A39,Clasificaciones!C:M,9,FALSE)</f>
        <v>0</v>
      </c>
      <c r="H39" s="92">
        <f t="shared" si="2"/>
        <v>6871291</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f t="shared" si="1"/>
        <v>6871291</v>
      </c>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s="100" customFormat="1" ht="12" customHeight="1">
      <c r="A40" s="8">
        <v>111030217</v>
      </c>
      <c r="B40" s="8" t="s">
        <v>762</v>
      </c>
      <c r="C40" s="8"/>
      <c r="D40" s="92">
        <f>+VLOOKUP(A40,Clasificaciones!C:I,5,FALSE)</f>
        <v>61362792</v>
      </c>
      <c r="E40" s="92">
        <v>0</v>
      </c>
      <c r="F40" s="92">
        <v>0</v>
      </c>
      <c r="G40" s="92">
        <f>+VLOOKUP(A40,Clasificaciones!C:M,9,FALSE)</f>
        <v>0</v>
      </c>
      <c r="H40" s="92">
        <f t="shared" si="2"/>
        <v>61362792</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f t="shared" si="1"/>
        <v>61362792</v>
      </c>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s="100" customFormat="1" ht="12" customHeight="1">
      <c r="A41" s="8">
        <v>111030218</v>
      </c>
      <c r="B41" s="8" t="s">
        <v>763</v>
      </c>
      <c r="C41" s="8"/>
      <c r="D41" s="92">
        <f>+VLOOKUP(A41,Clasificaciones!C:I,5,FALSE)</f>
        <v>26311969</v>
      </c>
      <c r="E41" s="92">
        <v>0</v>
      </c>
      <c r="F41" s="92">
        <v>0</v>
      </c>
      <c r="G41" s="92">
        <f>+VLOOKUP(A41,Clasificaciones!C:M,9,FALSE)</f>
        <v>0</v>
      </c>
      <c r="H41" s="92">
        <f t="shared" si="2"/>
        <v>26311969</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6">
        <v>0</v>
      </c>
      <c r="Z41" s="26">
        <v>0</v>
      </c>
      <c r="AA41" s="26">
        <f t="shared" si="1"/>
        <v>26311969</v>
      </c>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row>
    <row r="42" spans="1:54" s="100" customFormat="1" ht="12" customHeight="1">
      <c r="A42" s="8">
        <v>111030219</v>
      </c>
      <c r="B42" s="8" t="s">
        <v>764</v>
      </c>
      <c r="C42" s="8"/>
      <c r="D42" s="92">
        <f>+VLOOKUP(A42,Clasificaciones!C:I,5,FALSE)</f>
        <v>20109555</v>
      </c>
      <c r="E42" s="92">
        <v>0</v>
      </c>
      <c r="F42" s="92">
        <v>0</v>
      </c>
      <c r="G42" s="92">
        <f>+VLOOKUP(A42,Clasificaciones!C:M,9,FALSE)</f>
        <v>0</v>
      </c>
      <c r="H42" s="92">
        <f t="shared" si="2"/>
        <v>20109555</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f t="shared" si="1"/>
        <v>20109555</v>
      </c>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54" s="100" customFormat="1" ht="12" customHeight="1">
      <c r="A43" s="103">
        <v>112</v>
      </c>
      <c r="B43" s="104" t="s">
        <v>249</v>
      </c>
      <c r="C43" s="104"/>
      <c r="D43" s="92">
        <f>+VLOOKUP(A43,Clasificaciones!C:I,5,FALSE)</f>
        <v>0</v>
      </c>
      <c r="E43" s="92">
        <v>0</v>
      </c>
      <c r="F43" s="92">
        <v>0</v>
      </c>
      <c r="G43" s="92">
        <f>+VLOOKUP(A43,Clasificaciones!C:M,9,FALSE)</f>
        <v>0</v>
      </c>
      <c r="H43" s="92">
        <f t="shared" si="2"/>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f t="shared" si="1"/>
        <v>0</v>
      </c>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row>
    <row r="44" spans="1:54" s="102" customFormat="1" ht="12" customHeight="1">
      <c r="A44" s="8">
        <v>11201</v>
      </c>
      <c r="B44" s="8" t="s">
        <v>765</v>
      </c>
      <c r="C44" s="8"/>
      <c r="D44" s="92">
        <f>+VLOOKUP(A44,Clasificaciones!C:I,5,FALSE)</f>
        <v>0</v>
      </c>
      <c r="E44" s="92">
        <v>0</v>
      </c>
      <c r="F44" s="92">
        <v>0</v>
      </c>
      <c r="G44" s="92">
        <f>+VLOOKUP(A44,Clasificaciones!C:M,9,FALSE)</f>
        <v>0</v>
      </c>
      <c r="H44" s="92">
        <f t="shared" si="2"/>
        <v>0</v>
      </c>
      <c r="I44" s="26">
        <v>0</v>
      </c>
      <c r="J44" s="26">
        <v>0</v>
      </c>
      <c r="K44" s="26">
        <v>0</v>
      </c>
      <c r="L44" s="26">
        <v>0</v>
      </c>
      <c r="M44" s="26">
        <v>0</v>
      </c>
      <c r="N44" s="26">
        <v>0</v>
      </c>
      <c r="O44" s="26">
        <v>0</v>
      </c>
      <c r="P44" s="26">
        <v>0</v>
      </c>
      <c r="Q44" s="26">
        <v>0</v>
      </c>
      <c r="R44" s="26">
        <v>0</v>
      </c>
      <c r="S44" s="26">
        <f>+H44</f>
        <v>0</v>
      </c>
      <c r="T44" s="26">
        <v>0</v>
      </c>
      <c r="U44" s="26">
        <v>0</v>
      </c>
      <c r="V44" s="26">
        <v>0</v>
      </c>
      <c r="W44" s="26">
        <v>0</v>
      </c>
      <c r="X44" s="26">
        <v>0</v>
      </c>
      <c r="Y44" s="26">
        <v>0</v>
      </c>
      <c r="Z44" s="26">
        <v>0</v>
      </c>
      <c r="AA44" s="26">
        <f t="shared" si="1"/>
        <v>0</v>
      </c>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row>
    <row r="45" spans="1:54" s="100" customFormat="1" ht="12" customHeight="1">
      <c r="A45" s="8">
        <v>112011</v>
      </c>
      <c r="B45" s="8" t="s">
        <v>766</v>
      </c>
      <c r="C45" s="8"/>
      <c r="D45" s="92">
        <f>+VLOOKUP(A45,Clasificaciones!C:I,5,FALSE)</f>
        <v>0</v>
      </c>
      <c r="E45" s="92">
        <v>0</v>
      </c>
      <c r="F45" s="92">
        <v>0</v>
      </c>
      <c r="G45" s="92">
        <f>+VLOOKUP(A45,Clasificaciones!C:M,9,FALSE)</f>
        <v>0</v>
      </c>
      <c r="H45" s="92">
        <f t="shared" si="2"/>
        <v>0</v>
      </c>
      <c r="I45" s="26">
        <v>0</v>
      </c>
      <c r="J45" s="26">
        <v>0</v>
      </c>
      <c r="K45" s="26">
        <v>0</v>
      </c>
      <c r="L45" s="26">
        <v>0</v>
      </c>
      <c r="M45" s="26">
        <v>0</v>
      </c>
      <c r="N45" s="26">
        <v>0</v>
      </c>
      <c r="O45" s="26">
        <v>0</v>
      </c>
      <c r="P45" s="26">
        <v>0</v>
      </c>
      <c r="Q45" s="26">
        <v>0</v>
      </c>
      <c r="R45" s="26">
        <v>0</v>
      </c>
      <c r="S45" s="26">
        <f t="shared" ref="S45:S68" si="3">+H45</f>
        <v>0</v>
      </c>
      <c r="T45" s="26">
        <v>0</v>
      </c>
      <c r="U45" s="26">
        <v>0</v>
      </c>
      <c r="V45" s="26">
        <v>0</v>
      </c>
      <c r="W45" s="26">
        <v>0</v>
      </c>
      <c r="X45" s="26">
        <v>0</v>
      </c>
      <c r="Y45" s="26">
        <v>0</v>
      </c>
      <c r="Z45" s="26">
        <v>0</v>
      </c>
      <c r="AA45" s="26">
        <f t="shared" si="1"/>
        <v>0</v>
      </c>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row>
    <row r="46" spans="1:54" s="100" customFormat="1" ht="12" customHeight="1">
      <c r="A46" s="8">
        <v>1120111</v>
      </c>
      <c r="B46" s="8" t="s">
        <v>767</v>
      </c>
      <c r="C46" s="8"/>
      <c r="D46" s="92">
        <f>+VLOOKUP(A46,Clasificaciones!C:I,5,FALSE)</f>
        <v>0</v>
      </c>
      <c r="E46" s="92">
        <v>0</v>
      </c>
      <c r="F46" s="92">
        <v>0</v>
      </c>
      <c r="G46" s="92">
        <f>+VLOOKUP(A46,Clasificaciones!C:M,9,FALSE)</f>
        <v>0</v>
      </c>
      <c r="H46" s="92">
        <f t="shared" si="2"/>
        <v>0</v>
      </c>
      <c r="I46" s="26">
        <v>0</v>
      </c>
      <c r="J46" s="26">
        <v>0</v>
      </c>
      <c r="K46" s="26">
        <v>0</v>
      </c>
      <c r="L46" s="26">
        <v>0</v>
      </c>
      <c r="M46" s="26">
        <v>0</v>
      </c>
      <c r="N46" s="26">
        <v>0</v>
      </c>
      <c r="O46" s="26">
        <v>0</v>
      </c>
      <c r="P46" s="26">
        <v>0</v>
      </c>
      <c r="Q46" s="26">
        <v>0</v>
      </c>
      <c r="R46" s="26">
        <v>0</v>
      </c>
      <c r="S46" s="26">
        <f t="shared" si="3"/>
        <v>0</v>
      </c>
      <c r="T46" s="26">
        <v>0</v>
      </c>
      <c r="U46" s="26">
        <v>0</v>
      </c>
      <c r="V46" s="26">
        <v>0</v>
      </c>
      <c r="W46" s="26">
        <v>0</v>
      </c>
      <c r="X46" s="26">
        <v>0</v>
      </c>
      <c r="Y46" s="26">
        <v>0</v>
      </c>
      <c r="Z46" s="26">
        <v>0</v>
      </c>
      <c r="AA46" s="26">
        <f t="shared" si="1"/>
        <v>0</v>
      </c>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row>
    <row r="47" spans="1:54" s="106" customFormat="1" ht="12" customHeight="1">
      <c r="A47" s="25">
        <v>11201111</v>
      </c>
      <c r="B47" s="25" t="s">
        <v>768</v>
      </c>
      <c r="C47" s="25"/>
      <c r="D47" s="92">
        <f>+VLOOKUP(A47,Clasificaciones!C:I,5,FALSE)</f>
        <v>0</v>
      </c>
      <c r="E47" s="92">
        <v>0</v>
      </c>
      <c r="F47" s="92">
        <v>0</v>
      </c>
      <c r="G47" s="92">
        <f>+VLOOKUP(A47,Clasificaciones!C:M,9,FALSE)</f>
        <v>0</v>
      </c>
      <c r="H47" s="92">
        <f t="shared" si="2"/>
        <v>0</v>
      </c>
      <c r="I47" s="26">
        <v>0</v>
      </c>
      <c r="J47" s="26">
        <v>0</v>
      </c>
      <c r="K47" s="26">
        <v>0</v>
      </c>
      <c r="L47" s="26">
        <v>0</v>
      </c>
      <c r="M47" s="26">
        <v>0</v>
      </c>
      <c r="N47" s="26">
        <v>0</v>
      </c>
      <c r="O47" s="26">
        <v>0</v>
      </c>
      <c r="P47" s="26">
        <v>0</v>
      </c>
      <c r="Q47" s="26">
        <v>0</v>
      </c>
      <c r="R47" s="26">
        <v>0</v>
      </c>
      <c r="S47" s="26">
        <f t="shared" si="3"/>
        <v>0</v>
      </c>
      <c r="T47" s="26">
        <v>0</v>
      </c>
      <c r="U47" s="26">
        <v>0</v>
      </c>
      <c r="V47" s="26">
        <v>0</v>
      </c>
      <c r="W47" s="26">
        <v>0</v>
      </c>
      <c r="X47" s="26">
        <v>0</v>
      </c>
      <c r="Y47" s="26">
        <v>0</v>
      </c>
      <c r="Z47" s="26">
        <v>0</v>
      </c>
      <c r="AA47" s="26">
        <f t="shared" si="1"/>
        <v>0</v>
      </c>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row>
    <row r="48" spans="1:54" s="106" customFormat="1" ht="12" customHeight="1">
      <c r="A48" s="25">
        <v>1120111101</v>
      </c>
      <c r="B48" s="25" t="s">
        <v>769</v>
      </c>
      <c r="C48" s="25"/>
      <c r="D48" s="92">
        <f>+VLOOKUP(A48,Clasificaciones!C:I,5,FALSE)</f>
        <v>75000000</v>
      </c>
      <c r="E48" s="92">
        <v>0</v>
      </c>
      <c r="F48" s="92">
        <v>0</v>
      </c>
      <c r="G48" s="92">
        <f>+VLOOKUP(A48,Clasificaciones!C:M,9,FALSE)</f>
        <v>75000000</v>
      </c>
      <c r="H48" s="92">
        <f t="shared" si="2"/>
        <v>0</v>
      </c>
      <c r="I48" s="26">
        <v>0</v>
      </c>
      <c r="J48" s="26">
        <v>0</v>
      </c>
      <c r="K48" s="26">
        <v>0</v>
      </c>
      <c r="L48" s="26">
        <v>0</v>
      </c>
      <c r="M48" s="26">
        <v>0</v>
      </c>
      <c r="N48" s="26">
        <v>0</v>
      </c>
      <c r="O48" s="26">
        <v>0</v>
      </c>
      <c r="P48" s="26">
        <v>0</v>
      </c>
      <c r="Q48" s="26">
        <v>0</v>
      </c>
      <c r="R48" s="26">
        <v>0</v>
      </c>
      <c r="S48" s="26">
        <f t="shared" si="3"/>
        <v>0</v>
      </c>
      <c r="T48" s="26">
        <v>0</v>
      </c>
      <c r="U48" s="26">
        <v>0</v>
      </c>
      <c r="V48" s="26">
        <v>0</v>
      </c>
      <c r="W48" s="26">
        <v>0</v>
      </c>
      <c r="X48" s="26">
        <v>0</v>
      </c>
      <c r="Y48" s="26">
        <v>0</v>
      </c>
      <c r="Z48" s="26">
        <v>0</v>
      </c>
      <c r="AA48" s="26">
        <f t="shared" si="1"/>
        <v>0</v>
      </c>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row>
    <row r="49" spans="1:54" s="106" customFormat="1" ht="12" customHeight="1">
      <c r="A49" s="25">
        <v>1120112</v>
      </c>
      <c r="B49" s="25" t="s">
        <v>770</v>
      </c>
      <c r="C49" s="25"/>
      <c r="D49" s="92">
        <f>+VLOOKUP(A49,Clasificaciones!C:I,5,FALSE)</f>
        <v>0</v>
      </c>
      <c r="E49" s="92">
        <v>0</v>
      </c>
      <c r="F49" s="92">
        <v>0</v>
      </c>
      <c r="G49" s="92">
        <f>+VLOOKUP(A49,Clasificaciones!C:M,9,FALSE)</f>
        <v>0</v>
      </c>
      <c r="H49" s="92">
        <f t="shared" si="2"/>
        <v>0</v>
      </c>
      <c r="I49" s="26">
        <v>0</v>
      </c>
      <c r="J49" s="26">
        <v>0</v>
      </c>
      <c r="K49" s="26">
        <v>0</v>
      </c>
      <c r="L49" s="26">
        <v>0</v>
      </c>
      <c r="M49" s="26">
        <v>0</v>
      </c>
      <c r="N49" s="26">
        <v>0</v>
      </c>
      <c r="O49" s="26">
        <v>0</v>
      </c>
      <c r="P49" s="26">
        <f t="shared" ref="P49:P50" si="4">-H49</f>
        <v>0</v>
      </c>
      <c r="Q49" s="26">
        <v>0</v>
      </c>
      <c r="R49" s="26">
        <v>0</v>
      </c>
      <c r="S49" s="26">
        <f t="shared" si="3"/>
        <v>0</v>
      </c>
      <c r="T49" s="26">
        <v>0</v>
      </c>
      <c r="U49" s="26">
        <v>0</v>
      </c>
      <c r="V49" s="26">
        <v>0</v>
      </c>
      <c r="W49" s="26">
        <v>0</v>
      </c>
      <c r="X49" s="26">
        <v>0</v>
      </c>
      <c r="Y49" s="26">
        <v>0</v>
      </c>
      <c r="Z49" s="26">
        <v>0</v>
      </c>
      <c r="AA49" s="26">
        <f t="shared" si="1"/>
        <v>0</v>
      </c>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row>
    <row r="50" spans="1:54" s="106" customFormat="1" ht="12" customHeight="1">
      <c r="A50" s="8">
        <v>11201121</v>
      </c>
      <c r="B50" s="8" t="s">
        <v>574</v>
      </c>
      <c r="C50" s="8"/>
      <c r="D50" s="92">
        <f>+VLOOKUP(A50,Clasificaciones!C:I,5,FALSE)</f>
        <v>0</v>
      </c>
      <c r="E50" s="92">
        <v>0</v>
      </c>
      <c r="F50" s="92">
        <v>0</v>
      </c>
      <c r="G50" s="92">
        <f>+VLOOKUP(A50,Clasificaciones!C:M,9,FALSE)</f>
        <v>0</v>
      </c>
      <c r="H50" s="92">
        <f t="shared" si="2"/>
        <v>0</v>
      </c>
      <c r="I50" s="26">
        <v>0</v>
      </c>
      <c r="J50" s="26">
        <v>0</v>
      </c>
      <c r="K50" s="26">
        <v>0</v>
      </c>
      <c r="L50" s="26">
        <v>0</v>
      </c>
      <c r="M50" s="26">
        <v>0</v>
      </c>
      <c r="N50" s="26">
        <v>0</v>
      </c>
      <c r="O50" s="26">
        <v>0</v>
      </c>
      <c r="P50" s="26">
        <f t="shared" si="4"/>
        <v>0</v>
      </c>
      <c r="Q50" s="26">
        <v>0</v>
      </c>
      <c r="R50" s="26">
        <v>0</v>
      </c>
      <c r="S50" s="26">
        <f t="shared" si="3"/>
        <v>0</v>
      </c>
      <c r="T50" s="26">
        <v>0</v>
      </c>
      <c r="U50" s="26">
        <v>0</v>
      </c>
      <c r="V50" s="26">
        <v>0</v>
      </c>
      <c r="W50" s="26">
        <v>0</v>
      </c>
      <c r="X50" s="26">
        <v>0</v>
      </c>
      <c r="Y50" s="26">
        <v>0</v>
      </c>
      <c r="Z50" s="26">
        <v>0</v>
      </c>
      <c r="AA50" s="26">
        <f t="shared" si="1"/>
        <v>0</v>
      </c>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row>
    <row r="51" spans="1:54" s="106" customFormat="1" ht="12" customHeight="1">
      <c r="A51" s="8">
        <v>1120112101</v>
      </c>
      <c r="B51" s="8" t="s">
        <v>771</v>
      </c>
      <c r="C51" s="8"/>
      <c r="D51" s="92">
        <f>+VLOOKUP(A51,Clasificaciones!C:I,5,FALSE)</f>
        <v>100000000</v>
      </c>
      <c r="E51" s="92">
        <v>0</v>
      </c>
      <c r="F51" s="92">
        <v>0</v>
      </c>
      <c r="G51" s="92">
        <f>+VLOOKUP(A51,Clasificaciones!C:M,9,FALSE)</f>
        <v>529000000</v>
      </c>
      <c r="H51" s="92">
        <f t="shared" si="2"/>
        <v>-429000000</v>
      </c>
      <c r="I51" s="26">
        <v>0</v>
      </c>
      <c r="J51" s="26">
        <v>0</v>
      </c>
      <c r="K51" s="26">
        <v>0</v>
      </c>
      <c r="L51" s="26">
        <v>0</v>
      </c>
      <c r="M51" s="26">
        <v>0</v>
      </c>
      <c r="N51" s="26">
        <v>0</v>
      </c>
      <c r="O51" s="26">
        <v>0</v>
      </c>
      <c r="P51" s="26">
        <v>0</v>
      </c>
      <c r="Q51" s="26">
        <v>0</v>
      </c>
      <c r="R51" s="26">
        <v>0</v>
      </c>
      <c r="S51" s="26">
        <f t="shared" ref="S51:S67" si="5">-H51</f>
        <v>429000000</v>
      </c>
      <c r="T51" s="26">
        <v>0</v>
      </c>
      <c r="U51" s="26">
        <v>0</v>
      </c>
      <c r="V51" s="26">
        <v>0</v>
      </c>
      <c r="W51" s="26">
        <v>0</v>
      </c>
      <c r="X51" s="26">
        <v>0</v>
      </c>
      <c r="Y51" s="26">
        <v>0</v>
      </c>
      <c r="Z51" s="26">
        <v>0</v>
      </c>
      <c r="AA51" s="26">
        <f t="shared" si="1"/>
        <v>0</v>
      </c>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row>
    <row r="52" spans="1:54" s="109" customFormat="1" ht="12" customHeight="1">
      <c r="A52" s="8">
        <v>11201122</v>
      </c>
      <c r="B52" s="8" t="s">
        <v>1001</v>
      </c>
      <c r="C52" s="8"/>
      <c r="D52" s="92">
        <f>+VLOOKUP(A52,Clasificaciones!C:I,5,FALSE)</f>
        <v>0</v>
      </c>
      <c r="E52" s="92">
        <v>0</v>
      </c>
      <c r="F52" s="92">
        <v>0</v>
      </c>
      <c r="G52" s="92">
        <f>+VLOOKUP(A52,Clasificaciones!C:M,9,FALSE)</f>
        <v>0</v>
      </c>
      <c r="H52" s="92">
        <f t="shared" si="2"/>
        <v>0</v>
      </c>
      <c r="I52" s="26">
        <v>0</v>
      </c>
      <c r="J52" s="26">
        <v>0</v>
      </c>
      <c r="K52" s="26">
        <v>0</v>
      </c>
      <c r="L52" s="26">
        <v>0</v>
      </c>
      <c r="M52" s="26">
        <v>0</v>
      </c>
      <c r="N52" s="26">
        <v>0</v>
      </c>
      <c r="O52" s="26">
        <v>0</v>
      </c>
      <c r="P52" s="26">
        <v>0</v>
      </c>
      <c r="Q52" s="26">
        <v>0</v>
      </c>
      <c r="R52" s="26">
        <v>0</v>
      </c>
      <c r="S52" s="26">
        <f t="shared" si="5"/>
        <v>0</v>
      </c>
      <c r="T52" s="26">
        <v>0</v>
      </c>
      <c r="U52" s="26">
        <v>0</v>
      </c>
      <c r="V52" s="26">
        <v>0</v>
      </c>
      <c r="W52" s="26">
        <v>0</v>
      </c>
      <c r="X52" s="26">
        <v>0</v>
      </c>
      <c r="Y52" s="26">
        <v>0</v>
      </c>
      <c r="Z52" s="26">
        <v>0</v>
      </c>
      <c r="AA52" s="26">
        <f t="shared" si="1"/>
        <v>0</v>
      </c>
      <c r="AB52" s="107"/>
      <c r="AC52" s="107"/>
      <c r="AD52" s="107"/>
      <c r="AE52" s="107"/>
      <c r="AF52" s="107"/>
      <c r="AG52" s="107"/>
      <c r="AH52" s="107"/>
      <c r="AI52" s="107"/>
      <c r="AJ52" s="107"/>
      <c r="AK52" s="107"/>
      <c r="AL52" s="107"/>
      <c r="AM52" s="107"/>
      <c r="AN52" s="107"/>
      <c r="AO52" s="108"/>
      <c r="AP52" s="108"/>
      <c r="AQ52" s="108"/>
      <c r="AR52" s="108"/>
      <c r="AS52" s="108"/>
      <c r="AT52" s="108"/>
      <c r="AU52" s="108"/>
      <c r="AV52" s="108"/>
      <c r="AW52" s="108"/>
      <c r="AX52" s="108"/>
      <c r="AY52" s="108"/>
      <c r="AZ52" s="108"/>
      <c r="BA52" s="108"/>
      <c r="BB52" s="108"/>
    </row>
    <row r="53" spans="1:54" s="109" customFormat="1" ht="12" customHeight="1">
      <c r="A53" s="8">
        <v>1120112201</v>
      </c>
      <c r="B53" s="8" t="s">
        <v>1002</v>
      </c>
      <c r="C53" s="8"/>
      <c r="D53" s="92">
        <f>+VLOOKUP(A53,Clasificaciones!C:I,5,FALSE)</f>
        <v>0</v>
      </c>
      <c r="E53" s="92">
        <v>0</v>
      </c>
      <c r="F53" s="92">
        <v>0</v>
      </c>
      <c r="G53" s="92">
        <f>+VLOOKUP(A53,Clasificaciones!C:M,9,FALSE)</f>
        <v>0</v>
      </c>
      <c r="H53" s="92">
        <f t="shared" si="2"/>
        <v>0</v>
      </c>
      <c r="I53" s="26">
        <v>0</v>
      </c>
      <c r="J53" s="26">
        <v>0</v>
      </c>
      <c r="K53" s="26">
        <v>0</v>
      </c>
      <c r="L53" s="26">
        <v>0</v>
      </c>
      <c r="M53" s="26">
        <v>0</v>
      </c>
      <c r="N53" s="26">
        <v>0</v>
      </c>
      <c r="O53" s="26">
        <v>0</v>
      </c>
      <c r="P53" s="26">
        <v>0</v>
      </c>
      <c r="Q53" s="26">
        <v>0</v>
      </c>
      <c r="R53" s="26">
        <v>0</v>
      </c>
      <c r="S53" s="26">
        <f t="shared" si="5"/>
        <v>0</v>
      </c>
      <c r="T53" s="26">
        <v>0</v>
      </c>
      <c r="U53" s="26">
        <v>0</v>
      </c>
      <c r="V53" s="26">
        <v>0</v>
      </c>
      <c r="W53" s="26">
        <v>0</v>
      </c>
      <c r="X53" s="26">
        <v>0</v>
      </c>
      <c r="Y53" s="26">
        <v>0</v>
      </c>
      <c r="Z53" s="26">
        <v>0</v>
      </c>
      <c r="AA53" s="26">
        <f t="shared" si="1"/>
        <v>0</v>
      </c>
      <c r="AB53" s="107"/>
      <c r="AC53" s="107"/>
      <c r="AD53" s="107"/>
      <c r="AE53" s="107"/>
      <c r="AF53" s="107"/>
      <c r="AG53" s="107"/>
      <c r="AH53" s="107"/>
      <c r="AI53" s="107"/>
      <c r="AJ53" s="107"/>
      <c r="AK53" s="107"/>
      <c r="AL53" s="107"/>
      <c r="AM53" s="107"/>
      <c r="AN53" s="107"/>
      <c r="AO53" s="108"/>
      <c r="AP53" s="108"/>
      <c r="AQ53" s="108"/>
      <c r="AR53" s="108"/>
      <c r="AS53" s="108"/>
      <c r="AT53" s="108"/>
      <c r="AU53" s="108"/>
      <c r="AV53" s="108"/>
      <c r="AW53" s="108"/>
      <c r="AX53" s="108"/>
      <c r="AY53" s="108"/>
      <c r="AZ53" s="108"/>
      <c r="BA53" s="108"/>
      <c r="BB53" s="108"/>
    </row>
    <row r="54" spans="1:54" s="109" customFormat="1" ht="12" customHeight="1">
      <c r="A54" s="8">
        <v>1120112202</v>
      </c>
      <c r="B54" s="8" t="s">
        <v>886</v>
      </c>
      <c r="C54" s="8"/>
      <c r="D54" s="92">
        <f>+VLOOKUP(A54,Clasificaciones!C:I,5,FALSE)</f>
        <v>68708100</v>
      </c>
      <c r="E54" s="92">
        <v>0</v>
      </c>
      <c r="F54" s="92">
        <v>0</v>
      </c>
      <c r="G54" s="92">
        <f>+VLOOKUP(A54,Clasificaciones!C:M,9,FALSE)</f>
        <v>689196000</v>
      </c>
      <c r="H54" s="92">
        <f t="shared" si="2"/>
        <v>-620487900</v>
      </c>
      <c r="I54" s="26">
        <v>0</v>
      </c>
      <c r="J54" s="26">
        <v>0</v>
      </c>
      <c r="K54" s="26">
        <v>0</v>
      </c>
      <c r="L54" s="26">
        <v>0</v>
      </c>
      <c r="M54" s="26">
        <v>0</v>
      </c>
      <c r="N54" s="26">
        <v>0</v>
      </c>
      <c r="O54" s="26">
        <v>0</v>
      </c>
      <c r="P54" s="26">
        <v>0</v>
      </c>
      <c r="Q54" s="26">
        <v>0</v>
      </c>
      <c r="R54" s="26">
        <v>0</v>
      </c>
      <c r="S54" s="26">
        <f t="shared" si="5"/>
        <v>620487900</v>
      </c>
      <c r="T54" s="26">
        <v>0</v>
      </c>
      <c r="U54" s="26">
        <v>0</v>
      </c>
      <c r="V54" s="26">
        <v>0</v>
      </c>
      <c r="W54" s="26">
        <v>0</v>
      </c>
      <c r="X54" s="26">
        <v>0</v>
      </c>
      <c r="Y54" s="26">
        <v>0</v>
      </c>
      <c r="Z54" s="26">
        <v>0</v>
      </c>
      <c r="AA54" s="26">
        <f t="shared" si="1"/>
        <v>0</v>
      </c>
      <c r="AB54" s="107"/>
      <c r="AC54" s="107"/>
      <c r="AD54" s="107"/>
      <c r="AE54" s="107"/>
      <c r="AF54" s="107"/>
      <c r="AG54" s="107"/>
      <c r="AH54" s="107"/>
      <c r="AI54" s="107"/>
      <c r="AJ54" s="107"/>
      <c r="AK54" s="107"/>
      <c r="AL54" s="107"/>
      <c r="AM54" s="107"/>
      <c r="AN54" s="107"/>
      <c r="AO54" s="108"/>
      <c r="AP54" s="108"/>
      <c r="AQ54" s="108"/>
      <c r="AR54" s="108"/>
      <c r="AS54" s="108"/>
      <c r="AT54" s="108"/>
      <c r="AU54" s="108"/>
      <c r="AV54" s="108"/>
      <c r="AW54" s="108"/>
      <c r="AX54" s="108"/>
      <c r="AY54" s="108"/>
      <c r="AZ54" s="108"/>
      <c r="BA54" s="108"/>
      <c r="BB54" s="108"/>
    </row>
    <row r="55" spans="1:54" s="109" customFormat="1" ht="12" customHeight="1">
      <c r="A55" s="8">
        <v>11201123</v>
      </c>
      <c r="B55" s="8" t="s">
        <v>73</v>
      </c>
      <c r="C55" s="8"/>
      <c r="D55" s="92">
        <f>+VLOOKUP(A55,Clasificaciones!C:I,5,FALSE)</f>
        <v>0</v>
      </c>
      <c r="E55" s="92">
        <v>0</v>
      </c>
      <c r="F55" s="92">
        <v>0</v>
      </c>
      <c r="G55" s="92">
        <f>+VLOOKUP(A55,Clasificaciones!C:M,9,FALSE)</f>
        <v>0</v>
      </c>
      <c r="H55" s="92">
        <f t="shared" si="2"/>
        <v>0</v>
      </c>
      <c r="I55" s="26">
        <v>0</v>
      </c>
      <c r="J55" s="26">
        <v>0</v>
      </c>
      <c r="K55" s="26">
        <v>0</v>
      </c>
      <c r="L55" s="26">
        <v>0</v>
      </c>
      <c r="M55" s="26">
        <v>0</v>
      </c>
      <c r="N55" s="26">
        <v>0</v>
      </c>
      <c r="O55" s="26">
        <v>0</v>
      </c>
      <c r="P55" s="26">
        <v>0</v>
      </c>
      <c r="Q55" s="26">
        <v>0</v>
      </c>
      <c r="R55" s="26">
        <v>0</v>
      </c>
      <c r="S55" s="26">
        <f t="shared" si="5"/>
        <v>0</v>
      </c>
      <c r="T55" s="26">
        <v>0</v>
      </c>
      <c r="U55" s="26">
        <v>0</v>
      </c>
      <c r="V55" s="26">
        <v>0</v>
      </c>
      <c r="W55" s="26">
        <v>0</v>
      </c>
      <c r="X55" s="26">
        <v>0</v>
      </c>
      <c r="Y55" s="26">
        <v>0</v>
      </c>
      <c r="Z55" s="26">
        <v>0</v>
      </c>
      <c r="AA55" s="26">
        <f t="shared" si="1"/>
        <v>0</v>
      </c>
      <c r="AB55" s="107"/>
      <c r="AC55" s="107"/>
      <c r="AD55" s="107"/>
      <c r="AE55" s="107"/>
      <c r="AF55" s="107"/>
      <c r="AG55" s="107"/>
      <c r="AH55" s="107"/>
      <c r="AI55" s="107"/>
      <c r="AJ55" s="107"/>
      <c r="AK55" s="107"/>
      <c r="AL55" s="107"/>
      <c r="AM55" s="107"/>
      <c r="AN55" s="107"/>
      <c r="AO55" s="108"/>
      <c r="AP55" s="108"/>
      <c r="AQ55" s="108"/>
      <c r="AR55" s="108"/>
      <c r="AS55" s="108"/>
      <c r="AT55" s="108"/>
      <c r="AU55" s="108"/>
      <c r="AV55" s="108"/>
      <c r="AW55" s="108"/>
      <c r="AX55" s="108"/>
      <c r="AY55" s="108"/>
      <c r="AZ55" s="108"/>
      <c r="BA55" s="108"/>
      <c r="BB55" s="108"/>
    </row>
    <row r="56" spans="1:54" s="109" customFormat="1" ht="12" customHeight="1">
      <c r="A56" s="8">
        <v>1120112301</v>
      </c>
      <c r="B56" s="8" t="s">
        <v>772</v>
      </c>
      <c r="C56" s="8"/>
      <c r="D56" s="92">
        <f>+VLOOKUP(A56,Clasificaciones!C:I,5,FALSE)</f>
        <v>1250000000</v>
      </c>
      <c r="E56" s="92">
        <v>0</v>
      </c>
      <c r="F56" s="92">
        <v>0</v>
      </c>
      <c r="G56" s="92">
        <f>+VLOOKUP(A56,Clasificaciones!C:M,9,FALSE)</f>
        <v>270000000</v>
      </c>
      <c r="H56" s="92">
        <f t="shared" si="2"/>
        <v>980000000</v>
      </c>
      <c r="I56" s="26">
        <v>0</v>
      </c>
      <c r="J56" s="26">
        <v>0</v>
      </c>
      <c r="K56" s="26">
        <v>0</v>
      </c>
      <c r="L56" s="26">
        <v>0</v>
      </c>
      <c r="M56" s="26">
        <v>0</v>
      </c>
      <c r="N56" s="26">
        <v>0</v>
      </c>
      <c r="O56" s="26">
        <v>0</v>
      </c>
      <c r="P56" s="26">
        <v>0</v>
      </c>
      <c r="Q56" s="26">
        <v>0</v>
      </c>
      <c r="R56" s="26">
        <v>0</v>
      </c>
      <c r="S56" s="26">
        <f t="shared" si="5"/>
        <v>-980000000</v>
      </c>
      <c r="T56" s="26">
        <v>0</v>
      </c>
      <c r="U56" s="26">
        <v>0</v>
      </c>
      <c r="V56" s="26">
        <v>0</v>
      </c>
      <c r="W56" s="26">
        <v>0</v>
      </c>
      <c r="X56" s="26">
        <v>0</v>
      </c>
      <c r="Y56" s="26">
        <v>0</v>
      </c>
      <c r="Z56" s="26">
        <v>0</v>
      </c>
      <c r="AA56" s="26">
        <f t="shared" si="1"/>
        <v>0</v>
      </c>
      <c r="AB56" s="107"/>
      <c r="AC56" s="107"/>
      <c r="AD56" s="107"/>
      <c r="AE56" s="107"/>
      <c r="AF56" s="107"/>
      <c r="AG56" s="107"/>
      <c r="AH56" s="107"/>
      <c r="AI56" s="107"/>
      <c r="AJ56" s="107"/>
      <c r="AK56" s="107"/>
      <c r="AL56" s="107"/>
      <c r="AM56" s="107"/>
      <c r="AN56" s="107"/>
      <c r="AO56" s="108"/>
      <c r="AP56" s="108"/>
      <c r="AQ56" s="108"/>
      <c r="AR56" s="108"/>
      <c r="AS56" s="108"/>
      <c r="AT56" s="108"/>
      <c r="AU56" s="108"/>
      <c r="AV56" s="108"/>
      <c r="AW56" s="108"/>
      <c r="AX56" s="108"/>
      <c r="AY56" s="108"/>
      <c r="AZ56" s="108"/>
      <c r="BA56" s="108"/>
      <c r="BB56" s="108"/>
    </row>
    <row r="57" spans="1:54" s="109" customFormat="1" ht="12" customHeight="1">
      <c r="A57" s="8">
        <v>1120112302</v>
      </c>
      <c r="B57" s="8" t="s">
        <v>773</v>
      </c>
      <c r="C57" s="8"/>
      <c r="D57" s="92">
        <f>+VLOOKUP(A57,Clasificaciones!C:I,5,FALSE)</f>
        <v>1030621500</v>
      </c>
      <c r="E57" s="92">
        <v>0</v>
      </c>
      <c r="F57" s="92">
        <v>0</v>
      </c>
      <c r="G57" s="92">
        <f>+VLOOKUP(A57,Clasificaciones!C:M,9,FALSE)</f>
        <v>1722990000</v>
      </c>
      <c r="H57" s="92">
        <f t="shared" si="2"/>
        <v>-692368500</v>
      </c>
      <c r="I57" s="26">
        <v>0</v>
      </c>
      <c r="J57" s="26">
        <v>0</v>
      </c>
      <c r="K57" s="26">
        <v>0</v>
      </c>
      <c r="L57" s="26">
        <v>0</v>
      </c>
      <c r="M57" s="26">
        <v>0</v>
      </c>
      <c r="N57" s="26">
        <v>0</v>
      </c>
      <c r="O57" s="26">
        <v>0</v>
      </c>
      <c r="P57" s="26">
        <v>0</v>
      </c>
      <c r="Q57" s="26">
        <v>0</v>
      </c>
      <c r="R57" s="26">
        <v>0</v>
      </c>
      <c r="S57" s="26">
        <f t="shared" si="5"/>
        <v>692368500</v>
      </c>
      <c r="T57" s="26">
        <v>0</v>
      </c>
      <c r="U57" s="26">
        <v>0</v>
      </c>
      <c r="V57" s="26">
        <v>0</v>
      </c>
      <c r="W57" s="26">
        <v>0</v>
      </c>
      <c r="X57" s="26">
        <v>0</v>
      </c>
      <c r="Y57" s="26">
        <v>0</v>
      </c>
      <c r="Z57" s="26">
        <v>0</v>
      </c>
      <c r="AA57" s="26">
        <f t="shared" si="1"/>
        <v>0</v>
      </c>
      <c r="AB57" s="107"/>
      <c r="AC57" s="107"/>
      <c r="AD57" s="107"/>
      <c r="AE57" s="107"/>
      <c r="AF57" s="107"/>
      <c r="AG57" s="107"/>
      <c r="AH57" s="107"/>
      <c r="AI57" s="107"/>
      <c r="AJ57" s="107"/>
      <c r="AK57" s="107"/>
      <c r="AL57" s="107"/>
      <c r="AM57" s="107"/>
      <c r="AN57" s="107"/>
      <c r="AO57" s="108"/>
      <c r="AP57" s="108"/>
      <c r="AQ57" s="108"/>
      <c r="AR57" s="108"/>
      <c r="AS57" s="108"/>
      <c r="AT57" s="108"/>
      <c r="AU57" s="108"/>
      <c r="AV57" s="108"/>
      <c r="AW57" s="108"/>
      <c r="AX57" s="108"/>
      <c r="AY57" s="108"/>
      <c r="AZ57" s="108"/>
      <c r="BA57" s="108"/>
      <c r="BB57" s="108"/>
    </row>
    <row r="58" spans="1:54" s="109" customFormat="1" ht="12" customHeight="1">
      <c r="A58" s="8">
        <v>1120113</v>
      </c>
      <c r="B58" s="8" t="s">
        <v>774</v>
      </c>
      <c r="C58" s="8"/>
      <c r="D58" s="92">
        <f>+VLOOKUP(A58,Clasificaciones!C:I,5,FALSE)</f>
        <v>0</v>
      </c>
      <c r="E58" s="92">
        <v>0</v>
      </c>
      <c r="F58" s="92">
        <v>0</v>
      </c>
      <c r="G58" s="92">
        <f>+VLOOKUP(A58,Clasificaciones!C:M,9,FALSE)</f>
        <v>0</v>
      </c>
      <c r="H58" s="92">
        <f t="shared" si="2"/>
        <v>0</v>
      </c>
      <c r="I58" s="26">
        <v>0</v>
      </c>
      <c r="J58" s="26">
        <v>0</v>
      </c>
      <c r="K58" s="26">
        <v>0</v>
      </c>
      <c r="L58" s="26">
        <v>0</v>
      </c>
      <c r="M58" s="26">
        <v>0</v>
      </c>
      <c r="N58" s="26">
        <v>0</v>
      </c>
      <c r="O58" s="26">
        <v>0</v>
      </c>
      <c r="P58" s="26">
        <v>0</v>
      </c>
      <c r="Q58" s="26">
        <v>0</v>
      </c>
      <c r="R58" s="26">
        <v>0</v>
      </c>
      <c r="S58" s="26">
        <f t="shared" si="5"/>
        <v>0</v>
      </c>
      <c r="T58" s="26">
        <v>0</v>
      </c>
      <c r="U58" s="26">
        <v>0</v>
      </c>
      <c r="V58" s="26">
        <v>0</v>
      </c>
      <c r="W58" s="26">
        <v>0</v>
      </c>
      <c r="X58" s="26">
        <v>0</v>
      </c>
      <c r="Y58" s="26">
        <v>0</v>
      </c>
      <c r="Z58" s="26">
        <v>0</v>
      </c>
      <c r="AA58" s="26">
        <f t="shared" si="1"/>
        <v>0</v>
      </c>
      <c r="AB58" s="107"/>
      <c r="AC58" s="107"/>
      <c r="AD58" s="107"/>
      <c r="AE58" s="107"/>
      <c r="AF58" s="107"/>
      <c r="AG58" s="107"/>
      <c r="AH58" s="107"/>
      <c r="AI58" s="107"/>
      <c r="AJ58" s="107"/>
      <c r="AK58" s="107"/>
      <c r="AL58" s="107"/>
      <c r="AM58" s="107"/>
      <c r="AN58" s="107"/>
      <c r="AO58" s="108"/>
      <c r="AP58" s="108"/>
      <c r="AQ58" s="108"/>
      <c r="AR58" s="108"/>
      <c r="AS58" s="108"/>
      <c r="AT58" s="108"/>
      <c r="AU58" s="108"/>
      <c r="AV58" s="108"/>
      <c r="AW58" s="108"/>
      <c r="AX58" s="108"/>
      <c r="AY58" s="108"/>
      <c r="AZ58" s="108"/>
      <c r="BA58" s="108"/>
      <c r="BB58" s="108"/>
    </row>
    <row r="59" spans="1:54" s="106" customFormat="1" ht="12" customHeight="1">
      <c r="A59" s="8">
        <v>11201131</v>
      </c>
      <c r="B59" s="8" t="s">
        <v>775</v>
      </c>
      <c r="C59" s="8"/>
      <c r="D59" s="92">
        <f>+VLOOKUP(A59,Clasificaciones!C:I,5,FALSE)</f>
        <v>0</v>
      </c>
      <c r="E59" s="92">
        <v>0</v>
      </c>
      <c r="F59" s="92">
        <v>0</v>
      </c>
      <c r="G59" s="92">
        <f>+VLOOKUP(A59,Clasificaciones!C:M,9,FALSE)</f>
        <v>0</v>
      </c>
      <c r="H59" s="92">
        <f t="shared" si="2"/>
        <v>0</v>
      </c>
      <c r="I59" s="26">
        <v>0</v>
      </c>
      <c r="J59" s="26">
        <v>0</v>
      </c>
      <c r="K59" s="26">
        <v>0</v>
      </c>
      <c r="L59" s="26">
        <v>0</v>
      </c>
      <c r="M59" s="26">
        <v>0</v>
      </c>
      <c r="N59" s="26">
        <v>0</v>
      </c>
      <c r="O59" s="26">
        <v>0</v>
      </c>
      <c r="P59" s="26">
        <v>0</v>
      </c>
      <c r="Q59" s="26">
        <v>0</v>
      </c>
      <c r="R59" s="26">
        <v>0</v>
      </c>
      <c r="S59" s="26">
        <f t="shared" si="5"/>
        <v>0</v>
      </c>
      <c r="T59" s="26">
        <v>0</v>
      </c>
      <c r="U59" s="26">
        <v>0</v>
      </c>
      <c r="V59" s="26">
        <v>0</v>
      </c>
      <c r="W59" s="26">
        <v>0</v>
      </c>
      <c r="X59" s="26">
        <v>0</v>
      </c>
      <c r="Y59" s="26">
        <v>0</v>
      </c>
      <c r="Z59" s="26">
        <v>0</v>
      </c>
      <c r="AA59" s="26">
        <f t="shared" si="1"/>
        <v>0</v>
      </c>
      <c r="AB59" s="110"/>
      <c r="AC59" s="110"/>
      <c r="AD59" s="110"/>
      <c r="AE59" s="110"/>
      <c r="AF59" s="110"/>
      <c r="AG59" s="110"/>
      <c r="AH59" s="110"/>
      <c r="AI59" s="110"/>
      <c r="AJ59" s="110"/>
      <c r="AK59" s="110"/>
      <c r="AL59" s="110"/>
      <c r="AM59" s="110"/>
      <c r="AN59" s="110"/>
      <c r="AO59" s="105"/>
      <c r="AP59" s="105"/>
      <c r="AQ59" s="105"/>
      <c r="AR59" s="105"/>
      <c r="AS59" s="105"/>
      <c r="AT59" s="105"/>
      <c r="AU59" s="105"/>
      <c r="AV59" s="105"/>
      <c r="AW59" s="105"/>
      <c r="AX59" s="105"/>
      <c r="AY59" s="105"/>
      <c r="AZ59" s="105"/>
      <c r="BA59" s="105"/>
      <c r="BB59" s="105"/>
    </row>
    <row r="60" spans="1:54" s="109" customFormat="1" ht="12" customHeight="1">
      <c r="A60" s="8">
        <v>1120113101</v>
      </c>
      <c r="B60" s="8" t="s">
        <v>776</v>
      </c>
      <c r="C60" s="8"/>
      <c r="D60" s="92">
        <f>+VLOOKUP(A60,Clasificaciones!C:I,5,FALSE)</f>
        <v>2623000000</v>
      </c>
      <c r="E60" s="92">
        <v>0</v>
      </c>
      <c r="F60" s="92">
        <v>0</v>
      </c>
      <c r="G60" s="92">
        <f>+VLOOKUP(A60,Clasificaciones!C:M,9,FALSE)</f>
        <v>2776000000</v>
      </c>
      <c r="H60" s="92">
        <f t="shared" si="2"/>
        <v>-153000000</v>
      </c>
      <c r="I60" s="26">
        <v>0</v>
      </c>
      <c r="J60" s="26">
        <v>0</v>
      </c>
      <c r="K60" s="26">
        <v>0</v>
      </c>
      <c r="L60" s="26">
        <v>0</v>
      </c>
      <c r="M60" s="26">
        <v>0</v>
      </c>
      <c r="N60" s="26">
        <v>0</v>
      </c>
      <c r="O60" s="26">
        <v>0</v>
      </c>
      <c r="P60" s="26">
        <v>0</v>
      </c>
      <c r="Q60" s="26">
        <v>0</v>
      </c>
      <c r="R60" s="26">
        <v>0</v>
      </c>
      <c r="S60" s="26">
        <f t="shared" si="5"/>
        <v>153000000</v>
      </c>
      <c r="T60" s="26">
        <v>0</v>
      </c>
      <c r="U60" s="26">
        <v>0</v>
      </c>
      <c r="V60" s="26">
        <v>0</v>
      </c>
      <c r="W60" s="26">
        <v>0</v>
      </c>
      <c r="X60" s="26">
        <v>0</v>
      </c>
      <c r="Y60" s="26">
        <v>0</v>
      </c>
      <c r="Z60" s="26">
        <v>0</v>
      </c>
      <c r="AA60" s="26">
        <f t="shared" si="1"/>
        <v>0</v>
      </c>
      <c r="AB60" s="107"/>
      <c r="AC60" s="107"/>
      <c r="AD60" s="107"/>
      <c r="AE60" s="107"/>
      <c r="AF60" s="107"/>
      <c r="AG60" s="107"/>
      <c r="AH60" s="107"/>
      <c r="AI60" s="107"/>
      <c r="AJ60" s="107"/>
      <c r="AK60" s="107"/>
      <c r="AL60" s="107"/>
      <c r="AM60" s="107"/>
      <c r="AN60" s="107"/>
      <c r="AO60" s="108"/>
      <c r="AP60" s="108"/>
      <c r="AQ60" s="108"/>
      <c r="AR60" s="108"/>
      <c r="AS60" s="108"/>
      <c r="AT60" s="108"/>
      <c r="AU60" s="108"/>
      <c r="AV60" s="108"/>
      <c r="AW60" s="108"/>
      <c r="AX60" s="108"/>
      <c r="AY60" s="108"/>
      <c r="AZ60" s="108"/>
      <c r="BA60" s="108"/>
      <c r="BB60" s="108"/>
    </row>
    <row r="61" spans="1:54" s="109" customFormat="1" ht="12" customHeight="1">
      <c r="A61" s="8">
        <v>1120113201</v>
      </c>
      <c r="B61" s="8" t="s">
        <v>502</v>
      </c>
      <c r="C61" s="8"/>
      <c r="D61" s="92">
        <f>+VLOOKUP(A61,Clasificaciones!C:I,5,FALSE)</f>
        <v>0</v>
      </c>
      <c r="E61" s="92">
        <v>0</v>
      </c>
      <c r="F61" s="92">
        <v>0</v>
      </c>
      <c r="G61" s="92">
        <f>+VLOOKUP(A61,Clasificaciones!C:M,9,FALSE)</f>
        <v>7000000</v>
      </c>
      <c r="H61" s="92">
        <f>+D61-G61+E61-F61</f>
        <v>-7000000</v>
      </c>
      <c r="I61" s="26">
        <v>0</v>
      </c>
      <c r="J61" s="26">
        <v>0</v>
      </c>
      <c r="K61" s="26">
        <v>0</v>
      </c>
      <c r="L61" s="26">
        <v>0</v>
      </c>
      <c r="M61" s="26">
        <v>0</v>
      </c>
      <c r="N61" s="26">
        <v>0</v>
      </c>
      <c r="O61" s="26">
        <v>0</v>
      </c>
      <c r="P61" s="26">
        <v>0</v>
      </c>
      <c r="Q61" s="26">
        <v>0</v>
      </c>
      <c r="R61" s="26">
        <v>0</v>
      </c>
      <c r="S61" s="26">
        <f t="shared" si="5"/>
        <v>7000000</v>
      </c>
      <c r="T61" s="26">
        <v>0</v>
      </c>
      <c r="U61" s="26">
        <v>0</v>
      </c>
      <c r="V61" s="26">
        <v>0</v>
      </c>
      <c r="W61" s="26">
        <v>0</v>
      </c>
      <c r="X61" s="26">
        <v>0</v>
      </c>
      <c r="Y61" s="26">
        <v>0</v>
      </c>
      <c r="Z61" s="26">
        <v>0</v>
      </c>
      <c r="AA61" s="26">
        <f t="shared" si="1"/>
        <v>0</v>
      </c>
      <c r="AB61" s="107"/>
      <c r="AC61" s="107"/>
      <c r="AD61" s="107"/>
      <c r="AE61" s="107"/>
      <c r="AF61" s="107"/>
      <c r="AG61" s="107"/>
      <c r="AH61" s="107"/>
      <c r="AI61" s="107"/>
      <c r="AJ61" s="107"/>
      <c r="AK61" s="107"/>
      <c r="AL61" s="107"/>
      <c r="AM61" s="107"/>
      <c r="AN61" s="107"/>
      <c r="AO61" s="108"/>
      <c r="AP61" s="108"/>
      <c r="AQ61" s="108"/>
      <c r="AR61" s="108"/>
      <c r="AS61" s="108"/>
      <c r="AT61" s="108"/>
      <c r="AU61" s="108"/>
      <c r="AV61" s="108"/>
      <c r="AW61" s="108"/>
      <c r="AX61" s="108"/>
      <c r="AY61" s="108"/>
      <c r="AZ61" s="108"/>
      <c r="BA61" s="108"/>
      <c r="BB61" s="108"/>
    </row>
    <row r="62" spans="1:54" s="109" customFormat="1" ht="12" customHeight="1">
      <c r="A62" s="8">
        <v>1120114</v>
      </c>
      <c r="B62" s="8" t="s">
        <v>779</v>
      </c>
      <c r="C62" s="8"/>
      <c r="D62" s="92">
        <f>+VLOOKUP(A62,Clasificaciones!C:I,5,FALSE)</f>
        <v>0</v>
      </c>
      <c r="E62" s="92">
        <v>0</v>
      </c>
      <c r="F62" s="92">
        <v>0</v>
      </c>
      <c r="G62" s="92">
        <f>+VLOOKUP(A62,Clasificaciones!C:M,9,FALSE)</f>
        <v>0</v>
      </c>
      <c r="H62" s="92">
        <f t="shared" si="2"/>
        <v>0</v>
      </c>
      <c r="I62" s="26">
        <v>0</v>
      </c>
      <c r="J62" s="26">
        <v>0</v>
      </c>
      <c r="K62" s="26">
        <v>0</v>
      </c>
      <c r="L62" s="26">
        <v>0</v>
      </c>
      <c r="M62" s="26">
        <v>0</v>
      </c>
      <c r="N62" s="26">
        <v>0</v>
      </c>
      <c r="O62" s="26">
        <v>0</v>
      </c>
      <c r="P62" s="26">
        <v>0</v>
      </c>
      <c r="Q62" s="26">
        <v>0</v>
      </c>
      <c r="R62" s="26">
        <v>0</v>
      </c>
      <c r="S62" s="26">
        <f t="shared" si="5"/>
        <v>0</v>
      </c>
      <c r="T62" s="26">
        <v>0</v>
      </c>
      <c r="U62" s="26">
        <v>0</v>
      </c>
      <c r="V62" s="26">
        <v>0</v>
      </c>
      <c r="W62" s="26">
        <v>0</v>
      </c>
      <c r="X62" s="26">
        <v>0</v>
      </c>
      <c r="Y62" s="26">
        <v>0</v>
      </c>
      <c r="Z62" s="26">
        <v>0</v>
      </c>
      <c r="AA62" s="26">
        <f t="shared" si="1"/>
        <v>0</v>
      </c>
      <c r="AB62" s="107"/>
      <c r="AC62" s="107"/>
      <c r="AD62" s="107"/>
      <c r="AE62" s="107"/>
      <c r="AF62" s="107"/>
      <c r="AG62" s="107"/>
      <c r="AH62" s="107"/>
      <c r="AI62" s="107"/>
      <c r="AJ62" s="107"/>
      <c r="AK62" s="107"/>
      <c r="AL62" s="107"/>
      <c r="AM62" s="107"/>
      <c r="AN62" s="107"/>
      <c r="AO62" s="108"/>
      <c r="AP62" s="108"/>
      <c r="AQ62" s="108"/>
      <c r="AR62" s="108"/>
      <c r="AS62" s="108"/>
      <c r="AT62" s="108"/>
      <c r="AU62" s="108"/>
      <c r="AV62" s="108"/>
      <c r="AW62" s="108"/>
      <c r="AX62" s="108"/>
      <c r="AY62" s="108"/>
      <c r="AZ62" s="108"/>
      <c r="BA62" s="108"/>
      <c r="BB62" s="108"/>
    </row>
    <row r="63" spans="1:54" s="109" customFormat="1" ht="12" customHeight="1">
      <c r="A63" s="8">
        <v>11201142</v>
      </c>
      <c r="B63" s="8" t="s">
        <v>1001</v>
      </c>
      <c r="C63" s="8"/>
      <c r="D63" s="92">
        <f>+VLOOKUP(A63,Clasificaciones!C:I,5,FALSE)</f>
        <v>0</v>
      </c>
      <c r="E63" s="92">
        <v>0</v>
      </c>
      <c r="F63" s="92">
        <v>0</v>
      </c>
      <c r="G63" s="92">
        <f>+VLOOKUP(A63,Clasificaciones!C:M,9,FALSE)</f>
        <v>0</v>
      </c>
      <c r="H63" s="92">
        <f t="shared" si="2"/>
        <v>0</v>
      </c>
      <c r="I63" s="26">
        <v>0</v>
      </c>
      <c r="J63" s="26">
        <v>0</v>
      </c>
      <c r="K63" s="26">
        <v>0</v>
      </c>
      <c r="L63" s="26">
        <v>0</v>
      </c>
      <c r="M63" s="26">
        <v>0</v>
      </c>
      <c r="N63" s="26">
        <v>0</v>
      </c>
      <c r="O63" s="26">
        <v>0</v>
      </c>
      <c r="P63" s="26">
        <v>0</v>
      </c>
      <c r="Q63" s="26">
        <v>0</v>
      </c>
      <c r="R63" s="26">
        <v>0</v>
      </c>
      <c r="S63" s="26">
        <f t="shared" si="5"/>
        <v>0</v>
      </c>
      <c r="T63" s="26">
        <v>0</v>
      </c>
      <c r="U63" s="26">
        <v>0</v>
      </c>
      <c r="V63" s="26">
        <v>0</v>
      </c>
      <c r="W63" s="26">
        <v>0</v>
      </c>
      <c r="X63" s="26">
        <v>0</v>
      </c>
      <c r="Y63" s="26">
        <v>0</v>
      </c>
      <c r="Z63" s="26">
        <v>0</v>
      </c>
      <c r="AA63" s="26">
        <f t="shared" si="1"/>
        <v>0</v>
      </c>
      <c r="AB63" s="107"/>
      <c r="AC63" s="107"/>
      <c r="AD63" s="107"/>
      <c r="AE63" s="107"/>
      <c r="AF63" s="107"/>
      <c r="AG63" s="107"/>
      <c r="AH63" s="107"/>
      <c r="AI63" s="107"/>
      <c r="AJ63" s="107"/>
      <c r="AK63" s="107"/>
      <c r="AL63" s="107"/>
      <c r="AM63" s="107"/>
      <c r="AN63" s="107"/>
      <c r="AO63" s="108"/>
      <c r="AP63" s="108"/>
      <c r="AQ63" s="108"/>
      <c r="AR63" s="108"/>
      <c r="AS63" s="108"/>
      <c r="AT63" s="108"/>
      <c r="AU63" s="108"/>
      <c r="AV63" s="108"/>
      <c r="AW63" s="108"/>
      <c r="AX63" s="108"/>
      <c r="AY63" s="108"/>
      <c r="AZ63" s="108"/>
      <c r="BA63" s="108"/>
      <c r="BB63" s="108"/>
    </row>
    <row r="64" spans="1:54" s="109" customFormat="1" ht="12" customHeight="1">
      <c r="A64" s="8">
        <v>1120114202</v>
      </c>
      <c r="B64" s="8" t="s">
        <v>892</v>
      </c>
      <c r="C64" s="8"/>
      <c r="D64" s="92">
        <f>+VLOOKUP(A64,Clasificaciones!C:I,5,FALSE)</f>
        <v>0</v>
      </c>
      <c r="E64" s="92">
        <v>0</v>
      </c>
      <c r="F64" s="92">
        <v>0</v>
      </c>
      <c r="G64" s="92">
        <f>+VLOOKUP(A64,Clasificaciones!C:M,9,FALSE)</f>
        <v>0</v>
      </c>
      <c r="H64" s="92">
        <f t="shared" si="2"/>
        <v>0</v>
      </c>
      <c r="I64" s="26">
        <v>0</v>
      </c>
      <c r="J64" s="26">
        <v>0</v>
      </c>
      <c r="K64" s="26">
        <v>0</v>
      </c>
      <c r="L64" s="26">
        <v>0</v>
      </c>
      <c r="M64" s="26">
        <v>0</v>
      </c>
      <c r="N64" s="26">
        <v>0</v>
      </c>
      <c r="O64" s="26">
        <v>0</v>
      </c>
      <c r="P64" s="26">
        <v>0</v>
      </c>
      <c r="Q64" s="26">
        <v>0</v>
      </c>
      <c r="R64" s="26">
        <v>0</v>
      </c>
      <c r="S64" s="26">
        <f t="shared" si="5"/>
        <v>0</v>
      </c>
      <c r="T64" s="26">
        <v>0</v>
      </c>
      <c r="U64" s="26">
        <v>0</v>
      </c>
      <c r="V64" s="26">
        <v>0</v>
      </c>
      <c r="W64" s="26">
        <v>0</v>
      </c>
      <c r="X64" s="26">
        <v>0</v>
      </c>
      <c r="Y64" s="26">
        <v>0</v>
      </c>
      <c r="Z64" s="26">
        <v>0</v>
      </c>
      <c r="AA64" s="26">
        <f t="shared" si="1"/>
        <v>0</v>
      </c>
      <c r="AB64" s="107"/>
      <c r="AC64" s="107"/>
      <c r="AD64" s="107"/>
      <c r="AE64" s="107"/>
      <c r="AF64" s="107"/>
      <c r="AG64" s="107"/>
      <c r="AH64" s="107"/>
      <c r="AI64" s="107"/>
      <c r="AJ64" s="107"/>
      <c r="AK64" s="107"/>
      <c r="AL64" s="107"/>
      <c r="AM64" s="107"/>
      <c r="AN64" s="107"/>
      <c r="AO64" s="108"/>
      <c r="AP64" s="108"/>
      <c r="AQ64" s="108"/>
      <c r="AR64" s="108"/>
      <c r="AS64" s="108"/>
      <c r="AT64" s="108"/>
      <c r="AU64" s="108"/>
      <c r="AV64" s="108"/>
      <c r="AW64" s="108"/>
      <c r="AX64" s="108"/>
      <c r="AY64" s="108"/>
      <c r="AZ64" s="108"/>
      <c r="BA64" s="108"/>
      <c r="BB64" s="108"/>
    </row>
    <row r="65" spans="1:54" s="109" customFormat="1" ht="12" customHeight="1">
      <c r="A65" s="8">
        <v>11201143</v>
      </c>
      <c r="B65" s="8" t="s">
        <v>73</v>
      </c>
      <c r="C65" s="8"/>
      <c r="D65" s="92">
        <f>+VLOOKUP(A65,Clasificaciones!C:I,5,FALSE)</f>
        <v>0</v>
      </c>
      <c r="E65" s="92">
        <v>0</v>
      </c>
      <c r="F65" s="92">
        <v>0</v>
      </c>
      <c r="G65" s="92">
        <f>+VLOOKUP(A65,Clasificaciones!C:M,9,FALSE)</f>
        <v>0</v>
      </c>
      <c r="H65" s="92">
        <f t="shared" si="2"/>
        <v>0</v>
      </c>
      <c r="I65" s="26">
        <v>0</v>
      </c>
      <c r="J65" s="26">
        <v>0</v>
      </c>
      <c r="K65" s="26">
        <v>0</v>
      </c>
      <c r="L65" s="26">
        <v>0</v>
      </c>
      <c r="M65" s="26">
        <v>0</v>
      </c>
      <c r="N65" s="26">
        <v>0</v>
      </c>
      <c r="O65" s="26">
        <v>0</v>
      </c>
      <c r="P65" s="26">
        <v>0</v>
      </c>
      <c r="Q65" s="26">
        <v>0</v>
      </c>
      <c r="R65" s="26">
        <v>0</v>
      </c>
      <c r="S65" s="26">
        <f t="shared" si="5"/>
        <v>0</v>
      </c>
      <c r="T65" s="26">
        <v>0</v>
      </c>
      <c r="U65" s="26">
        <v>0</v>
      </c>
      <c r="V65" s="26">
        <v>0</v>
      </c>
      <c r="W65" s="26">
        <v>0</v>
      </c>
      <c r="X65" s="26">
        <v>0</v>
      </c>
      <c r="Y65" s="26">
        <v>0</v>
      </c>
      <c r="Z65" s="26">
        <v>0</v>
      </c>
      <c r="AA65" s="26">
        <f t="shared" si="1"/>
        <v>0</v>
      </c>
      <c r="AB65" s="107"/>
      <c r="AC65" s="107"/>
      <c r="AD65" s="107"/>
      <c r="AE65" s="107"/>
      <c r="AF65" s="107"/>
      <c r="AG65" s="107"/>
      <c r="AH65" s="107"/>
      <c r="AI65" s="107"/>
      <c r="AJ65" s="107"/>
      <c r="AK65" s="107"/>
      <c r="AL65" s="107"/>
      <c r="AM65" s="107"/>
      <c r="AN65" s="107"/>
      <c r="AO65" s="108"/>
      <c r="AP65" s="108"/>
      <c r="AQ65" s="108"/>
      <c r="AR65" s="108"/>
      <c r="AS65" s="108"/>
      <c r="AT65" s="108"/>
      <c r="AU65" s="108"/>
      <c r="AV65" s="108"/>
      <c r="AW65" s="108"/>
      <c r="AX65" s="108"/>
      <c r="AY65" s="108"/>
      <c r="AZ65" s="108"/>
      <c r="BA65" s="108"/>
      <c r="BB65" s="108"/>
    </row>
    <row r="66" spans="1:54" s="109" customFormat="1" ht="12" customHeight="1">
      <c r="A66" s="8">
        <v>1120114301</v>
      </c>
      <c r="B66" s="8" t="s">
        <v>780</v>
      </c>
      <c r="C66" s="8"/>
      <c r="D66" s="92">
        <f>+VLOOKUP(A66,Clasificaciones!C:I,5,FALSE)</f>
        <v>8007017205</v>
      </c>
      <c r="E66" s="92">
        <v>0</v>
      </c>
      <c r="F66" s="92">
        <v>0</v>
      </c>
      <c r="G66" s="92">
        <f>+VLOOKUP(A66,Clasificaciones!C:M,9,FALSE)</f>
        <v>150000000</v>
      </c>
      <c r="H66" s="92">
        <f t="shared" si="2"/>
        <v>7857017205</v>
      </c>
      <c r="I66" s="26">
        <v>0</v>
      </c>
      <c r="J66" s="26">
        <v>0</v>
      </c>
      <c r="K66" s="26">
        <v>0</v>
      </c>
      <c r="L66" s="26">
        <v>0</v>
      </c>
      <c r="M66" s="26">
        <v>0</v>
      </c>
      <c r="N66" s="26">
        <v>0</v>
      </c>
      <c r="O66" s="26">
        <v>0</v>
      </c>
      <c r="P66" s="26">
        <v>0</v>
      </c>
      <c r="Q66" s="26">
        <v>0</v>
      </c>
      <c r="R66" s="26">
        <v>0</v>
      </c>
      <c r="S66" s="26">
        <f t="shared" si="5"/>
        <v>-7857017205</v>
      </c>
      <c r="T66" s="26">
        <v>0</v>
      </c>
      <c r="U66" s="26">
        <v>0</v>
      </c>
      <c r="V66" s="26">
        <v>0</v>
      </c>
      <c r="W66" s="26">
        <v>0</v>
      </c>
      <c r="X66" s="26">
        <v>0</v>
      </c>
      <c r="Y66" s="26">
        <v>0</v>
      </c>
      <c r="Z66" s="26">
        <v>0</v>
      </c>
      <c r="AA66" s="26">
        <f t="shared" si="1"/>
        <v>0</v>
      </c>
      <c r="AB66" s="107"/>
      <c r="AC66" s="107"/>
      <c r="AD66" s="107"/>
      <c r="AE66" s="107"/>
      <c r="AF66" s="107"/>
      <c r="AG66" s="107"/>
      <c r="AH66" s="107"/>
      <c r="AI66" s="107"/>
      <c r="AJ66" s="107"/>
      <c r="AK66" s="107"/>
      <c r="AL66" s="107"/>
      <c r="AM66" s="107"/>
      <c r="AN66" s="107"/>
      <c r="AO66" s="108"/>
      <c r="AP66" s="108"/>
      <c r="AQ66" s="108"/>
      <c r="AR66" s="108"/>
      <c r="AS66" s="108"/>
      <c r="AT66" s="108"/>
      <c r="AU66" s="108"/>
      <c r="AV66" s="108"/>
      <c r="AW66" s="108"/>
      <c r="AX66" s="108"/>
      <c r="AY66" s="108"/>
      <c r="AZ66" s="108"/>
      <c r="BA66" s="108"/>
      <c r="BB66" s="108"/>
    </row>
    <row r="67" spans="1:54" s="109" customFormat="1" ht="12" customHeight="1">
      <c r="A67" s="8">
        <v>1120114302</v>
      </c>
      <c r="B67" s="8" t="s">
        <v>894</v>
      </c>
      <c r="C67" s="8"/>
      <c r="D67" s="92">
        <f>+VLOOKUP(A67,Clasificaciones!C:I,5,FALSE)</f>
        <v>0</v>
      </c>
      <c r="E67" s="92">
        <v>0</v>
      </c>
      <c r="F67" s="92">
        <v>0</v>
      </c>
      <c r="G67" s="92">
        <f>+VLOOKUP(A67,Clasificaciones!C:M,9,FALSE)</f>
        <v>675618839</v>
      </c>
      <c r="H67" s="92">
        <f t="shared" si="2"/>
        <v>-675618839</v>
      </c>
      <c r="I67" s="26">
        <v>0</v>
      </c>
      <c r="J67" s="26">
        <v>0</v>
      </c>
      <c r="K67" s="26">
        <v>0</v>
      </c>
      <c r="L67" s="26">
        <v>0</v>
      </c>
      <c r="M67" s="26">
        <v>0</v>
      </c>
      <c r="N67" s="26">
        <v>0</v>
      </c>
      <c r="O67" s="26">
        <v>0</v>
      </c>
      <c r="P67" s="26">
        <v>0</v>
      </c>
      <c r="Q67" s="26">
        <v>0</v>
      </c>
      <c r="R67" s="26">
        <v>0</v>
      </c>
      <c r="S67" s="26">
        <f t="shared" si="5"/>
        <v>675618839</v>
      </c>
      <c r="T67" s="26">
        <v>0</v>
      </c>
      <c r="U67" s="26">
        <v>0</v>
      </c>
      <c r="V67" s="26">
        <v>0</v>
      </c>
      <c r="W67" s="26">
        <v>0</v>
      </c>
      <c r="X67" s="26">
        <v>0</v>
      </c>
      <c r="Y67" s="26">
        <v>0</v>
      </c>
      <c r="Z67" s="26">
        <v>0</v>
      </c>
      <c r="AA67" s="26">
        <f t="shared" si="1"/>
        <v>0</v>
      </c>
      <c r="AB67" s="107"/>
      <c r="AC67" s="107"/>
      <c r="AD67" s="107"/>
      <c r="AE67" s="107"/>
      <c r="AF67" s="107"/>
      <c r="AG67" s="107"/>
      <c r="AH67" s="107"/>
      <c r="AI67" s="107"/>
      <c r="AJ67" s="107"/>
      <c r="AK67" s="107"/>
      <c r="AL67" s="107"/>
      <c r="AM67" s="107"/>
      <c r="AN67" s="107"/>
      <c r="AO67" s="108"/>
      <c r="AP67" s="108"/>
      <c r="AQ67" s="108"/>
      <c r="AR67" s="108"/>
      <c r="AS67" s="108"/>
      <c r="AT67" s="108"/>
      <c r="AU67" s="108"/>
      <c r="AV67" s="108"/>
      <c r="AW67" s="108"/>
      <c r="AX67" s="108"/>
      <c r="AY67" s="108"/>
      <c r="AZ67" s="108"/>
      <c r="BA67" s="108"/>
      <c r="BB67" s="108"/>
    </row>
    <row r="68" spans="1:54" s="109" customFormat="1" ht="12" customHeight="1">
      <c r="A68" s="8">
        <v>1120116</v>
      </c>
      <c r="B68" s="8" t="s">
        <v>781</v>
      </c>
      <c r="C68" s="8"/>
      <c r="D68" s="92">
        <f>+VLOOKUP(A68,Clasificaciones!C:I,5,FALSE)</f>
        <v>0</v>
      </c>
      <c r="E68" s="92">
        <v>0</v>
      </c>
      <c r="F68" s="92">
        <v>0</v>
      </c>
      <c r="G68" s="92">
        <f>+VLOOKUP(A68,Clasificaciones!C:M,9,FALSE)</f>
        <v>0</v>
      </c>
      <c r="H68" s="92">
        <f t="shared" si="2"/>
        <v>0</v>
      </c>
      <c r="I68" s="26">
        <v>0</v>
      </c>
      <c r="J68" s="26">
        <v>0</v>
      </c>
      <c r="K68" s="26">
        <v>0</v>
      </c>
      <c r="L68" s="26">
        <v>0</v>
      </c>
      <c r="M68" s="26">
        <v>0</v>
      </c>
      <c r="N68" s="26">
        <v>0</v>
      </c>
      <c r="O68" s="26">
        <v>0</v>
      </c>
      <c r="P68" s="26">
        <v>0</v>
      </c>
      <c r="Q68" s="26">
        <v>0</v>
      </c>
      <c r="R68" s="26">
        <v>0</v>
      </c>
      <c r="S68" s="26">
        <f t="shared" si="3"/>
        <v>0</v>
      </c>
      <c r="T68" s="26">
        <v>0</v>
      </c>
      <c r="U68" s="26">
        <v>0</v>
      </c>
      <c r="V68" s="26">
        <v>0</v>
      </c>
      <c r="W68" s="26">
        <v>0</v>
      </c>
      <c r="X68" s="26">
        <v>0</v>
      </c>
      <c r="Y68" s="26">
        <v>0</v>
      </c>
      <c r="Z68" s="26">
        <v>0</v>
      </c>
      <c r="AA68" s="26">
        <f t="shared" si="1"/>
        <v>0</v>
      </c>
      <c r="AB68" s="107"/>
      <c r="AC68" s="107"/>
      <c r="AD68" s="107"/>
      <c r="AE68" s="107"/>
      <c r="AF68" s="107"/>
      <c r="AG68" s="107"/>
      <c r="AH68" s="107"/>
      <c r="AI68" s="107"/>
      <c r="AJ68" s="107"/>
      <c r="AK68" s="107"/>
      <c r="AL68" s="107"/>
      <c r="AM68" s="107"/>
      <c r="AN68" s="107"/>
      <c r="AO68" s="108"/>
      <c r="AP68" s="108"/>
      <c r="AQ68" s="108"/>
      <c r="AR68" s="108"/>
      <c r="AS68" s="108"/>
      <c r="AT68" s="108"/>
      <c r="AU68" s="108"/>
      <c r="AV68" s="108"/>
      <c r="AW68" s="108"/>
      <c r="AX68" s="108"/>
      <c r="AY68" s="108"/>
      <c r="AZ68" s="108"/>
      <c r="BA68" s="108"/>
      <c r="BB68" s="108"/>
    </row>
    <row r="69" spans="1:54" s="109" customFormat="1" ht="12" customHeight="1">
      <c r="A69" s="8">
        <v>11201161</v>
      </c>
      <c r="B69" s="8" t="s">
        <v>782</v>
      </c>
      <c r="C69" s="8"/>
      <c r="D69" s="92">
        <f>+VLOOKUP(A69,Clasificaciones!C:I,5,FALSE)</f>
        <v>0</v>
      </c>
      <c r="E69" s="92">
        <v>0</v>
      </c>
      <c r="F69" s="92">
        <v>0</v>
      </c>
      <c r="G69" s="92">
        <f>+VLOOKUP(A69,Clasificaciones!C:M,9,FALSE)</f>
        <v>0</v>
      </c>
      <c r="H69" s="92">
        <f t="shared" si="2"/>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f t="shared" si="1"/>
        <v>0</v>
      </c>
      <c r="AB69" s="107"/>
      <c r="AC69" s="107"/>
      <c r="AD69" s="107"/>
      <c r="AE69" s="107"/>
      <c r="AF69" s="107"/>
      <c r="AG69" s="107"/>
      <c r="AH69" s="107"/>
      <c r="AI69" s="107"/>
      <c r="AJ69" s="107"/>
      <c r="AK69" s="107"/>
      <c r="AL69" s="107"/>
      <c r="AM69" s="107"/>
      <c r="AN69" s="107"/>
      <c r="AO69" s="108"/>
      <c r="AP69" s="108"/>
      <c r="AQ69" s="108"/>
      <c r="AR69" s="108"/>
      <c r="AS69" s="108"/>
      <c r="AT69" s="108"/>
      <c r="AU69" s="108"/>
      <c r="AV69" s="108"/>
      <c r="AW69" s="108"/>
      <c r="AX69" s="108"/>
      <c r="AY69" s="108"/>
      <c r="AZ69" s="108"/>
      <c r="BA69" s="108"/>
      <c r="BB69" s="108"/>
    </row>
    <row r="70" spans="1:54" s="109" customFormat="1" ht="12" customHeight="1">
      <c r="A70" s="8">
        <v>1120116101</v>
      </c>
      <c r="B70" s="8" t="s">
        <v>783</v>
      </c>
      <c r="C70" s="8"/>
      <c r="D70" s="92">
        <f>+VLOOKUP(A70,Clasificaciones!C:I,5,FALSE)</f>
        <v>3684400000</v>
      </c>
      <c r="E70" s="92">
        <v>0</v>
      </c>
      <c r="F70" s="92">
        <v>0</v>
      </c>
      <c r="G70" s="92">
        <f>+VLOOKUP(A70,Clasificaciones!C:M,9,FALSE)</f>
        <v>38247425</v>
      </c>
      <c r="H70" s="92">
        <f t="shared" si="2"/>
        <v>3646152575</v>
      </c>
      <c r="I70" s="26">
        <v>0</v>
      </c>
      <c r="J70" s="26">
        <v>0</v>
      </c>
      <c r="K70" s="26">
        <v>0</v>
      </c>
      <c r="L70" s="26">
        <v>0</v>
      </c>
      <c r="M70" s="26">
        <v>0</v>
      </c>
      <c r="N70" s="26">
        <v>0</v>
      </c>
      <c r="O70" s="26">
        <v>0</v>
      </c>
      <c r="P70" s="26">
        <v>0</v>
      </c>
      <c r="Q70" s="26">
        <v>0</v>
      </c>
      <c r="R70" s="26">
        <v>0</v>
      </c>
      <c r="S70" s="26">
        <v>0</v>
      </c>
      <c r="T70" s="26">
        <f>-H70</f>
        <v>-3646152575</v>
      </c>
      <c r="U70" s="26">
        <v>0</v>
      </c>
      <c r="V70" s="26">
        <v>0</v>
      </c>
      <c r="W70" s="26">
        <v>0</v>
      </c>
      <c r="X70" s="26">
        <v>0</v>
      </c>
      <c r="Y70" s="26">
        <v>0</v>
      </c>
      <c r="Z70" s="26">
        <v>0</v>
      </c>
      <c r="AA70" s="26">
        <f t="shared" ref="AA70:AA133" si="6">SUM(H70:Z70)</f>
        <v>0</v>
      </c>
      <c r="AB70" s="107"/>
      <c r="AC70" s="107"/>
      <c r="AD70" s="107"/>
      <c r="AE70" s="107"/>
      <c r="AF70" s="107"/>
      <c r="AG70" s="107"/>
      <c r="AH70" s="107"/>
      <c r="AI70" s="107"/>
      <c r="AJ70" s="107"/>
      <c r="AK70" s="107"/>
      <c r="AL70" s="107"/>
      <c r="AM70" s="107"/>
      <c r="AN70" s="107"/>
      <c r="AO70" s="108"/>
      <c r="AP70" s="108"/>
      <c r="AQ70" s="108"/>
      <c r="AR70" s="108"/>
      <c r="AS70" s="108"/>
      <c r="AT70" s="108"/>
      <c r="AU70" s="108"/>
      <c r="AV70" s="108"/>
      <c r="AW70" s="108"/>
      <c r="AX70" s="108"/>
      <c r="AY70" s="108"/>
      <c r="AZ70" s="108"/>
      <c r="BA70" s="108"/>
      <c r="BB70" s="108"/>
    </row>
    <row r="71" spans="1:54" s="106" customFormat="1" ht="12" customHeight="1">
      <c r="A71" s="8">
        <v>1120116103</v>
      </c>
      <c r="B71" s="8" t="s">
        <v>1017</v>
      </c>
      <c r="C71" s="8"/>
      <c r="D71" s="92">
        <f>+VLOOKUP(A71,Clasificaciones!C:I,5,FALSE)</f>
        <v>0</v>
      </c>
      <c r="E71" s="92">
        <v>0</v>
      </c>
      <c r="F71" s="92">
        <v>0</v>
      </c>
      <c r="G71" s="92">
        <f>+VLOOKUP(A71,Clasificaciones!C:M,9,FALSE)</f>
        <v>0</v>
      </c>
      <c r="H71" s="92">
        <f t="shared" si="2"/>
        <v>0</v>
      </c>
      <c r="I71" s="26">
        <v>0</v>
      </c>
      <c r="J71" s="26">
        <v>0</v>
      </c>
      <c r="K71" s="26">
        <v>0</v>
      </c>
      <c r="L71" s="26">
        <v>0</v>
      </c>
      <c r="M71" s="26">
        <v>0</v>
      </c>
      <c r="N71" s="26">
        <v>0</v>
      </c>
      <c r="O71" s="26">
        <v>0</v>
      </c>
      <c r="P71" s="26">
        <v>0</v>
      </c>
      <c r="Q71" s="26">
        <v>0</v>
      </c>
      <c r="R71" s="26">
        <v>0</v>
      </c>
      <c r="S71" s="26">
        <v>0</v>
      </c>
      <c r="T71" s="26">
        <f t="shared" ref="T71:T93" si="7">-H71</f>
        <v>0</v>
      </c>
      <c r="U71" s="26">
        <v>0</v>
      </c>
      <c r="V71" s="26">
        <v>0</v>
      </c>
      <c r="W71" s="26">
        <v>0</v>
      </c>
      <c r="X71" s="26">
        <v>0</v>
      </c>
      <c r="Y71" s="26">
        <v>0</v>
      </c>
      <c r="Z71" s="26">
        <v>0</v>
      </c>
      <c r="AA71" s="26">
        <f t="shared" si="6"/>
        <v>0</v>
      </c>
      <c r="AB71" s="110"/>
      <c r="AC71" s="110"/>
      <c r="AD71" s="110"/>
      <c r="AE71" s="110"/>
      <c r="AF71" s="110"/>
      <c r="AG71" s="110"/>
      <c r="AH71" s="110"/>
      <c r="AI71" s="110"/>
      <c r="AJ71" s="110"/>
      <c r="AK71" s="110"/>
      <c r="AL71" s="110"/>
      <c r="AM71" s="110"/>
      <c r="AN71" s="110"/>
      <c r="AO71" s="105"/>
      <c r="AP71" s="105"/>
      <c r="AQ71" s="105"/>
      <c r="AR71" s="105"/>
      <c r="AS71" s="105"/>
      <c r="AT71" s="105"/>
      <c r="AU71" s="105"/>
      <c r="AV71" s="105"/>
      <c r="AW71" s="105"/>
      <c r="AX71" s="105"/>
      <c r="AY71" s="105"/>
      <c r="AZ71" s="105"/>
      <c r="BA71" s="105"/>
      <c r="BB71" s="105"/>
    </row>
    <row r="72" spans="1:54" s="106" customFormat="1" ht="12" customHeight="1">
      <c r="A72" s="8">
        <v>1120116104</v>
      </c>
      <c r="B72" s="8" t="s">
        <v>971</v>
      </c>
      <c r="C72" s="8"/>
      <c r="D72" s="92">
        <f>+VLOOKUP(A72,Clasificaciones!C:I,5,FALSE)</f>
        <v>887918555</v>
      </c>
      <c r="E72" s="92">
        <v>0</v>
      </c>
      <c r="F72" s="92">
        <v>0</v>
      </c>
      <c r="G72" s="92">
        <f>+VLOOKUP(A72,Clasificaciones!C:M,9,FALSE)</f>
        <v>308429348</v>
      </c>
      <c r="H72" s="92">
        <f t="shared" si="2"/>
        <v>579489207</v>
      </c>
      <c r="I72" s="26">
        <v>0</v>
      </c>
      <c r="J72" s="26">
        <v>0</v>
      </c>
      <c r="K72" s="26">
        <v>0</v>
      </c>
      <c r="L72" s="26">
        <v>0</v>
      </c>
      <c r="M72" s="26">
        <v>0</v>
      </c>
      <c r="N72" s="26">
        <v>0</v>
      </c>
      <c r="O72" s="26">
        <v>0</v>
      </c>
      <c r="P72" s="26">
        <v>0</v>
      </c>
      <c r="Q72" s="26">
        <v>0</v>
      </c>
      <c r="R72" s="26">
        <v>0</v>
      </c>
      <c r="S72" s="26">
        <v>0</v>
      </c>
      <c r="T72" s="26">
        <f t="shared" si="7"/>
        <v>-579489207</v>
      </c>
      <c r="U72" s="26">
        <v>0</v>
      </c>
      <c r="V72" s="26">
        <v>0</v>
      </c>
      <c r="W72" s="26">
        <v>0</v>
      </c>
      <c r="X72" s="26">
        <v>0</v>
      </c>
      <c r="Y72" s="26">
        <v>0</v>
      </c>
      <c r="Z72" s="26">
        <v>0</v>
      </c>
      <c r="AA72" s="26">
        <f t="shared" si="6"/>
        <v>0</v>
      </c>
      <c r="AB72" s="110"/>
      <c r="AC72" s="110"/>
      <c r="AD72" s="110"/>
      <c r="AE72" s="110"/>
      <c r="AF72" s="110"/>
      <c r="AG72" s="110"/>
      <c r="AH72" s="110"/>
      <c r="AI72" s="110"/>
      <c r="AJ72" s="110"/>
      <c r="AK72" s="110"/>
      <c r="AL72" s="110"/>
      <c r="AM72" s="110"/>
      <c r="AN72" s="110"/>
      <c r="AO72" s="105"/>
      <c r="AP72" s="105"/>
      <c r="AQ72" s="105"/>
      <c r="AR72" s="105"/>
      <c r="AS72" s="105"/>
      <c r="AT72" s="105"/>
      <c r="AU72" s="105"/>
      <c r="AV72" s="105"/>
      <c r="AW72" s="105"/>
      <c r="AX72" s="105"/>
      <c r="AY72" s="105"/>
      <c r="AZ72" s="105"/>
      <c r="BA72" s="105"/>
      <c r="BB72" s="105"/>
    </row>
    <row r="73" spans="1:54" s="106" customFormat="1" ht="12" customHeight="1">
      <c r="A73" s="8">
        <v>1120116105</v>
      </c>
      <c r="B73" s="8" t="s">
        <v>784</v>
      </c>
      <c r="C73" s="8"/>
      <c r="D73" s="92">
        <f>+VLOOKUP(A73,Clasificaciones!C:I,5,FALSE)</f>
        <v>1462373699</v>
      </c>
      <c r="E73" s="92">
        <v>0</v>
      </c>
      <c r="F73" s="92">
        <v>0</v>
      </c>
      <c r="G73" s="92">
        <f>+VLOOKUP(A73,Clasificaciones!C:M,9,FALSE)</f>
        <v>38985616</v>
      </c>
      <c r="H73" s="92">
        <f t="shared" si="2"/>
        <v>1423388083</v>
      </c>
      <c r="I73" s="26">
        <v>0</v>
      </c>
      <c r="J73" s="26">
        <v>0</v>
      </c>
      <c r="K73" s="26">
        <v>0</v>
      </c>
      <c r="L73" s="26">
        <v>0</v>
      </c>
      <c r="M73" s="26">
        <v>0</v>
      </c>
      <c r="N73" s="26">
        <v>0</v>
      </c>
      <c r="O73" s="26">
        <v>0</v>
      </c>
      <c r="P73" s="26">
        <v>0</v>
      </c>
      <c r="Q73" s="26">
        <v>0</v>
      </c>
      <c r="R73" s="26">
        <v>0</v>
      </c>
      <c r="S73" s="26">
        <v>0</v>
      </c>
      <c r="T73" s="26">
        <f t="shared" si="7"/>
        <v>-1423388083</v>
      </c>
      <c r="U73" s="26">
        <v>0</v>
      </c>
      <c r="V73" s="26">
        <v>0</v>
      </c>
      <c r="W73" s="26">
        <v>0</v>
      </c>
      <c r="X73" s="26">
        <v>0</v>
      </c>
      <c r="Y73" s="26">
        <v>0</v>
      </c>
      <c r="Z73" s="26">
        <v>0</v>
      </c>
      <c r="AA73" s="26">
        <f t="shared" si="6"/>
        <v>0</v>
      </c>
      <c r="AB73" s="110"/>
      <c r="AC73" s="110"/>
      <c r="AD73" s="110"/>
      <c r="AE73" s="110"/>
      <c r="AF73" s="110"/>
      <c r="AG73" s="110"/>
      <c r="AH73" s="110"/>
      <c r="AI73" s="110"/>
      <c r="AJ73" s="110"/>
      <c r="AK73" s="110"/>
      <c r="AL73" s="110"/>
      <c r="AM73" s="110"/>
      <c r="AN73" s="110"/>
      <c r="AO73" s="105"/>
      <c r="AP73" s="105"/>
      <c r="AQ73" s="105"/>
      <c r="AR73" s="105"/>
      <c r="AS73" s="105"/>
      <c r="AT73" s="105"/>
      <c r="AU73" s="105"/>
      <c r="AV73" s="105"/>
      <c r="AW73" s="105"/>
      <c r="AX73" s="105"/>
      <c r="AY73" s="105"/>
      <c r="AZ73" s="105"/>
      <c r="BA73" s="105"/>
      <c r="BB73" s="105"/>
    </row>
    <row r="74" spans="1:54" s="106" customFormat="1" ht="12" customHeight="1">
      <c r="A74" s="111">
        <v>1120116106</v>
      </c>
      <c r="B74" s="111" t="s">
        <v>785</v>
      </c>
      <c r="C74" s="111"/>
      <c r="D74" s="92">
        <f>+VLOOKUP(A74,Clasificaciones!C:I,5,FALSE)</f>
        <v>412685515</v>
      </c>
      <c r="E74" s="92">
        <v>0</v>
      </c>
      <c r="F74" s="92">
        <v>0</v>
      </c>
      <c r="G74" s="92">
        <f>+VLOOKUP(A74,Clasificaciones!C:M,9,FALSE)</f>
        <v>99886149</v>
      </c>
      <c r="H74" s="92">
        <f t="shared" ref="H74:H87" si="8">+D74-G74+E74-F74</f>
        <v>312799366</v>
      </c>
      <c r="I74" s="26">
        <v>0</v>
      </c>
      <c r="J74" s="26">
        <v>0</v>
      </c>
      <c r="K74" s="26">
        <v>0</v>
      </c>
      <c r="L74" s="26">
        <v>0</v>
      </c>
      <c r="M74" s="26">
        <v>0</v>
      </c>
      <c r="N74" s="26">
        <v>0</v>
      </c>
      <c r="O74" s="26">
        <v>0</v>
      </c>
      <c r="P74" s="26">
        <v>0</v>
      </c>
      <c r="Q74" s="26">
        <v>0</v>
      </c>
      <c r="R74" s="26">
        <v>0</v>
      </c>
      <c r="S74" s="26">
        <v>0</v>
      </c>
      <c r="T74" s="26">
        <f t="shared" si="7"/>
        <v>-312799366</v>
      </c>
      <c r="U74" s="26">
        <v>0</v>
      </c>
      <c r="V74" s="26">
        <v>0</v>
      </c>
      <c r="W74" s="26">
        <v>0</v>
      </c>
      <c r="X74" s="26">
        <v>0</v>
      </c>
      <c r="Y74" s="26">
        <v>0</v>
      </c>
      <c r="Z74" s="26">
        <v>0</v>
      </c>
      <c r="AA74" s="26">
        <f t="shared" si="6"/>
        <v>0</v>
      </c>
      <c r="AB74" s="110"/>
      <c r="AC74" s="110"/>
      <c r="AD74" s="110"/>
      <c r="AE74" s="110"/>
      <c r="AF74" s="110"/>
      <c r="AG74" s="110"/>
      <c r="AH74" s="110"/>
      <c r="AI74" s="110"/>
      <c r="AJ74" s="110"/>
      <c r="AK74" s="110"/>
      <c r="AL74" s="110"/>
      <c r="AM74" s="110"/>
      <c r="AN74" s="110"/>
      <c r="AO74" s="105"/>
      <c r="AP74" s="105"/>
      <c r="AQ74" s="105"/>
      <c r="AR74" s="105"/>
      <c r="AS74" s="105"/>
      <c r="AT74" s="105"/>
      <c r="AU74" s="105"/>
      <c r="AV74" s="105"/>
      <c r="AW74" s="105"/>
      <c r="AX74" s="105"/>
      <c r="AY74" s="105"/>
      <c r="AZ74" s="105"/>
      <c r="BA74" s="105"/>
      <c r="BB74" s="105"/>
    </row>
    <row r="75" spans="1:54" s="109" customFormat="1" ht="12" customHeight="1">
      <c r="A75" s="8">
        <v>1120116107</v>
      </c>
      <c r="B75" s="8" t="s">
        <v>786</v>
      </c>
      <c r="C75" s="8"/>
      <c r="D75" s="92">
        <f>+VLOOKUP(A75,Clasificaciones!C:I,5,FALSE)</f>
        <v>13691268545</v>
      </c>
      <c r="E75" s="92">
        <v>0</v>
      </c>
      <c r="F75" s="92">
        <v>0</v>
      </c>
      <c r="G75" s="92">
        <f>+VLOOKUP(A75,Clasificaciones!C:M,9,FALSE)</f>
        <v>2225907993</v>
      </c>
      <c r="H75" s="92">
        <f t="shared" si="8"/>
        <v>11465360552</v>
      </c>
      <c r="I75" s="26">
        <v>0</v>
      </c>
      <c r="J75" s="26">
        <v>0</v>
      </c>
      <c r="K75" s="26">
        <v>0</v>
      </c>
      <c r="L75" s="26">
        <v>0</v>
      </c>
      <c r="M75" s="26">
        <v>0</v>
      </c>
      <c r="N75" s="26">
        <v>0</v>
      </c>
      <c r="O75" s="26">
        <v>0</v>
      </c>
      <c r="P75" s="26">
        <v>0</v>
      </c>
      <c r="Q75" s="26">
        <v>0</v>
      </c>
      <c r="R75" s="26">
        <v>0</v>
      </c>
      <c r="S75" s="26">
        <v>0</v>
      </c>
      <c r="T75" s="26">
        <f t="shared" si="7"/>
        <v>-11465360552</v>
      </c>
      <c r="U75" s="26">
        <v>0</v>
      </c>
      <c r="V75" s="26">
        <v>0</v>
      </c>
      <c r="W75" s="26">
        <v>0</v>
      </c>
      <c r="X75" s="26">
        <v>0</v>
      </c>
      <c r="Y75" s="26">
        <v>0</v>
      </c>
      <c r="Z75" s="26">
        <v>0</v>
      </c>
      <c r="AA75" s="26">
        <f t="shared" si="6"/>
        <v>0</v>
      </c>
      <c r="AB75" s="107"/>
      <c r="AC75" s="107"/>
      <c r="AD75" s="107"/>
      <c r="AE75" s="107"/>
      <c r="AF75" s="107"/>
      <c r="AG75" s="107"/>
      <c r="AH75" s="107"/>
      <c r="AI75" s="107"/>
      <c r="AJ75" s="107"/>
      <c r="AK75" s="107"/>
      <c r="AL75" s="107"/>
      <c r="AM75" s="107"/>
      <c r="AN75" s="107"/>
      <c r="AO75" s="108"/>
      <c r="AP75" s="108"/>
      <c r="AQ75" s="108"/>
      <c r="AR75" s="108"/>
      <c r="AS75" s="108"/>
      <c r="AT75" s="108"/>
      <c r="AU75" s="108"/>
      <c r="AV75" s="108"/>
      <c r="AW75" s="108"/>
      <c r="AX75" s="108"/>
      <c r="AY75" s="108"/>
      <c r="AZ75" s="108"/>
      <c r="BA75" s="108"/>
      <c r="BB75" s="108"/>
    </row>
    <row r="76" spans="1:54" s="109" customFormat="1" ht="12" customHeight="1">
      <c r="A76" s="8">
        <v>1120116109</v>
      </c>
      <c r="B76" s="8" t="s">
        <v>787</v>
      </c>
      <c r="C76" s="8"/>
      <c r="D76" s="92">
        <f>+VLOOKUP(A76,Clasificaciones!C:I,5,FALSE)</f>
        <v>0</v>
      </c>
      <c r="E76" s="92">
        <v>0</v>
      </c>
      <c r="F76" s="92">
        <v>0</v>
      </c>
      <c r="G76" s="92">
        <f>+VLOOKUP(A76,Clasificaciones!C:M,9,FALSE)</f>
        <v>823890</v>
      </c>
      <c r="H76" s="92">
        <f t="shared" si="8"/>
        <v>-823890</v>
      </c>
      <c r="I76" s="26">
        <v>0</v>
      </c>
      <c r="J76" s="26">
        <v>0</v>
      </c>
      <c r="K76" s="26">
        <v>0</v>
      </c>
      <c r="L76" s="26">
        <v>0</v>
      </c>
      <c r="M76" s="26">
        <v>0</v>
      </c>
      <c r="N76" s="26">
        <v>0</v>
      </c>
      <c r="O76" s="26">
        <v>0</v>
      </c>
      <c r="P76" s="26">
        <v>0</v>
      </c>
      <c r="Q76" s="26">
        <v>0</v>
      </c>
      <c r="R76" s="26">
        <v>0</v>
      </c>
      <c r="S76" s="26">
        <v>0</v>
      </c>
      <c r="T76" s="26">
        <f t="shared" si="7"/>
        <v>823890</v>
      </c>
      <c r="U76" s="26">
        <v>0</v>
      </c>
      <c r="V76" s="26">
        <v>0</v>
      </c>
      <c r="W76" s="26">
        <v>0</v>
      </c>
      <c r="X76" s="26">
        <v>0</v>
      </c>
      <c r="Y76" s="26">
        <v>0</v>
      </c>
      <c r="Z76" s="26">
        <v>0</v>
      </c>
      <c r="AA76" s="26">
        <f t="shared" si="6"/>
        <v>0</v>
      </c>
      <c r="AB76" s="107"/>
      <c r="AC76" s="107"/>
      <c r="AD76" s="107"/>
      <c r="AE76" s="107"/>
      <c r="AF76" s="107"/>
      <c r="AG76" s="107"/>
      <c r="AH76" s="107"/>
      <c r="AI76" s="107"/>
      <c r="AJ76" s="107"/>
      <c r="AK76" s="107"/>
      <c r="AL76" s="107"/>
      <c r="AM76" s="107"/>
      <c r="AN76" s="107"/>
      <c r="AO76" s="108"/>
      <c r="AP76" s="108"/>
      <c r="AQ76" s="108"/>
      <c r="AR76" s="108"/>
      <c r="AS76" s="108"/>
      <c r="AT76" s="108"/>
      <c r="AU76" s="108"/>
      <c r="AV76" s="108"/>
      <c r="AW76" s="108"/>
      <c r="AX76" s="108"/>
      <c r="AY76" s="108"/>
      <c r="AZ76" s="108"/>
      <c r="BA76" s="108"/>
      <c r="BB76" s="108"/>
    </row>
    <row r="77" spans="1:54" s="109" customFormat="1" ht="12" customHeight="1">
      <c r="A77" s="8">
        <v>1120116114</v>
      </c>
      <c r="B77" s="8" t="s">
        <v>1016</v>
      </c>
      <c r="C77" s="8"/>
      <c r="D77" s="92">
        <f>+VLOOKUP(A77,Clasificaciones!C:I,5,FALSE)</f>
        <v>69</v>
      </c>
      <c r="E77" s="92">
        <v>0</v>
      </c>
      <c r="F77" s="92">
        <v>0</v>
      </c>
      <c r="G77" s="92">
        <f>+VLOOKUP(A77,Clasificaciones!C:M,9,FALSE)</f>
        <v>0</v>
      </c>
      <c r="H77" s="92">
        <f t="shared" ref="H77" si="9">+D77-G77+E77-F77</f>
        <v>69</v>
      </c>
      <c r="I77" s="26">
        <v>0</v>
      </c>
      <c r="J77" s="26">
        <v>0</v>
      </c>
      <c r="K77" s="26">
        <v>0</v>
      </c>
      <c r="L77" s="26">
        <v>0</v>
      </c>
      <c r="M77" s="26">
        <v>0</v>
      </c>
      <c r="N77" s="26">
        <v>0</v>
      </c>
      <c r="O77" s="26">
        <v>0</v>
      </c>
      <c r="P77" s="26">
        <v>0</v>
      </c>
      <c r="Q77" s="26">
        <v>0</v>
      </c>
      <c r="R77" s="26">
        <v>0</v>
      </c>
      <c r="S77" s="26">
        <v>0</v>
      </c>
      <c r="T77" s="26">
        <f t="shared" si="7"/>
        <v>-69</v>
      </c>
      <c r="U77" s="26">
        <v>0</v>
      </c>
      <c r="V77" s="26">
        <v>0</v>
      </c>
      <c r="W77" s="26">
        <v>0</v>
      </c>
      <c r="X77" s="26">
        <v>0</v>
      </c>
      <c r="Y77" s="26">
        <v>0</v>
      </c>
      <c r="Z77" s="26">
        <v>0</v>
      </c>
      <c r="AA77" s="26">
        <f t="shared" si="6"/>
        <v>0</v>
      </c>
      <c r="AB77" s="107"/>
      <c r="AC77" s="107"/>
      <c r="AD77" s="107"/>
      <c r="AE77" s="107"/>
      <c r="AF77" s="107"/>
      <c r="AG77" s="107"/>
      <c r="AH77" s="107"/>
      <c r="AI77" s="107"/>
      <c r="AJ77" s="107"/>
      <c r="AK77" s="107"/>
      <c r="AL77" s="107"/>
      <c r="AM77" s="107"/>
      <c r="AN77" s="107"/>
      <c r="AO77" s="108"/>
      <c r="AP77" s="108"/>
      <c r="AQ77" s="108"/>
      <c r="AR77" s="108"/>
      <c r="AS77" s="108"/>
      <c r="AT77" s="108"/>
      <c r="AU77" s="108"/>
      <c r="AV77" s="108"/>
      <c r="AW77" s="108"/>
      <c r="AX77" s="108"/>
      <c r="AY77" s="108"/>
      <c r="AZ77" s="108"/>
      <c r="BA77" s="108"/>
      <c r="BB77" s="108"/>
    </row>
    <row r="78" spans="1:54" s="109" customFormat="1" ht="12" customHeight="1">
      <c r="A78" s="8">
        <v>1120116117</v>
      </c>
      <c r="B78" s="8" t="s">
        <v>788</v>
      </c>
      <c r="C78" s="8"/>
      <c r="D78" s="92">
        <f>+VLOOKUP(A78,Clasificaciones!C:I,5,FALSE)</f>
        <v>1679208575</v>
      </c>
      <c r="E78" s="92">
        <v>0</v>
      </c>
      <c r="F78" s="92">
        <v>0</v>
      </c>
      <c r="G78" s="92">
        <f>+VLOOKUP(A78,Clasificaciones!C:M,9,FALSE)</f>
        <v>173031508</v>
      </c>
      <c r="H78" s="92">
        <f t="shared" si="8"/>
        <v>1506177067</v>
      </c>
      <c r="I78" s="26">
        <v>0</v>
      </c>
      <c r="J78" s="26">
        <v>0</v>
      </c>
      <c r="K78" s="26">
        <v>0</v>
      </c>
      <c r="L78" s="26">
        <v>0</v>
      </c>
      <c r="M78" s="26">
        <v>0</v>
      </c>
      <c r="N78" s="26">
        <v>0</v>
      </c>
      <c r="O78" s="26">
        <v>0</v>
      </c>
      <c r="P78" s="26">
        <v>0</v>
      </c>
      <c r="Q78" s="26">
        <v>0</v>
      </c>
      <c r="R78" s="26">
        <v>0</v>
      </c>
      <c r="S78" s="26">
        <v>0</v>
      </c>
      <c r="T78" s="26">
        <f t="shared" si="7"/>
        <v>-1506177067</v>
      </c>
      <c r="U78" s="26">
        <v>0</v>
      </c>
      <c r="V78" s="26">
        <v>0</v>
      </c>
      <c r="W78" s="26">
        <v>0</v>
      </c>
      <c r="X78" s="26">
        <v>0</v>
      </c>
      <c r="Y78" s="26">
        <v>0</v>
      </c>
      <c r="Z78" s="26">
        <v>0</v>
      </c>
      <c r="AA78" s="26">
        <f t="shared" si="6"/>
        <v>0</v>
      </c>
      <c r="AB78" s="107"/>
      <c r="AC78" s="107"/>
      <c r="AD78" s="107"/>
      <c r="AE78" s="107"/>
      <c r="AF78" s="107"/>
      <c r="AG78" s="107"/>
      <c r="AH78" s="107"/>
      <c r="AI78" s="107"/>
      <c r="AJ78" s="107"/>
      <c r="AK78" s="107"/>
      <c r="AL78" s="107"/>
      <c r="AM78" s="107"/>
      <c r="AN78" s="107"/>
      <c r="AO78" s="108"/>
      <c r="AP78" s="108"/>
      <c r="AQ78" s="108"/>
      <c r="AR78" s="108"/>
      <c r="AS78" s="108"/>
      <c r="AT78" s="108"/>
      <c r="AU78" s="108"/>
      <c r="AV78" s="108"/>
      <c r="AW78" s="108"/>
      <c r="AX78" s="108"/>
      <c r="AY78" s="108"/>
      <c r="AZ78" s="108"/>
      <c r="BA78" s="108"/>
      <c r="BB78" s="108"/>
    </row>
    <row r="79" spans="1:54" s="109" customFormat="1" ht="12" customHeight="1">
      <c r="A79" s="8">
        <v>1120116118</v>
      </c>
      <c r="B79" s="8" t="s">
        <v>789</v>
      </c>
      <c r="C79" s="8"/>
      <c r="D79" s="92">
        <f>+VLOOKUP(A79,Clasificaciones!C:I,5,FALSE)</f>
        <v>3139299404</v>
      </c>
      <c r="E79" s="92">
        <v>0</v>
      </c>
      <c r="F79" s="92">
        <v>0</v>
      </c>
      <c r="G79" s="92">
        <f>+VLOOKUP(A79,Clasificaciones!C:M,9,FALSE)</f>
        <v>28862959</v>
      </c>
      <c r="H79" s="92">
        <f t="shared" si="8"/>
        <v>3110436445</v>
      </c>
      <c r="I79" s="26">
        <v>0</v>
      </c>
      <c r="J79" s="26">
        <v>0</v>
      </c>
      <c r="K79" s="26">
        <v>0</v>
      </c>
      <c r="L79" s="26">
        <v>0</v>
      </c>
      <c r="M79" s="26">
        <v>0</v>
      </c>
      <c r="N79" s="26">
        <v>0</v>
      </c>
      <c r="O79" s="26">
        <v>0</v>
      </c>
      <c r="P79" s="26">
        <v>0</v>
      </c>
      <c r="Q79" s="26">
        <v>0</v>
      </c>
      <c r="R79" s="26">
        <v>0</v>
      </c>
      <c r="S79" s="26">
        <v>0</v>
      </c>
      <c r="T79" s="26">
        <f t="shared" si="7"/>
        <v>-3110436445</v>
      </c>
      <c r="U79" s="26">
        <v>0</v>
      </c>
      <c r="V79" s="26">
        <v>0</v>
      </c>
      <c r="W79" s="26">
        <v>0</v>
      </c>
      <c r="X79" s="26">
        <v>0</v>
      </c>
      <c r="Y79" s="26">
        <v>0</v>
      </c>
      <c r="Z79" s="26">
        <v>0</v>
      </c>
      <c r="AA79" s="26">
        <f t="shared" si="6"/>
        <v>0</v>
      </c>
      <c r="AB79" s="107"/>
      <c r="AC79" s="107"/>
      <c r="AD79" s="107"/>
      <c r="AE79" s="107"/>
      <c r="AF79" s="107"/>
      <c r="AG79" s="107"/>
      <c r="AH79" s="107"/>
      <c r="AI79" s="107"/>
      <c r="AJ79" s="107"/>
      <c r="AK79" s="107"/>
      <c r="AL79" s="107"/>
      <c r="AM79" s="107"/>
      <c r="AN79" s="107"/>
      <c r="AO79" s="108"/>
      <c r="AP79" s="108"/>
      <c r="AQ79" s="108"/>
      <c r="AR79" s="108"/>
      <c r="AS79" s="108"/>
      <c r="AT79" s="108"/>
      <c r="AU79" s="108"/>
      <c r="AV79" s="108"/>
      <c r="AW79" s="108"/>
      <c r="AX79" s="108"/>
      <c r="AY79" s="108"/>
      <c r="AZ79" s="108"/>
      <c r="BA79" s="108"/>
      <c r="BB79" s="108"/>
    </row>
    <row r="80" spans="1:54" s="109" customFormat="1" ht="12" customHeight="1">
      <c r="A80" s="8">
        <v>1120116129</v>
      </c>
      <c r="B80" s="8" t="s">
        <v>790</v>
      </c>
      <c r="C80" s="8"/>
      <c r="D80" s="92">
        <f>+VLOOKUP(A80,Clasificaciones!C:I,5,FALSE)</f>
        <v>41475000</v>
      </c>
      <c r="E80" s="92">
        <v>0</v>
      </c>
      <c r="F80" s="92">
        <v>0</v>
      </c>
      <c r="G80" s="92">
        <f>+VLOOKUP(A80,Clasificaciones!C:M,9,FALSE)</f>
        <v>47400000</v>
      </c>
      <c r="H80" s="92">
        <f t="shared" si="8"/>
        <v>-5925000</v>
      </c>
      <c r="I80" s="26">
        <v>0</v>
      </c>
      <c r="J80" s="26">
        <v>0</v>
      </c>
      <c r="K80" s="26">
        <v>0</v>
      </c>
      <c r="L80" s="26">
        <v>0</v>
      </c>
      <c r="M80" s="26">
        <v>0</v>
      </c>
      <c r="N80" s="26">
        <v>0</v>
      </c>
      <c r="O80" s="26">
        <v>0</v>
      </c>
      <c r="P80" s="26">
        <v>0</v>
      </c>
      <c r="Q80" s="26">
        <v>0</v>
      </c>
      <c r="R80" s="26">
        <v>0</v>
      </c>
      <c r="S80" s="26">
        <v>0</v>
      </c>
      <c r="T80" s="26">
        <f t="shared" si="7"/>
        <v>5925000</v>
      </c>
      <c r="U80" s="26">
        <v>0</v>
      </c>
      <c r="V80" s="26">
        <v>0</v>
      </c>
      <c r="W80" s="26">
        <v>0</v>
      </c>
      <c r="X80" s="26">
        <v>0</v>
      </c>
      <c r="Y80" s="26">
        <v>0</v>
      </c>
      <c r="Z80" s="26">
        <v>0</v>
      </c>
      <c r="AA80" s="26">
        <f t="shared" si="6"/>
        <v>0</v>
      </c>
      <c r="AB80" s="107"/>
      <c r="AC80" s="107"/>
      <c r="AD80" s="107"/>
      <c r="AE80" s="107"/>
      <c r="AF80" s="107"/>
      <c r="AG80" s="107"/>
      <c r="AH80" s="107"/>
      <c r="AI80" s="107"/>
      <c r="AJ80" s="107"/>
      <c r="AK80" s="107"/>
      <c r="AL80" s="107"/>
      <c r="AM80" s="107"/>
      <c r="AN80" s="107"/>
      <c r="AO80" s="108"/>
      <c r="AP80" s="108"/>
      <c r="AQ80" s="108"/>
      <c r="AR80" s="108"/>
      <c r="AS80" s="108"/>
      <c r="AT80" s="108"/>
      <c r="AU80" s="108"/>
      <c r="AV80" s="108"/>
      <c r="AW80" s="108"/>
      <c r="AX80" s="108"/>
      <c r="AY80" s="108"/>
      <c r="AZ80" s="108"/>
      <c r="BA80" s="108"/>
      <c r="BB80" s="108"/>
    </row>
    <row r="81" spans="1:54" s="109" customFormat="1" ht="12" customHeight="1">
      <c r="A81" s="8">
        <v>1120116132</v>
      </c>
      <c r="B81" s="8" t="s">
        <v>1356</v>
      </c>
      <c r="C81" s="8"/>
      <c r="D81" s="92">
        <f>+VLOOKUP(A81,Clasificaciones!C:I,5,FALSE)</f>
        <v>0</v>
      </c>
      <c r="E81" s="92">
        <v>0</v>
      </c>
      <c r="F81" s="92">
        <v>0</v>
      </c>
      <c r="G81" s="92">
        <f>+VLOOKUP(A81,Clasificaciones!C:M,9,FALSE)</f>
        <v>0</v>
      </c>
      <c r="H81" s="92">
        <f t="shared" si="8"/>
        <v>0</v>
      </c>
      <c r="I81" s="26">
        <v>0</v>
      </c>
      <c r="J81" s="26">
        <v>0</v>
      </c>
      <c r="K81" s="26">
        <v>0</v>
      </c>
      <c r="L81" s="26">
        <v>0</v>
      </c>
      <c r="M81" s="26">
        <v>0</v>
      </c>
      <c r="N81" s="26">
        <v>0</v>
      </c>
      <c r="O81" s="26">
        <v>0</v>
      </c>
      <c r="P81" s="26">
        <v>0</v>
      </c>
      <c r="Q81" s="26">
        <v>0</v>
      </c>
      <c r="R81" s="26">
        <v>0</v>
      </c>
      <c r="S81" s="26">
        <v>0</v>
      </c>
      <c r="T81" s="26">
        <f t="shared" si="7"/>
        <v>0</v>
      </c>
      <c r="U81" s="26">
        <v>0</v>
      </c>
      <c r="V81" s="26">
        <v>0</v>
      </c>
      <c r="W81" s="26">
        <v>0</v>
      </c>
      <c r="X81" s="26">
        <v>0</v>
      </c>
      <c r="Y81" s="26">
        <v>0</v>
      </c>
      <c r="Z81" s="26">
        <v>0</v>
      </c>
      <c r="AA81" s="26">
        <f t="shared" si="6"/>
        <v>0</v>
      </c>
      <c r="AB81" s="107"/>
      <c r="AC81" s="107"/>
      <c r="AD81" s="107"/>
      <c r="AE81" s="107"/>
      <c r="AF81" s="107"/>
      <c r="AG81" s="107"/>
      <c r="AH81" s="107"/>
      <c r="AI81" s="107"/>
      <c r="AJ81" s="107"/>
      <c r="AK81" s="107"/>
      <c r="AL81" s="107"/>
      <c r="AM81" s="107"/>
      <c r="AN81" s="107"/>
      <c r="AO81" s="108"/>
      <c r="AP81" s="108"/>
      <c r="AQ81" s="108"/>
      <c r="AR81" s="108"/>
      <c r="AS81" s="108"/>
      <c r="AT81" s="108"/>
      <c r="AU81" s="108"/>
      <c r="AV81" s="108"/>
      <c r="AW81" s="108"/>
      <c r="AX81" s="108"/>
      <c r="AY81" s="108"/>
      <c r="AZ81" s="108"/>
      <c r="BA81" s="108"/>
      <c r="BB81" s="108"/>
    </row>
    <row r="82" spans="1:54" s="106" customFormat="1" ht="12" customHeight="1">
      <c r="A82" s="8">
        <v>11201162</v>
      </c>
      <c r="B82" s="8" t="s">
        <v>791</v>
      </c>
      <c r="C82" s="8"/>
      <c r="D82" s="92">
        <f>+VLOOKUP(A82,Clasificaciones!C:I,5,FALSE)</f>
        <v>0</v>
      </c>
      <c r="E82" s="92">
        <v>0</v>
      </c>
      <c r="F82" s="92">
        <v>0</v>
      </c>
      <c r="G82" s="92">
        <f>+VLOOKUP(A82,Clasificaciones!C:M,9,FALSE)</f>
        <v>0</v>
      </c>
      <c r="H82" s="92">
        <f t="shared" si="8"/>
        <v>0</v>
      </c>
      <c r="I82" s="26">
        <v>0</v>
      </c>
      <c r="J82" s="26">
        <v>0</v>
      </c>
      <c r="K82" s="26">
        <v>0</v>
      </c>
      <c r="L82" s="26">
        <v>0</v>
      </c>
      <c r="M82" s="26">
        <v>0</v>
      </c>
      <c r="N82" s="26">
        <v>0</v>
      </c>
      <c r="O82" s="26">
        <v>0</v>
      </c>
      <c r="P82" s="26">
        <v>0</v>
      </c>
      <c r="Q82" s="26">
        <v>0</v>
      </c>
      <c r="R82" s="26">
        <v>0</v>
      </c>
      <c r="S82" s="26">
        <v>0</v>
      </c>
      <c r="T82" s="26">
        <f t="shared" si="7"/>
        <v>0</v>
      </c>
      <c r="U82" s="26">
        <v>0</v>
      </c>
      <c r="V82" s="26">
        <v>0</v>
      </c>
      <c r="W82" s="26">
        <v>0</v>
      </c>
      <c r="X82" s="26">
        <v>0</v>
      </c>
      <c r="Y82" s="26">
        <v>0</v>
      </c>
      <c r="Z82" s="26">
        <v>0</v>
      </c>
      <c r="AA82" s="26">
        <f t="shared" si="6"/>
        <v>0</v>
      </c>
      <c r="AB82" s="110"/>
      <c r="AC82" s="110"/>
      <c r="AD82" s="110"/>
      <c r="AE82" s="110"/>
      <c r="AF82" s="110"/>
      <c r="AG82" s="110"/>
      <c r="AH82" s="110"/>
      <c r="AI82" s="110"/>
      <c r="AJ82" s="110"/>
      <c r="AK82" s="110"/>
      <c r="AL82" s="110"/>
      <c r="AM82" s="110"/>
      <c r="AN82" s="110"/>
      <c r="AO82" s="105"/>
      <c r="AP82" s="105"/>
      <c r="AQ82" s="105"/>
      <c r="AR82" s="105"/>
      <c r="AS82" s="105"/>
      <c r="AT82" s="105"/>
      <c r="AU82" s="105"/>
      <c r="AV82" s="105"/>
      <c r="AW82" s="105"/>
      <c r="AX82" s="105"/>
      <c r="AY82" s="105"/>
      <c r="AZ82" s="105"/>
      <c r="BA82" s="105"/>
      <c r="BB82" s="105"/>
    </row>
    <row r="83" spans="1:54" s="109" customFormat="1" ht="12" customHeight="1">
      <c r="A83" s="8">
        <v>1120116201</v>
      </c>
      <c r="B83" s="8" t="s">
        <v>792</v>
      </c>
      <c r="C83" s="8"/>
      <c r="D83" s="92">
        <f>+VLOOKUP(A83,Clasificaciones!C:I,5,FALSE)</f>
        <v>-3649070137</v>
      </c>
      <c r="E83" s="92">
        <v>0</v>
      </c>
      <c r="F83" s="92">
        <v>0</v>
      </c>
      <c r="G83" s="92">
        <f>+VLOOKUP(A83,Clasificaciones!C:M,9,FALSE)</f>
        <v>-29526171</v>
      </c>
      <c r="H83" s="92">
        <f t="shared" si="8"/>
        <v>-3619543966</v>
      </c>
      <c r="I83" s="26">
        <v>0</v>
      </c>
      <c r="J83" s="26">
        <v>0</v>
      </c>
      <c r="K83" s="26">
        <v>0</v>
      </c>
      <c r="L83" s="26">
        <v>0</v>
      </c>
      <c r="M83" s="26">
        <v>0</v>
      </c>
      <c r="N83" s="26">
        <v>0</v>
      </c>
      <c r="O83" s="26">
        <v>0</v>
      </c>
      <c r="P83" s="26">
        <v>0</v>
      </c>
      <c r="Q83" s="26">
        <v>0</v>
      </c>
      <c r="R83" s="26">
        <v>0</v>
      </c>
      <c r="S83" s="26">
        <v>0</v>
      </c>
      <c r="T83" s="26">
        <f t="shared" si="7"/>
        <v>3619543966</v>
      </c>
      <c r="U83" s="26">
        <v>0</v>
      </c>
      <c r="V83" s="26">
        <v>0</v>
      </c>
      <c r="W83" s="26">
        <v>0</v>
      </c>
      <c r="X83" s="26">
        <v>0</v>
      </c>
      <c r="Y83" s="26">
        <v>0</v>
      </c>
      <c r="Z83" s="26">
        <v>0</v>
      </c>
      <c r="AA83" s="26">
        <f t="shared" si="6"/>
        <v>0</v>
      </c>
      <c r="AB83" s="107"/>
      <c r="AC83" s="107"/>
      <c r="AD83" s="107"/>
      <c r="AE83" s="107"/>
      <c r="AF83" s="107"/>
      <c r="AG83" s="107"/>
      <c r="AH83" s="107"/>
      <c r="AI83" s="107"/>
      <c r="AJ83" s="107"/>
      <c r="AK83" s="107"/>
      <c r="AL83" s="107"/>
      <c r="AM83" s="107"/>
      <c r="AN83" s="107"/>
      <c r="AO83" s="108"/>
      <c r="AP83" s="108"/>
      <c r="AQ83" s="108"/>
      <c r="AR83" s="108"/>
      <c r="AS83" s="108"/>
      <c r="AT83" s="108"/>
      <c r="AU83" s="108"/>
      <c r="AV83" s="108"/>
      <c r="AW83" s="108"/>
      <c r="AX83" s="108"/>
      <c r="AY83" s="108"/>
      <c r="AZ83" s="108"/>
      <c r="BA83" s="108"/>
      <c r="BB83" s="108"/>
    </row>
    <row r="84" spans="1:54" s="109" customFormat="1" ht="12" customHeight="1">
      <c r="A84" s="8">
        <v>1120116203</v>
      </c>
      <c r="B84" s="8" t="s">
        <v>1033</v>
      </c>
      <c r="C84" s="8"/>
      <c r="D84" s="92">
        <f>+VLOOKUP(A84,Clasificaciones!C:I,5,FALSE)</f>
        <v>0</v>
      </c>
      <c r="E84" s="92">
        <v>0</v>
      </c>
      <c r="F84" s="92">
        <v>0</v>
      </c>
      <c r="G84" s="92">
        <f>+VLOOKUP(A84,Clasificaciones!C:M,9,FALSE)</f>
        <v>0</v>
      </c>
      <c r="H84" s="92">
        <f t="shared" si="8"/>
        <v>0</v>
      </c>
      <c r="I84" s="26">
        <v>0</v>
      </c>
      <c r="J84" s="26">
        <v>0</v>
      </c>
      <c r="K84" s="26">
        <v>0</v>
      </c>
      <c r="L84" s="26">
        <v>0</v>
      </c>
      <c r="M84" s="26">
        <v>0</v>
      </c>
      <c r="N84" s="26">
        <v>0</v>
      </c>
      <c r="O84" s="26">
        <v>0</v>
      </c>
      <c r="P84" s="26">
        <v>0</v>
      </c>
      <c r="Q84" s="26">
        <v>0</v>
      </c>
      <c r="R84" s="26">
        <v>0</v>
      </c>
      <c r="S84" s="26">
        <v>0</v>
      </c>
      <c r="T84" s="26">
        <f t="shared" si="7"/>
        <v>0</v>
      </c>
      <c r="U84" s="26">
        <v>0</v>
      </c>
      <c r="V84" s="26">
        <v>0</v>
      </c>
      <c r="W84" s="26">
        <v>0</v>
      </c>
      <c r="X84" s="26">
        <v>0</v>
      </c>
      <c r="Y84" s="26">
        <v>0</v>
      </c>
      <c r="Z84" s="26">
        <v>0</v>
      </c>
      <c r="AA84" s="26">
        <f t="shared" si="6"/>
        <v>0</v>
      </c>
      <c r="AB84" s="107"/>
      <c r="AC84" s="107"/>
      <c r="AD84" s="107"/>
      <c r="AE84" s="107"/>
      <c r="AF84" s="107"/>
      <c r="AG84" s="107"/>
      <c r="AH84" s="107"/>
      <c r="AI84" s="107"/>
      <c r="AJ84" s="107"/>
      <c r="AK84" s="107"/>
      <c r="AL84" s="107"/>
      <c r="AM84" s="107"/>
      <c r="AN84" s="107"/>
      <c r="AO84" s="108"/>
      <c r="AP84" s="108"/>
      <c r="AQ84" s="108"/>
      <c r="AR84" s="108"/>
      <c r="AS84" s="108"/>
      <c r="AT84" s="108"/>
      <c r="AU84" s="108"/>
      <c r="AV84" s="108"/>
      <c r="AW84" s="108"/>
      <c r="AX84" s="108"/>
      <c r="AY84" s="108"/>
      <c r="AZ84" s="108"/>
      <c r="BA84" s="108"/>
      <c r="BB84" s="108"/>
    </row>
    <row r="85" spans="1:54" s="109" customFormat="1" ht="12" customHeight="1">
      <c r="A85" s="8">
        <v>1120116204</v>
      </c>
      <c r="B85" s="8" t="s">
        <v>972</v>
      </c>
      <c r="C85" s="8"/>
      <c r="D85" s="92">
        <f>+VLOOKUP(A85,Clasificaciones!C:I,5,FALSE)</f>
        <v>-876158271</v>
      </c>
      <c r="E85" s="92">
        <v>0</v>
      </c>
      <c r="F85" s="92">
        <v>0</v>
      </c>
      <c r="G85" s="92">
        <f>+VLOOKUP(A85,Clasificaciones!C:M,9,FALSE)</f>
        <v>-304680406</v>
      </c>
      <c r="H85" s="92">
        <f t="shared" si="8"/>
        <v>-571477865</v>
      </c>
      <c r="I85" s="26">
        <v>0</v>
      </c>
      <c r="J85" s="26">
        <v>0</v>
      </c>
      <c r="K85" s="26">
        <v>0</v>
      </c>
      <c r="L85" s="26">
        <v>0</v>
      </c>
      <c r="M85" s="26">
        <v>0</v>
      </c>
      <c r="N85" s="26">
        <v>0</v>
      </c>
      <c r="O85" s="26">
        <v>0</v>
      </c>
      <c r="P85" s="26">
        <v>0</v>
      </c>
      <c r="Q85" s="26">
        <v>0</v>
      </c>
      <c r="R85" s="26">
        <v>0</v>
      </c>
      <c r="S85" s="26">
        <v>0</v>
      </c>
      <c r="T85" s="26">
        <f t="shared" si="7"/>
        <v>571477865</v>
      </c>
      <c r="U85" s="26">
        <v>0</v>
      </c>
      <c r="V85" s="26">
        <v>0</v>
      </c>
      <c r="W85" s="26">
        <v>0</v>
      </c>
      <c r="X85" s="26">
        <v>0</v>
      </c>
      <c r="Y85" s="26">
        <v>0</v>
      </c>
      <c r="Z85" s="26">
        <v>0</v>
      </c>
      <c r="AA85" s="26">
        <f t="shared" si="6"/>
        <v>0</v>
      </c>
      <c r="AB85" s="107"/>
      <c r="AC85" s="107"/>
      <c r="AD85" s="107"/>
      <c r="AE85" s="107"/>
      <c r="AF85" s="107"/>
      <c r="AG85" s="107"/>
      <c r="AH85" s="107"/>
      <c r="AI85" s="107"/>
      <c r="AJ85" s="107"/>
      <c r="AK85" s="107"/>
      <c r="AL85" s="107"/>
      <c r="AM85" s="107"/>
      <c r="AN85" s="107"/>
      <c r="AO85" s="108"/>
      <c r="AP85" s="108"/>
      <c r="AQ85" s="108"/>
      <c r="AR85" s="108"/>
      <c r="AS85" s="108"/>
      <c r="AT85" s="108"/>
      <c r="AU85" s="108"/>
      <c r="AV85" s="108"/>
      <c r="AW85" s="108"/>
      <c r="AX85" s="108"/>
      <c r="AY85" s="108"/>
      <c r="AZ85" s="108"/>
      <c r="BA85" s="108"/>
      <c r="BB85" s="108"/>
    </row>
    <row r="86" spans="1:54" s="109" customFormat="1" ht="12" customHeight="1">
      <c r="A86" s="8">
        <v>1120116205</v>
      </c>
      <c r="B86" s="8" t="s">
        <v>793</v>
      </c>
      <c r="C86" s="8"/>
      <c r="D86" s="92">
        <f>+VLOOKUP(A86,Clasificaciones!C:I,5,FALSE)</f>
        <v>-1156671548</v>
      </c>
      <c r="E86" s="92">
        <v>0</v>
      </c>
      <c r="F86" s="92">
        <v>0</v>
      </c>
      <c r="G86" s="92">
        <f>+VLOOKUP(A86,Clasificaciones!C:M,9,FALSE)</f>
        <v>-34135274</v>
      </c>
      <c r="H86" s="92">
        <f t="shared" si="8"/>
        <v>-1122536274</v>
      </c>
      <c r="I86" s="26">
        <v>0</v>
      </c>
      <c r="J86" s="26">
        <v>0</v>
      </c>
      <c r="K86" s="26">
        <v>0</v>
      </c>
      <c r="L86" s="26">
        <v>0</v>
      </c>
      <c r="M86" s="26">
        <v>0</v>
      </c>
      <c r="N86" s="26">
        <v>0</v>
      </c>
      <c r="O86" s="26">
        <v>0</v>
      </c>
      <c r="P86" s="26">
        <v>0</v>
      </c>
      <c r="Q86" s="26">
        <v>0</v>
      </c>
      <c r="R86" s="26">
        <v>0</v>
      </c>
      <c r="S86" s="26">
        <v>0</v>
      </c>
      <c r="T86" s="26">
        <f t="shared" si="7"/>
        <v>1122536274</v>
      </c>
      <c r="U86" s="26">
        <v>0</v>
      </c>
      <c r="V86" s="26">
        <v>0</v>
      </c>
      <c r="W86" s="26">
        <v>0</v>
      </c>
      <c r="X86" s="26">
        <v>0</v>
      </c>
      <c r="Y86" s="26">
        <v>0</v>
      </c>
      <c r="Z86" s="26">
        <v>0</v>
      </c>
      <c r="AA86" s="26">
        <f t="shared" si="6"/>
        <v>0</v>
      </c>
      <c r="AB86" s="107"/>
      <c r="AC86" s="107"/>
      <c r="AD86" s="107"/>
      <c r="AE86" s="107"/>
      <c r="AF86" s="107"/>
      <c r="AG86" s="107"/>
      <c r="AH86" s="107"/>
      <c r="AI86" s="107"/>
      <c r="AJ86" s="107"/>
      <c r="AK86" s="107"/>
      <c r="AL86" s="107"/>
      <c r="AM86" s="107"/>
      <c r="AN86" s="107"/>
      <c r="AO86" s="108"/>
      <c r="AP86" s="108"/>
      <c r="AQ86" s="108"/>
      <c r="AR86" s="108"/>
      <c r="AS86" s="108"/>
      <c r="AT86" s="108"/>
      <c r="AU86" s="108"/>
      <c r="AV86" s="108"/>
      <c r="AW86" s="108"/>
      <c r="AX86" s="108"/>
      <c r="AY86" s="108"/>
      <c r="AZ86" s="108"/>
      <c r="BA86" s="108"/>
      <c r="BB86" s="108"/>
    </row>
    <row r="87" spans="1:54" s="109" customFormat="1" ht="12" customHeight="1">
      <c r="A87" s="8">
        <v>1120116206</v>
      </c>
      <c r="B87" s="8" t="s">
        <v>794</v>
      </c>
      <c r="C87" s="8"/>
      <c r="D87" s="92">
        <f>+VLOOKUP(A87,Clasificaciones!C:I,5,FALSE)</f>
        <v>-363487836</v>
      </c>
      <c r="E87" s="92">
        <v>0</v>
      </c>
      <c r="F87" s="92">
        <v>0</v>
      </c>
      <c r="G87" s="92">
        <f>+VLOOKUP(A87,Clasificaciones!C:M,9,FALSE)</f>
        <v>-92732838</v>
      </c>
      <c r="H87" s="92">
        <f t="shared" si="8"/>
        <v>-270754998</v>
      </c>
      <c r="I87" s="26">
        <v>0</v>
      </c>
      <c r="J87" s="26">
        <v>0</v>
      </c>
      <c r="K87" s="26">
        <v>0</v>
      </c>
      <c r="L87" s="26">
        <v>0</v>
      </c>
      <c r="M87" s="26">
        <v>0</v>
      </c>
      <c r="N87" s="26">
        <v>0</v>
      </c>
      <c r="O87" s="26">
        <v>0</v>
      </c>
      <c r="P87" s="26">
        <v>0</v>
      </c>
      <c r="Q87" s="26">
        <v>0</v>
      </c>
      <c r="R87" s="26">
        <v>0</v>
      </c>
      <c r="S87" s="26">
        <v>0</v>
      </c>
      <c r="T87" s="26">
        <f t="shared" si="7"/>
        <v>270754998</v>
      </c>
      <c r="U87" s="26">
        <v>0</v>
      </c>
      <c r="V87" s="26">
        <v>0</v>
      </c>
      <c r="W87" s="26">
        <v>0</v>
      </c>
      <c r="X87" s="26">
        <v>0</v>
      </c>
      <c r="Y87" s="26">
        <v>0</v>
      </c>
      <c r="Z87" s="26">
        <v>0</v>
      </c>
      <c r="AA87" s="26">
        <f t="shared" si="6"/>
        <v>0</v>
      </c>
      <c r="AB87" s="107"/>
      <c r="AC87" s="107"/>
      <c r="AD87" s="107"/>
      <c r="AE87" s="107"/>
      <c r="AF87" s="107"/>
      <c r="AG87" s="107"/>
      <c r="AH87" s="107"/>
      <c r="AI87" s="107"/>
      <c r="AJ87" s="107"/>
      <c r="AK87" s="107"/>
      <c r="AL87" s="107"/>
      <c r="AM87" s="107"/>
      <c r="AN87" s="107"/>
      <c r="AO87" s="108"/>
      <c r="AP87" s="108"/>
      <c r="AQ87" s="108"/>
      <c r="AR87" s="108"/>
      <c r="AS87" s="108"/>
      <c r="AT87" s="108"/>
      <c r="AU87" s="108"/>
      <c r="AV87" s="108"/>
      <c r="AW87" s="108"/>
      <c r="AX87" s="108"/>
      <c r="AY87" s="108"/>
      <c r="AZ87" s="108"/>
      <c r="BA87" s="108"/>
      <c r="BB87" s="108"/>
    </row>
    <row r="88" spans="1:54" s="106" customFormat="1" ht="12" customHeight="1">
      <c r="A88" s="8">
        <v>1120116207</v>
      </c>
      <c r="B88" s="8" t="s">
        <v>795</v>
      </c>
      <c r="C88" s="8"/>
      <c r="D88" s="92">
        <f>+VLOOKUP(A88,Clasificaciones!C:I,5,FALSE)</f>
        <v>-13256785621</v>
      </c>
      <c r="E88" s="92">
        <v>0</v>
      </c>
      <c r="F88" s="92">
        <v>0</v>
      </c>
      <c r="G88" s="92">
        <f>+VLOOKUP(A88,Clasificaciones!C:M,9,FALSE)</f>
        <v>-2206333580</v>
      </c>
      <c r="H88" s="92">
        <f>+D88-G88+E88-F88</f>
        <v>-11050452041</v>
      </c>
      <c r="I88" s="26">
        <v>0</v>
      </c>
      <c r="J88" s="26">
        <v>0</v>
      </c>
      <c r="K88" s="26">
        <v>0</v>
      </c>
      <c r="L88" s="26">
        <v>0</v>
      </c>
      <c r="M88" s="26">
        <v>0</v>
      </c>
      <c r="N88" s="26">
        <v>0</v>
      </c>
      <c r="O88" s="26">
        <v>0</v>
      </c>
      <c r="P88" s="26">
        <v>0</v>
      </c>
      <c r="Q88" s="26">
        <v>0</v>
      </c>
      <c r="R88" s="26">
        <v>0</v>
      </c>
      <c r="S88" s="26">
        <v>0</v>
      </c>
      <c r="T88" s="26">
        <f t="shared" si="7"/>
        <v>11050452041</v>
      </c>
      <c r="U88" s="26">
        <v>0</v>
      </c>
      <c r="V88" s="26">
        <v>0</v>
      </c>
      <c r="W88" s="26">
        <v>0</v>
      </c>
      <c r="X88" s="26">
        <v>0</v>
      </c>
      <c r="Y88" s="26">
        <v>0</v>
      </c>
      <c r="Z88" s="26">
        <v>0</v>
      </c>
      <c r="AA88" s="26">
        <f t="shared" si="6"/>
        <v>0</v>
      </c>
      <c r="AB88" s="110"/>
      <c r="AC88" s="110"/>
      <c r="AD88" s="110"/>
      <c r="AE88" s="110"/>
      <c r="AF88" s="110"/>
      <c r="AG88" s="110"/>
      <c r="AH88" s="110"/>
      <c r="AI88" s="110"/>
      <c r="AJ88" s="110"/>
      <c r="AK88" s="110"/>
      <c r="AL88" s="110"/>
      <c r="AM88" s="110"/>
      <c r="AN88" s="110"/>
      <c r="AO88" s="105"/>
      <c r="AP88" s="105"/>
      <c r="AQ88" s="105"/>
      <c r="AR88" s="105"/>
      <c r="AS88" s="105"/>
      <c r="AT88" s="105"/>
      <c r="AU88" s="105"/>
      <c r="AV88" s="105"/>
      <c r="AW88" s="105"/>
      <c r="AX88" s="105"/>
      <c r="AY88" s="105"/>
      <c r="AZ88" s="105"/>
      <c r="BA88" s="105"/>
      <c r="BB88" s="105"/>
    </row>
    <row r="89" spans="1:54" s="106" customFormat="1" ht="12" customHeight="1">
      <c r="A89" s="8">
        <v>1120116208</v>
      </c>
      <c r="B89" s="8" t="s">
        <v>1442</v>
      </c>
      <c r="C89" s="8"/>
      <c r="D89" s="92">
        <f>+VLOOKUP(A89,Clasificaciones!C:I,5,FALSE)</f>
        <v>69</v>
      </c>
      <c r="E89" s="92">
        <v>0</v>
      </c>
      <c r="F89" s="92">
        <v>0</v>
      </c>
      <c r="G89" s="92">
        <f>+VLOOKUP(A89,Clasificaciones!C:M,9,FALSE)</f>
        <v>0</v>
      </c>
      <c r="H89" s="92">
        <f>+D89-G89+E89-F89</f>
        <v>69</v>
      </c>
      <c r="I89" s="26">
        <v>0</v>
      </c>
      <c r="J89" s="26">
        <v>0</v>
      </c>
      <c r="K89" s="26">
        <v>0</v>
      </c>
      <c r="L89" s="26">
        <v>0</v>
      </c>
      <c r="M89" s="26">
        <v>0</v>
      </c>
      <c r="N89" s="26">
        <v>0</v>
      </c>
      <c r="O89" s="26">
        <v>0</v>
      </c>
      <c r="P89" s="26">
        <v>0</v>
      </c>
      <c r="Q89" s="26">
        <v>0</v>
      </c>
      <c r="R89" s="26">
        <v>0</v>
      </c>
      <c r="S89" s="26">
        <v>0</v>
      </c>
      <c r="T89" s="26">
        <f t="shared" si="7"/>
        <v>-69</v>
      </c>
      <c r="U89" s="26">
        <v>0</v>
      </c>
      <c r="V89" s="26">
        <v>0</v>
      </c>
      <c r="W89" s="26">
        <v>0</v>
      </c>
      <c r="X89" s="26">
        <v>0</v>
      </c>
      <c r="Y89" s="26">
        <v>0</v>
      </c>
      <c r="Z89" s="26">
        <v>0</v>
      </c>
      <c r="AA89" s="26">
        <f t="shared" si="6"/>
        <v>0</v>
      </c>
      <c r="AB89" s="110"/>
      <c r="AC89" s="110"/>
      <c r="AD89" s="110"/>
      <c r="AE89" s="110"/>
      <c r="AF89" s="110"/>
      <c r="AG89" s="110"/>
      <c r="AH89" s="110"/>
      <c r="AI89" s="110"/>
      <c r="AJ89" s="110"/>
      <c r="AK89" s="110"/>
      <c r="AL89" s="110"/>
      <c r="AM89" s="110"/>
      <c r="AN89" s="110"/>
      <c r="AO89" s="105"/>
      <c r="AP89" s="105"/>
      <c r="AQ89" s="105"/>
      <c r="AR89" s="105"/>
      <c r="AS89" s="105"/>
      <c r="AT89" s="105"/>
      <c r="AU89" s="105"/>
      <c r="AV89" s="105"/>
      <c r="AW89" s="105"/>
      <c r="AX89" s="105"/>
      <c r="AY89" s="105"/>
      <c r="AZ89" s="105"/>
      <c r="BA89" s="105"/>
      <c r="BB89" s="105"/>
    </row>
    <row r="90" spans="1:54" s="106" customFormat="1" ht="12" customHeight="1">
      <c r="A90" s="8">
        <v>1120116209</v>
      </c>
      <c r="B90" s="8" t="s">
        <v>1034</v>
      </c>
      <c r="C90" s="8"/>
      <c r="D90" s="92">
        <f>+VLOOKUP(A90,Clasificaciones!C:I,5,FALSE)</f>
        <v>0</v>
      </c>
      <c r="E90" s="92">
        <v>0</v>
      </c>
      <c r="F90" s="92">
        <v>0</v>
      </c>
      <c r="G90" s="92">
        <f>+VLOOKUP(A90,Clasificaciones!C:M,9,FALSE)</f>
        <v>-533918</v>
      </c>
      <c r="H90" s="92">
        <f t="shared" ref="H90:H98" si="10">+D90-G90+E90-F90</f>
        <v>533918</v>
      </c>
      <c r="I90" s="26">
        <v>0</v>
      </c>
      <c r="J90" s="26">
        <v>0</v>
      </c>
      <c r="K90" s="26">
        <v>0</v>
      </c>
      <c r="L90" s="26">
        <v>0</v>
      </c>
      <c r="M90" s="26">
        <v>0</v>
      </c>
      <c r="N90" s="26">
        <v>0</v>
      </c>
      <c r="O90" s="26">
        <v>0</v>
      </c>
      <c r="P90" s="26">
        <v>0</v>
      </c>
      <c r="Q90" s="26">
        <v>0</v>
      </c>
      <c r="R90" s="26">
        <v>0</v>
      </c>
      <c r="S90" s="26">
        <v>0</v>
      </c>
      <c r="T90" s="26">
        <f t="shared" si="7"/>
        <v>-533918</v>
      </c>
      <c r="U90" s="26">
        <v>0</v>
      </c>
      <c r="V90" s="26">
        <v>0</v>
      </c>
      <c r="W90" s="26">
        <v>0</v>
      </c>
      <c r="X90" s="26">
        <v>0</v>
      </c>
      <c r="Y90" s="26">
        <v>0</v>
      </c>
      <c r="Z90" s="26">
        <v>0</v>
      </c>
      <c r="AA90" s="26">
        <f t="shared" si="6"/>
        <v>0</v>
      </c>
      <c r="AB90" s="110"/>
      <c r="AC90" s="110"/>
      <c r="AD90" s="110"/>
      <c r="AE90" s="110"/>
      <c r="AF90" s="110"/>
      <c r="AG90" s="110"/>
      <c r="AH90" s="110"/>
      <c r="AI90" s="110"/>
      <c r="AJ90" s="110"/>
      <c r="AK90" s="110"/>
      <c r="AL90" s="110"/>
      <c r="AM90" s="110"/>
      <c r="AN90" s="110"/>
      <c r="AO90" s="105"/>
      <c r="AP90" s="105"/>
      <c r="AQ90" s="105"/>
      <c r="AR90" s="105"/>
      <c r="AS90" s="105"/>
      <c r="AT90" s="105"/>
      <c r="AU90" s="105"/>
      <c r="AV90" s="105"/>
      <c r="AW90" s="105"/>
      <c r="AX90" s="105"/>
      <c r="AY90" s="105"/>
      <c r="AZ90" s="105"/>
      <c r="BA90" s="105"/>
      <c r="BB90" s="105"/>
    </row>
    <row r="91" spans="1:54" s="106" customFormat="1" ht="12" customHeight="1">
      <c r="A91" s="8">
        <v>1120116217</v>
      </c>
      <c r="B91" s="8" t="s">
        <v>797</v>
      </c>
      <c r="C91" s="8"/>
      <c r="D91" s="92">
        <f>+VLOOKUP(A91,Clasificaciones!C:I,5,FALSE)</f>
        <v>-1495389292</v>
      </c>
      <c r="E91" s="92">
        <v>0</v>
      </c>
      <c r="F91" s="92">
        <v>0</v>
      </c>
      <c r="G91" s="92">
        <f>+VLOOKUP(A91,Clasificaciones!C:M,9,FALSE)</f>
        <v>-146239726</v>
      </c>
      <c r="H91" s="92">
        <f t="shared" si="10"/>
        <v>-1349149566</v>
      </c>
      <c r="I91" s="26">
        <v>0</v>
      </c>
      <c r="J91" s="26">
        <v>0</v>
      </c>
      <c r="K91" s="26">
        <v>0</v>
      </c>
      <c r="L91" s="26">
        <v>0</v>
      </c>
      <c r="M91" s="26">
        <v>0</v>
      </c>
      <c r="N91" s="26">
        <v>0</v>
      </c>
      <c r="O91" s="26">
        <v>0</v>
      </c>
      <c r="P91" s="26">
        <v>0</v>
      </c>
      <c r="Q91" s="26">
        <v>0</v>
      </c>
      <c r="R91" s="26">
        <v>0</v>
      </c>
      <c r="S91" s="26">
        <v>0</v>
      </c>
      <c r="T91" s="26">
        <f t="shared" si="7"/>
        <v>1349149566</v>
      </c>
      <c r="U91" s="26">
        <v>0</v>
      </c>
      <c r="V91" s="26">
        <v>0</v>
      </c>
      <c r="W91" s="26">
        <v>0</v>
      </c>
      <c r="X91" s="26">
        <v>0</v>
      </c>
      <c r="Y91" s="26">
        <v>0</v>
      </c>
      <c r="Z91" s="26">
        <v>0</v>
      </c>
      <c r="AA91" s="26">
        <f t="shared" si="6"/>
        <v>0</v>
      </c>
      <c r="AB91" s="110"/>
      <c r="AC91" s="110"/>
      <c r="AD91" s="110"/>
      <c r="AE91" s="110"/>
      <c r="AF91" s="110"/>
      <c r="AG91" s="110"/>
      <c r="AH91" s="110"/>
      <c r="AI91" s="110"/>
      <c r="AJ91" s="110"/>
      <c r="AK91" s="110"/>
      <c r="AL91" s="110"/>
      <c r="AM91" s="110"/>
      <c r="AN91" s="110"/>
      <c r="AO91" s="105"/>
      <c r="AP91" s="105"/>
      <c r="AQ91" s="105"/>
      <c r="AR91" s="105"/>
      <c r="AS91" s="105"/>
      <c r="AT91" s="105"/>
      <c r="AU91" s="105"/>
      <c r="AV91" s="105"/>
      <c r="AW91" s="105"/>
      <c r="AX91" s="105"/>
      <c r="AY91" s="105"/>
      <c r="AZ91" s="105"/>
      <c r="BA91" s="105"/>
      <c r="BB91" s="105"/>
    </row>
    <row r="92" spans="1:54" s="109" customFormat="1" ht="12" customHeight="1">
      <c r="A92" s="8">
        <v>1120116218</v>
      </c>
      <c r="B92" s="8" t="s">
        <v>798</v>
      </c>
      <c r="C92" s="8"/>
      <c r="D92" s="92">
        <f>+VLOOKUP(A92,Clasificaciones!C:I,5,FALSE)</f>
        <v>-1343245691</v>
      </c>
      <c r="E92" s="92">
        <v>0</v>
      </c>
      <c r="F92" s="92">
        <v>0</v>
      </c>
      <c r="G92" s="92">
        <f>+VLOOKUP(A92,Clasificaciones!C:M,9,FALSE)</f>
        <v>-25107776</v>
      </c>
      <c r="H92" s="92">
        <f t="shared" si="10"/>
        <v>-1318137915</v>
      </c>
      <c r="I92" s="26">
        <v>0</v>
      </c>
      <c r="J92" s="26">
        <v>0</v>
      </c>
      <c r="K92" s="26">
        <v>0</v>
      </c>
      <c r="L92" s="26">
        <v>0</v>
      </c>
      <c r="M92" s="26">
        <v>0</v>
      </c>
      <c r="N92" s="26">
        <v>0</v>
      </c>
      <c r="O92" s="26">
        <v>0</v>
      </c>
      <c r="P92" s="26">
        <v>0</v>
      </c>
      <c r="Q92" s="26">
        <v>0</v>
      </c>
      <c r="R92" s="26">
        <v>0</v>
      </c>
      <c r="S92" s="26">
        <v>0</v>
      </c>
      <c r="T92" s="26">
        <f t="shared" si="7"/>
        <v>1318137915</v>
      </c>
      <c r="U92" s="26">
        <v>0</v>
      </c>
      <c r="V92" s="26">
        <v>0</v>
      </c>
      <c r="W92" s="26">
        <v>0</v>
      </c>
      <c r="X92" s="26">
        <v>0</v>
      </c>
      <c r="Y92" s="26">
        <v>0</v>
      </c>
      <c r="Z92" s="26">
        <v>0</v>
      </c>
      <c r="AA92" s="26">
        <f t="shared" si="6"/>
        <v>0</v>
      </c>
      <c r="AB92" s="107"/>
      <c r="AC92" s="107"/>
      <c r="AD92" s="107"/>
      <c r="AE92" s="107"/>
      <c r="AF92" s="107"/>
      <c r="AG92" s="107"/>
      <c r="AH92" s="107"/>
      <c r="AI92" s="107"/>
      <c r="AJ92" s="107"/>
      <c r="AK92" s="107"/>
      <c r="AL92" s="107"/>
      <c r="AM92" s="107"/>
      <c r="AN92" s="107"/>
      <c r="AO92" s="108"/>
      <c r="AP92" s="108"/>
      <c r="AQ92" s="108"/>
      <c r="AR92" s="108"/>
      <c r="AS92" s="108"/>
      <c r="AT92" s="108"/>
      <c r="AU92" s="108"/>
      <c r="AV92" s="108"/>
      <c r="AW92" s="108"/>
      <c r="AX92" s="108"/>
      <c r="AY92" s="108"/>
      <c r="AZ92" s="108"/>
      <c r="BA92" s="108"/>
      <c r="BB92" s="108"/>
    </row>
    <row r="93" spans="1:54" s="109" customFormat="1" ht="12" customHeight="1">
      <c r="A93" s="8">
        <v>1120116229</v>
      </c>
      <c r="B93" s="8" t="s">
        <v>799</v>
      </c>
      <c r="C93" s="8"/>
      <c r="D93" s="92">
        <f>+VLOOKUP(A93,Clasificaciones!C:I,5,FALSE)</f>
        <v>-40144890</v>
      </c>
      <c r="E93" s="92">
        <v>0</v>
      </c>
      <c r="F93" s="92">
        <v>0</v>
      </c>
      <c r="G93" s="92">
        <f>+VLOOKUP(A93,Clasificaciones!C:M,9,FALSE)</f>
        <v>-46298740</v>
      </c>
      <c r="H93" s="92">
        <f t="shared" si="10"/>
        <v>6153850</v>
      </c>
      <c r="I93" s="26">
        <v>0</v>
      </c>
      <c r="J93" s="26">
        <v>0</v>
      </c>
      <c r="K93" s="26">
        <v>0</v>
      </c>
      <c r="L93" s="26">
        <v>0</v>
      </c>
      <c r="M93" s="26">
        <v>0</v>
      </c>
      <c r="N93" s="26">
        <v>0</v>
      </c>
      <c r="O93" s="26">
        <v>0</v>
      </c>
      <c r="P93" s="26">
        <v>0</v>
      </c>
      <c r="Q93" s="26">
        <v>0</v>
      </c>
      <c r="R93" s="26">
        <v>0</v>
      </c>
      <c r="S93" s="26">
        <v>0</v>
      </c>
      <c r="T93" s="26">
        <f t="shared" si="7"/>
        <v>-6153850</v>
      </c>
      <c r="U93" s="26">
        <v>0</v>
      </c>
      <c r="V93" s="26">
        <v>0</v>
      </c>
      <c r="W93" s="26">
        <v>0</v>
      </c>
      <c r="X93" s="26">
        <v>0</v>
      </c>
      <c r="Y93" s="26">
        <v>0</v>
      </c>
      <c r="Z93" s="26">
        <v>0</v>
      </c>
      <c r="AA93" s="26">
        <f t="shared" si="6"/>
        <v>0</v>
      </c>
      <c r="AB93" s="107"/>
      <c r="AC93" s="107"/>
      <c r="AD93" s="107"/>
      <c r="AE93" s="107"/>
      <c r="AF93" s="107"/>
      <c r="AG93" s="107"/>
      <c r="AH93" s="107"/>
      <c r="AI93" s="107"/>
      <c r="AJ93" s="107"/>
      <c r="AK93" s="107"/>
      <c r="AL93" s="107"/>
      <c r="AM93" s="107"/>
      <c r="AN93" s="107"/>
      <c r="AO93" s="108"/>
      <c r="AP93" s="108"/>
      <c r="AQ93" s="108"/>
      <c r="AR93" s="108"/>
      <c r="AS93" s="108"/>
      <c r="AT93" s="108"/>
      <c r="AU93" s="108"/>
      <c r="AV93" s="108"/>
      <c r="AW93" s="108"/>
      <c r="AX93" s="108"/>
      <c r="AY93" s="108"/>
      <c r="AZ93" s="108"/>
      <c r="BA93" s="108"/>
      <c r="BB93" s="108"/>
    </row>
    <row r="94" spans="1:54" s="109" customFormat="1" ht="12" customHeight="1">
      <c r="A94" s="8">
        <v>1120116232</v>
      </c>
      <c r="B94" s="8" t="s">
        <v>1054</v>
      </c>
      <c r="C94" s="8"/>
      <c r="D94" s="92">
        <f>+VLOOKUP(A94,Clasificaciones!C:I,5,FALSE)</f>
        <v>0</v>
      </c>
      <c r="E94" s="92">
        <v>0</v>
      </c>
      <c r="F94" s="92">
        <v>0</v>
      </c>
      <c r="G94" s="92">
        <f>+VLOOKUP(A94,Clasificaciones!C:M,9,FALSE)</f>
        <v>0</v>
      </c>
      <c r="H94" s="92">
        <f t="shared" si="10"/>
        <v>0</v>
      </c>
      <c r="I94" s="26">
        <v>0</v>
      </c>
      <c r="J94" s="26">
        <v>0</v>
      </c>
      <c r="K94" s="26">
        <v>0</v>
      </c>
      <c r="L94" s="26">
        <v>0</v>
      </c>
      <c r="M94" s="26">
        <v>0</v>
      </c>
      <c r="N94" s="26">
        <v>0</v>
      </c>
      <c r="O94" s="26">
        <v>0</v>
      </c>
      <c r="P94" s="26">
        <v>0</v>
      </c>
      <c r="Q94" s="26">
        <v>0</v>
      </c>
      <c r="R94" s="26">
        <v>0</v>
      </c>
      <c r="S94" s="26">
        <v>0</v>
      </c>
      <c r="T94" s="26">
        <f t="shared" ref="T94" si="11">-H94</f>
        <v>0</v>
      </c>
      <c r="U94" s="26">
        <v>0</v>
      </c>
      <c r="V94" s="26">
        <v>0</v>
      </c>
      <c r="W94" s="26">
        <v>0</v>
      </c>
      <c r="X94" s="26">
        <v>0</v>
      </c>
      <c r="Y94" s="26">
        <v>0</v>
      </c>
      <c r="Z94" s="26">
        <v>0</v>
      </c>
      <c r="AA94" s="26">
        <f t="shared" si="6"/>
        <v>0</v>
      </c>
      <c r="AB94" s="107"/>
      <c r="AC94" s="107"/>
      <c r="AD94" s="107"/>
      <c r="AE94" s="107"/>
      <c r="AF94" s="107"/>
      <c r="AG94" s="107"/>
      <c r="AH94" s="107"/>
      <c r="AI94" s="107"/>
      <c r="AJ94" s="107"/>
      <c r="AK94" s="107"/>
      <c r="AL94" s="107"/>
      <c r="AM94" s="107"/>
      <c r="AN94" s="107"/>
      <c r="AO94" s="108"/>
      <c r="AP94" s="108"/>
      <c r="AQ94" s="108"/>
      <c r="AR94" s="108"/>
      <c r="AS94" s="108"/>
      <c r="AT94" s="108"/>
      <c r="AU94" s="108"/>
      <c r="AV94" s="108"/>
      <c r="AW94" s="108"/>
      <c r="AX94" s="108"/>
      <c r="AY94" s="108"/>
      <c r="AZ94" s="108"/>
      <c r="BA94" s="108"/>
      <c r="BB94" s="108"/>
    </row>
    <row r="95" spans="1:54" s="109" customFormat="1" ht="12" customHeight="1">
      <c r="A95" s="8">
        <v>11203</v>
      </c>
      <c r="B95" s="8" t="s">
        <v>158</v>
      </c>
      <c r="C95" s="8"/>
      <c r="D95" s="92">
        <f>+VLOOKUP(A95,Clasificaciones!C:I,5,FALSE)</f>
        <v>0</v>
      </c>
      <c r="E95" s="92">
        <v>0</v>
      </c>
      <c r="F95" s="92">
        <v>0</v>
      </c>
      <c r="G95" s="92">
        <f>+VLOOKUP(A95,Clasificaciones!C:M,9,FALSE)</f>
        <v>0</v>
      </c>
      <c r="H95" s="92">
        <f t="shared" si="10"/>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f t="shared" si="6"/>
        <v>0</v>
      </c>
      <c r="AB95" s="107"/>
      <c r="AC95" s="107"/>
      <c r="AD95" s="107"/>
      <c r="AE95" s="107"/>
      <c r="AF95" s="107"/>
      <c r="AG95" s="107"/>
      <c r="AH95" s="107"/>
      <c r="AI95" s="107"/>
      <c r="AJ95" s="107"/>
      <c r="AK95" s="107"/>
      <c r="AL95" s="107"/>
      <c r="AM95" s="107"/>
      <c r="AN95" s="107"/>
      <c r="AO95" s="108"/>
      <c r="AP95" s="108"/>
      <c r="AQ95" s="108"/>
      <c r="AR95" s="108"/>
      <c r="AS95" s="108"/>
      <c r="AT95" s="108"/>
      <c r="AU95" s="108"/>
      <c r="AV95" s="108"/>
      <c r="AW95" s="108"/>
      <c r="AX95" s="108"/>
      <c r="AY95" s="108"/>
      <c r="AZ95" s="108"/>
      <c r="BA95" s="108"/>
      <c r="BB95" s="108"/>
    </row>
    <row r="96" spans="1:54" s="109" customFormat="1" ht="12" customHeight="1">
      <c r="A96" s="8">
        <v>112031</v>
      </c>
      <c r="B96" s="8" t="s">
        <v>800</v>
      </c>
      <c r="C96" s="8"/>
      <c r="D96" s="92">
        <f>+VLOOKUP(A96,Clasificaciones!C:I,5,FALSE)</f>
        <v>0</v>
      </c>
      <c r="E96" s="92">
        <v>0</v>
      </c>
      <c r="F96" s="92">
        <v>0</v>
      </c>
      <c r="G96" s="92">
        <f>+VLOOKUP(A96,Clasificaciones!C:M,9,FALSE)</f>
        <v>0</v>
      </c>
      <c r="H96" s="92">
        <f t="shared" si="10"/>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f t="shared" si="6"/>
        <v>0</v>
      </c>
      <c r="AB96" s="107"/>
      <c r="AC96" s="107"/>
      <c r="AD96" s="107"/>
      <c r="AE96" s="107"/>
      <c r="AF96" s="107"/>
      <c r="AG96" s="107"/>
      <c r="AH96" s="107"/>
      <c r="AI96" s="107"/>
      <c r="AJ96" s="107"/>
      <c r="AK96" s="107"/>
      <c r="AL96" s="107"/>
      <c r="AM96" s="107"/>
      <c r="AN96" s="107"/>
      <c r="AO96" s="108"/>
      <c r="AP96" s="108"/>
      <c r="AQ96" s="108"/>
      <c r="AR96" s="108"/>
      <c r="AS96" s="108"/>
      <c r="AT96" s="108"/>
      <c r="AU96" s="108"/>
      <c r="AV96" s="108"/>
      <c r="AW96" s="108"/>
      <c r="AX96" s="108"/>
      <c r="AY96" s="108"/>
      <c r="AZ96" s="108"/>
      <c r="BA96" s="108"/>
      <c r="BB96" s="108"/>
    </row>
    <row r="97" spans="1:54" s="109" customFormat="1" ht="12" customHeight="1">
      <c r="A97" s="8">
        <v>11203101</v>
      </c>
      <c r="B97" s="8" t="s">
        <v>801</v>
      </c>
      <c r="C97" s="8"/>
      <c r="D97" s="92">
        <f>+VLOOKUP(A97,Clasificaciones!C:I,5,FALSE)</f>
        <v>0</v>
      </c>
      <c r="E97" s="92">
        <v>0</v>
      </c>
      <c r="F97" s="92">
        <v>0</v>
      </c>
      <c r="G97" s="92">
        <f>+VLOOKUP(A97,Clasificaciones!C:M,9,FALSE)</f>
        <v>0</v>
      </c>
      <c r="H97" s="92">
        <f t="shared" si="10"/>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f t="shared" si="6"/>
        <v>0</v>
      </c>
      <c r="AB97" s="107"/>
      <c r="AC97" s="107"/>
      <c r="AD97" s="107"/>
      <c r="AE97" s="107"/>
      <c r="AF97" s="107"/>
      <c r="AG97" s="107"/>
      <c r="AH97" s="107"/>
      <c r="AI97" s="107"/>
      <c r="AJ97" s="107"/>
      <c r="AK97" s="107"/>
      <c r="AL97" s="107"/>
      <c r="AM97" s="107"/>
      <c r="AN97" s="107"/>
      <c r="AO97" s="108"/>
      <c r="AP97" s="108"/>
      <c r="AQ97" s="108"/>
      <c r="AR97" s="108"/>
      <c r="AS97" s="108"/>
      <c r="AT97" s="108"/>
      <c r="AU97" s="108"/>
      <c r="AV97" s="108"/>
      <c r="AW97" s="108"/>
      <c r="AX97" s="108"/>
      <c r="AY97" s="108"/>
      <c r="AZ97" s="108"/>
      <c r="BA97" s="108"/>
      <c r="BB97" s="108"/>
    </row>
    <row r="98" spans="1:54" s="109" customFormat="1" ht="12" customHeight="1">
      <c r="A98" s="8">
        <v>1120310101</v>
      </c>
      <c r="B98" s="8" t="s">
        <v>802</v>
      </c>
      <c r="C98" s="8"/>
      <c r="D98" s="92">
        <f>+VLOOKUP(A98,Clasificaciones!C:I,5,FALSE)</f>
        <v>45276000000</v>
      </c>
      <c r="E98" s="92">
        <v>0</v>
      </c>
      <c r="F98" s="92">
        <v>0</v>
      </c>
      <c r="G98" s="92">
        <f>+VLOOKUP(A98,Clasificaciones!C:M,9,FALSE)</f>
        <v>16682000000</v>
      </c>
      <c r="H98" s="92">
        <f t="shared" si="10"/>
        <v>28594000000</v>
      </c>
      <c r="I98" s="26">
        <v>0</v>
      </c>
      <c r="J98" s="26">
        <v>0</v>
      </c>
      <c r="K98" s="26">
        <v>0</v>
      </c>
      <c r="L98" s="26">
        <v>0</v>
      </c>
      <c r="M98" s="26">
        <v>0</v>
      </c>
      <c r="N98" s="26">
        <v>0</v>
      </c>
      <c r="O98" s="26">
        <v>0</v>
      </c>
      <c r="P98" s="26">
        <v>0</v>
      </c>
      <c r="Q98" s="26">
        <v>0</v>
      </c>
      <c r="R98" s="26">
        <v>0</v>
      </c>
      <c r="S98" s="26">
        <f>-H98</f>
        <v>-28594000000</v>
      </c>
      <c r="T98" s="26">
        <v>0</v>
      </c>
      <c r="U98" s="26">
        <v>0</v>
      </c>
      <c r="V98" s="26">
        <v>0</v>
      </c>
      <c r="W98" s="26">
        <v>0</v>
      </c>
      <c r="X98" s="26">
        <v>0</v>
      </c>
      <c r="Y98" s="26">
        <v>0</v>
      </c>
      <c r="Z98" s="26">
        <v>0</v>
      </c>
      <c r="AA98" s="26">
        <f t="shared" si="6"/>
        <v>0</v>
      </c>
      <c r="AB98" s="107"/>
      <c r="AC98" s="107"/>
      <c r="AD98" s="107"/>
      <c r="AE98" s="107"/>
      <c r="AF98" s="107"/>
      <c r="AG98" s="107"/>
      <c r="AH98" s="107"/>
      <c r="AI98" s="107"/>
      <c r="AJ98" s="107"/>
      <c r="AK98" s="107"/>
      <c r="AL98" s="107"/>
      <c r="AM98" s="107"/>
      <c r="AN98" s="107"/>
      <c r="AO98" s="108"/>
      <c r="AP98" s="108"/>
      <c r="AQ98" s="108"/>
      <c r="AR98" s="108"/>
      <c r="AS98" s="108"/>
      <c r="AT98" s="108"/>
      <c r="AU98" s="108"/>
      <c r="AV98" s="108"/>
      <c r="AW98" s="108"/>
      <c r="AX98" s="108"/>
      <c r="AY98" s="108"/>
      <c r="AZ98" s="108"/>
      <c r="BA98" s="108"/>
      <c r="BB98" s="108"/>
    </row>
    <row r="99" spans="1:54" s="109" customFormat="1" ht="12" customHeight="1">
      <c r="A99" s="8">
        <v>1120310102</v>
      </c>
      <c r="B99" s="8" t="s">
        <v>803</v>
      </c>
      <c r="C99" s="8"/>
      <c r="D99" s="92">
        <f>+VLOOKUP(A99,Clasificaciones!C:I,5,FALSE)</f>
        <v>5125624260</v>
      </c>
      <c r="E99" s="92">
        <v>0</v>
      </c>
      <c r="F99" s="92">
        <v>0</v>
      </c>
      <c r="G99" s="92">
        <f>+VLOOKUP(A99,Clasificaciones!C:M,9,FALSE)</f>
        <v>5237889600</v>
      </c>
      <c r="H99" s="92">
        <f>+D99-G99+E99-F99</f>
        <v>-112265340</v>
      </c>
      <c r="I99" s="26">
        <v>0</v>
      </c>
      <c r="J99" s="26">
        <v>0</v>
      </c>
      <c r="K99" s="26">
        <v>0</v>
      </c>
      <c r="L99" s="26">
        <v>0</v>
      </c>
      <c r="M99" s="26">
        <v>0</v>
      </c>
      <c r="N99" s="26">
        <v>0</v>
      </c>
      <c r="O99" s="26">
        <v>0</v>
      </c>
      <c r="P99" s="26">
        <v>0</v>
      </c>
      <c r="Q99" s="26">
        <v>0</v>
      </c>
      <c r="R99" s="26">
        <v>0</v>
      </c>
      <c r="S99" s="26">
        <f>-H99</f>
        <v>112265340</v>
      </c>
      <c r="T99" s="26">
        <v>0</v>
      </c>
      <c r="U99" s="26">
        <v>0</v>
      </c>
      <c r="V99" s="26">
        <v>0</v>
      </c>
      <c r="W99" s="26">
        <v>0</v>
      </c>
      <c r="X99" s="26">
        <v>0</v>
      </c>
      <c r="Y99" s="26">
        <v>0</v>
      </c>
      <c r="Z99" s="26">
        <v>0</v>
      </c>
      <c r="AA99" s="26">
        <f t="shared" si="6"/>
        <v>0</v>
      </c>
      <c r="AB99" s="107"/>
      <c r="AC99" s="107"/>
      <c r="AD99" s="107"/>
      <c r="AE99" s="107"/>
      <c r="AF99" s="107"/>
      <c r="AG99" s="107"/>
      <c r="AH99" s="107"/>
      <c r="AI99" s="107"/>
      <c r="AJ99" s="107"/>
      <c r="AK99" s="107"/>
      <c r="AL99" s="107"/>
      <c r="AM99" s="107"/>
      <c r="AN99" s="107"/>
      <c r="AO99" s="108"/>
      <c r="AP99" s="108"/>
      <c r="AQ99" s="108"/>
      <c r="AR99" s="108"/>
      <c r="AS99" s="108"/>
      <c r="AT99" s="108"/>
      <c r="AU99" s="108"/>
      <c r="AV99" s="108"/>
      <c r="AW99" s="108"/>
      <c r="AX99" s="108"/>
      <c r="AY99" s="108"/>
      <c r="AZ99" s="108"/>
      <c r="BA99" s="108"/>
      <c r="BB99" s="108"/>
    </row>
    <row r="100" spans="1:54" s="109" customFormat="1" ht="12" customHeight="1">
      <c r="A100" s="8">
        <v>1120310103</v>
      </c>
      <c r="B100" s="8" t="s">
        <v>1314</v>
      </c>
      <c r="C100" s="8"/>
      <c r="D100" s="92">
        <f>+VLOOKUP(A100,Clasificaciones!C:I,5,FALSE)</f>
        <v>4000000000</v>
      </c>
      <c r="E100" s="92">
        <v>0</v>
      </c>
      <c r="F100" s="92">
        <v>0</v>
      </c>
      <c r="G100" s="92">
        <f>+VLOOKUP(A100,Clasificaciones!C:M,9,FALSE)</f>
        <v>0</v>
      </c>
      <c r="H100" s="92">
        <f t="shared" ref="H100:H103" si="12">+D100-G100+E100-F100</f>
        <v>4000000000</v>
      </c>
      <c r="I100" s="26">
        <v>0</v>
      </c>
      <c r="J100" s="26">
        <v>0</v>
      </c>
      <c r="K100" s="26">
        <v>0</v>
      </c>
      <c r="L100" s="26">
        <v>0</v>
      </c>
      <c r="M100" s="26">
        <v>0</v>
      </c>
      <c r="N100" s="26">
        <v>0</v>
      </c>
      <c r="O100" s="26">
        <v>0</v>
      </c>
      <c r="P100" s="26">
        <v>0</v>
      </c>
      <c r="Q100" s="26">
        <v>0</v>
      </c>
      <c r="R100" s="26">
        <v>0</v>
      </c>
      <c r="S100" s="26">
        <f>-H100</f>
        <v>-4000000000</v>
      </c>
      <c r="T100" s="26">
        <v>0</v>
      </c>
      <c r="U100" s="26">
        <v>0</v>
      </c>
      <c r="V100" s="26">
        <v>0</v>
      </c>
      <c r="W100" s="26">
        <v>0</v>
      </c>
      <c r="X100" s="26">
        <v>0</v>
      </c>
      <c r="Y100" s="26">
        <v>0</v>
      </c>
      <c r="Z100" s="26">
        <v>0</v>
      </c>
      <c r="AA100" s="26">
        <f t="shared" si="6"/>
        <v>0</v>
      </c>
      <c r="AB100" s="107"/>
      <c r="AC100" s="107"/>
      <c r="AD100" s="107"/>
      <c r="AE100" s="107"/>
      <c r="AF100" s="107"/>
      <c r="AG100" s="107"/>
      <c r="AH100" s="107"/>
      <c r="AI100" s="107"/>
      <c r="AJ100" s="107"/>
      <c r="AK100" s="107"/>
      <c r="AL100" s="107"/>
      <c r="AM100" s="107"/>
      <c r="AN100" s="107"/>
      <c r="AO100" s="108"/>
      <c r="AP100" s="108"/>
      <c r="AQ100" s="108"/>
      <c r="AR100" s="108"/>
      <c r="AS100" s="108"/>
      <c r="AT100" s="108"/>
      <c r="AU100" s="108"/>
      <c r="AV100" s="108"/>
      <c r="AW100" s="108"/>
      <c r="AX100" s="108"/>
      <c r="AY100" s="108"/>
      <c r="AZ100" s="108"/>
      <c r="BA100" s="108"/>
      <c r="BB100" s="108"/>
    </row>
    <row r="101" spans="1:54" s="109" customFormat="1" ht="12" customHeight="1">
      <c r="A101" s="8">
        <v>1120310104</v>
      </c>
      <c r="B101" s="8" t="s">
        <v>1435</v>
      </c>
      <c r="C101" s="8"/>
      <c r="D101" s="92">
        <f>+VLOOKUP(A101,Clasificaciones!C:I,5,FALSE)</f>
        <v>16787697422</v>
      </c>
      <c r="E101" s="92">
        <v>0</v>
      </c>
      <c r="F101" s="92">
        <v>0</v>
      </c>
      <c r="G101" s="92">
        <f>+VLOOKUP(A101,Clasificaciones!C:M,9,FALSE)</f>
        <v>0</v>
      </c>
      <c r="H101" s="92">
        <f t="shared" ref="H101" si="13">+D101-G101+E101-F101</f>
        <v>16787697422</v>
      </c>
      <c r="I101" s="26">
        <v>0</v>
      </c>
      <c r="J101" s="26">
        <v>0</v>
      </c>
      <c r="K101" s="26">
        <v>0</v>
      </c>
      <c r="L101" s="26">
        <v>0</v>
      </c>
      <c r="M101" s="26">
        <v>0</v>
      </c>
      <c r="N101" s="26">
        <v>0</v>
      </c>
      <c r="O101" s="26">
        <v>0</v>
      </c>
      <c r="P101" s="26">
        <v>0</v>
      </c>
      <c r="Q101" s="26">
        <v>0</v>
      </c>
      <c r="R101" s="26">
        <v>0</v>
      </c>
      <c r="S101" s="26">
        <f>-H101</f>
        <v>-16787697422</v>
      </c>
      <c r="T101" s="26">
        <v>0</v>
      </c>
      <c r="U101" s="26">
        <v>0</v>
      </c>
      <c r="V101" s="26">
        <v>0</v>
      </c>
      <c r="W101" s="26">
        <v>0</v>
      </c>
      <c r="X101" s="26">
        <v>0</v>
      </c>
      <c r="Y101" s="26">
        <v>0</v>
      </c>
      <c r="Z101" s="26">
        <v>0</v>
      </c>
      <c r="AA101" s="26">
        <f t="shared" si="6"/>
        <v>0</v>
      </c>
      <c r="AB101" s="107"/>
      <c r="AC101" s="107"/>
      <c r="AD101" s="107"/>
      <c r="AE101" s="107"/>
      <c r="AF101" s="107"/>
      <c r="AG101" s="107"/>
      <c r="AH101" s="107"/>
      <c r="AI101" s="107"/>
      <c r="AJ101" s="107"/>
      <c r="AK101" s="107"/>
      <c r="AL101" s="107"/>
      <c r="AM101" s="107"/>
      <c r="AN101" s="107"/>
      <c r="AO101" s="108"/>
      <c r="AP101" s="108"/>
      <c r="AQ101" s="108"/>
      <c r="AR101" s="108"/>
      <c r="AS101" s="108"/>
      <c r="AT101" s="108"/>
      <c r="AU101" s="108"/>
      <c r="AV101" s="108"/>
      <c r="AW101" s="108"/>
      <c r="AX101" s="108"/>
      <c r="AY101" s="108"/>
      <c r="AZ101" s="108"/>
      <c r="BA101" s="108"/>
      <c r="BB101" s="108"/>
    </row>
    <row r="102" spans="1:54" s="109" customFormat="1" ht="12" customHeight="1">
      <c r="A102" s="8">
        <v>112032</v>
      </c>
      <c r="B102" s="8" t="s">
        <v>1064</v>
      </c>
      <c r="C102" s="8"/>
      <c r="D102" s="92"/>
      <c r="E102" s="92"/>
      <c r="F102" s="92"/>
      <c r="G102" s="92">
        <f>+VLOOKUP(A102,Clasificaciones!C:M,9,FALSE)</f>
        <v>0</v>
      </c>
      <c r="H102" s="92">
        <f t="shared" si="12"/>
        <v>0</v>
      </c>
      <c r="I102" s="26"/>
      <c r="J102" s="26"/>
      <c r="K102" s="26"/>
      <c r="L102" s="26"/>
      <c r="M102" s="26"/>
      <c r="N102" s="26"/>
      <c r="O102" s="26"/>
      <c r="P102" s="26"/>
      <c r="Q102" s="26"/>
      <c r="R102" s="26"/>
      <c r="S102" s="26">
        <f t="shared" ref="S102:S109" si="14">-H102</f>
        <v>0</v>
      </c>
      <c r="T102" s="26"/>
      <c r="U102" s="26"/>
      <c r="V102" s="26"/>
      <c r="W102" s="26"/>
      <c r="X102" s="26"/>
      <c r="Y102" s="26"/>
      <c r="Z102" s="26"/>
      <c r="AA102" s="26">
        <f t="shared" si="6"/>
        <v>0</v>
      </c>
      <c r="AB102" s="107"/>
      <c r="AC102" s="107"/>
      <c r="AD102" s="107"/>
      <c r="AE102" s="107"/>
      <c r="AF102" s="107"/>
      <c r="AG102" s="107"/>
      <c r="AH102" s="107"/>
      <c r="AI102" s="107"/>
      <c r="AJ102" s="107"/>
      <c r="AK102" s="107"/>
      <c r="AL102" s="107"/>
      <c r="AM102" s="107"/>
      <c r="AN102" s="107"/>
      <c r="AO102" s="108"/>
      <c r="AP102" s="108"/>
      <c r="AQ102" s="108"/>
      <c r="AR102" s="108"/>
      <c r="AS102" s="108"/>
      <c r="AT102" s="108"/>
      <c r="AU102" s="108"/>
      <c r="AV102" s="108"/>
      <c r="AW102" s="108"/>
      <c r="AX102" s="108"/>
      <c r="AY102" s="108"/>
      <c r="AZ102" s="108"/>
      <c r="BA102" s="108"/>
      <c r="BB102" s="108"/>
    </row>
    <row r="103" spans="1:54" s="109" customFormat="1" ht="12" customHeight="1">
      <c r="A103" s="8">
        <v>11203201</v>
      </c>
      <c r="B103" s="8" t="s">
        <v>1064</v>
      </c>
      <c r="C103" s="8"/>
      <c r="D103" s="92">
        <f>+VLOOKUP(A103,Clasificaciones!C:I,5,FALSE)</f>
        <v>0</v>
      </c>
      <c r="E103" s="92">
        <v>0</v>
      </c>
      <c r="F103" s="92">
        <v>0</v>
      </c>
      <c r="G103" s="92">
        <f>+VLOOKUP(A103,Clasificaciones!C:M,9,FALSE)</f>
        <v>0</v>
      </c>
      <c r="H103" s="92">
        <f t="shared" si="12"/>
        <v>0</v>
      </c>
      <c r="I103" s="26">
        <v>0</v>
      </c>
      <c r="J103" s="26">
        <v>0</v>
      </c>
      <c r="K103" s="26">
        <v>0</v>
      </c>
      <c r="L103" s="26">
        <v>0</v>
      </c>
      <c r="M103" s="26">
        <v>0</v>
      </c>
      <c r="N103" s="26">
        <v>0</v>
      </c>
      <c r="O103" s="26">
        <v>0</v>
      </c>
      <c r="P103" s="26">
        <v>0</v>
      </c>
      <c r="Q103" s="26">
        <v>0</v>
      </c>
      <c r="R103" s="26">
        <v>0</v>
      </c>
      <c r="S103" s="26">
        <f t="shared" si="14"/>
        <v>0</v>
      </c>
      <c r="T103" s="26">
        <v>0</v>
      </c>
      <c r="U103" s="26">
        <v>0</v>
      </c>
      <c r="V103" s="26">
        <v>0</v>
      </c>
      <c r="W103" s="26">
        <v>0</v>
      </c>
      <c r="X103" s="26">
        <v>0</v>
      </c>
      <c r="Y103" s="26">
        <v>0</v>
      </c>
      <c r="Z103" s="26">
        <v>0</v>
      </c>
      <c r="AA103" s="26">
        <f t="shared" si="6"/>
        <v>0</v>
      </c>
      <c r="AB103" s="107"/>
      <c r="AC103" s="107"/>
      <c r="AD103" s="107"/>
      <c r="AE103" s="107"/>
      <c r="AF103" s="107"/>
      <c r="AG103" s="107"/>
      <c r="AH103" s="107"/>
      <c r="AI103" s="107"/>
      <c r="AJ103" s="107"/>
      <c r="AK103" s="107"/>
      <c r="AL103" s="107"/>
      <c r="AM103" s="107"/>
      <c r="AN103" s="107"/>
      <c r="AO103" s="108"/>
      <c r="AP103" s="108"/>
      <c r="AQ103" s="108"/>
      <c r="AR103" s="108"/>
      <c r="AS103" s="108"/>
      <c r="AT103" s="108"/>
      <c r="AU103" s="108"/>
      <c r="AV103" s="108"/>
      <c r="AW103" s="108"/>
      <c r="AX103" s="108"/>
      <c r="AY103" s="108"/>
      <c r="AZ103" s="108"/>
      <c r="BA103" s="108"/>
      <c r="BB103" s="108"/>
    </row>
    <row r="104" spans="1:54" s="109" customFormat="1" ht="12" customHeight="1">
      <c r="A104" s="8">
        <v>1120320114</v>
      </c>
      <c r="B104" s="8" t="s">
        <v>899</v>
      </c>
      <c r="C104" s="8"/>
      <c r="D104" s="92">
        <f>+VLOOKUP(A104,Clasificaciones!C:I,5,FALSE)</f>
        <v>63246150</v>
      </c>
      <c r="E104" s="92">
        <v>0</v>
      </c>
      <c r="F104" s="92">
        <v>0</v>
      </c>
      <c r="G104" s="92">
        <f>+VLOOKUP(A104,Clasificaciones!C:M,9,FALSE)</f>
        <v>0</v>
      </c>
      <c r="H104" s="92">
        <f>+D104-G104+E104-F104</f>
        <v>63246150</v>
      </c>
      <c r="I104" s="26">
        <v>0</v>
      </c>
      <c r="J104" s="26">
        <v>0</v>
      </c>
      <c r="K104" s="26">
        <v>0</v>
      </c>
      <c r="L104" s="26">
        <v>0</v>
      </c>
      <c r="M104" s="26">
        <v>0</v>
      </c>
      <c r="N104" s="26">
        <v>0</v>
      </c>
      <c r="O104" s="26">
        <v>0</v>
      </c>
      <c r="P104" s="26">
        <v>0</v>
      </c>
      <c r="Q104" s="26">
        <v>0</v>
      </c>
      <c r="R104" s="26">
        <v>0</v>
      </c>
      <c r="S104" s="26">
        <f t="shared" si="14"/>
        <v>-63246150</v>
      </c>
      <c r="T104" s="26">
        <v>0</v>
      </c>
      <c r="U104" s="26">
        <v>0</v>
      </c>
      <c r="V104" s="26">
        <v>0</v>
      </c>
      <c r="W104" s="26">
        <v>0</v>
      </c>
      <c r="X104" s="26">
        <v>0</v>
      </c>
      <c r="Y104" s="26">
        <v>0</v>
      </c>
      <c r="Z104" s="26">
        <v>0</v>
      </c>
      <c r="AA104" s="26">
        <f t="shared" si="6"/>
        <v>0</v>
      </c>
      <c r="AB104" s="107"/>
      <c r="AC104" s="107"/>
      <c r="AD104" s="107"/>
      <c r="AE104" s="107"/>
      <c r="AF104" s="107"/>
      <c r="AG104" s="107"/>
      <c r="AH104" s="107"/>
      <c r="AI104" s="107"/>
      <c r="AJ104" s="107"/>
      <c r="AK104" s="107"/>
      <c r="AL104" s="107"/>
      <c r="AM104" s="107"/>
      <c r="AN104" s="107"/>
      <c r="AO104" s="108"/>
      <c r="AP104" s="108"/>
      <c r="AQ104" s="108"/>
      <c r="AR104" s="108"/>
      <c r="AS104" s="108"/>
      <c r="AT104" s="108"/>
      <c r="AU104" s="108"/>
      <c r="AV104" s="108"/>
      <c r="AW104" s="108"/>
      <c r="AX104" s="108"/>
      <c r="AY104" s="108"/>
      <c r="AZ104" s="108"/>
      <c r="BA104" s="108"/>
      <c r="BB104" s="108"/>
    </row>
    <row r="105" spans="1:54" s="109" customFormat="1" ht="12" customHeight="1">
      <c r="A105" s="8">
        <v>1120320107</v>
      </c>
      <c r="B105" s="8" t="s">
        <v>622</v>
      </c>
      <c r="C105" s="8"/>
      <c r="D105" s="92">
        <f>+VLOOKUP(A105,Clasificaciones!C:I,5,FALSE)</f>
        <v>0</v>
      </c>
      <c r="E105" s="92">
        <v>0</v>
      </c>
      <c r="F105" s="92">
        <v>0</v>
      </c>
      <c r="G105" s="92">
        <f>+VLOOKUP(A105,Clasificaciones!C:M,9,FALSE)</f>
        <v>100040450</v>
      </c>
      <c r="H105" s="92">
        <f t="shared" ref="H105:H110" si="15">+D105-G105+E105-F105</f>
        <v>-100040450</v>
      </c>
      <c r="I105" s="26">
        <v>0</v>
      </c>
      <c r="J105" s="26">
        <v>0</v>
      </c>
      <c r="K105" s="26">
        <v>0</v>
      </c>
      <c r="L105" s="26">
        <v>0</v>
      </c>
      <c r="M105" s="26">
        <v>0</v>
      </c>
      <c r="N105" s="26">
        <v>0</v>
      </c>
      <c r="O105" s="26">
        <v>0</v>
      </c>
      <c r="P105" s="26">
        <v>0</v>
      </c>
      <c r="Q105" s="26">
        <v>0</v>
      </c>
      <c r="R105" s="26">
        <v>0</v>
      </c>
      <c r="S105" s="26">
        <f t="shared" si="14"/>
        <v>100040450</v>
      </c>
      <c r="T105" s="26">
        <v>0</v>
      </c>
      <c r="U105" s="26">
        <v>0</v>
      </c>
      <c r="V105" s="26">
        <v>0</v>
      </c>
      <c r="W105" s="26">
        <v>0</v>
      </c>
      <c r="X105" s="26">
        <v>0</v>
      </c>
      <c r="Y105" s="26">
        <v>0</v>
      </c>
      <c r="Z105" s="26">
        <v>0</v>
      </c>
      <c r="AA105" s="26">
        <f t="shared" si="6"/>
        <v>0</v>
      </c>
      <c r="AB105" s="107"/>
      <c r="AC105" s="107"/>
      <c r="AD105" s="107"/>
      <c r="AE105" s="107"/>
      <c r="AF105" s="107"/>
      <c r="AG105" s="107"/>
      <c r="AH105" s="107"/>
      <c r="AI105" s="107"/>
      <c r="AJ105" s="107"/>
      <c r="AK105" s="107"/>
      <c r="AL105" s="107"/>
      <c r="AM105" s="107"/>
      <c r="AN105" s="107"/>
      <c r="AO105" s="108"/>
      <c r="AP105" s="108"/>
      <c r="AQ105" s="108"/>
      <c r="AR105" s="108"/>
      <c r="AS105" s="108"/>
      <c r="AT105" s="108"/>
      <c r="AU105" s="108"/>
      <c r="AV105" s="108"/>
      <c r="AW105" s="108"/>
      <c r="AX105" s="108"/>
      <c r="AY105" s="108"/>
      <c r="AZ105" s="108"/>
      <c r="BA105" s="108"/>
      <c r="BB105" s="108"/>
    </row>
    <row r="106" spans="1:54" s="109" customFormat="1" ht="12" customHeight="1">
      <c r="A106" s="8">
        <v>11203202</v>
      </c>
      <c r="B106" s="8" t="s">
        <v>1357</v>
      </c>
      <c r="C106" s="8"/>
      <c r="D106" s="92">
        <f>+VLOOKUP(A106,Clasificaciones!C:I,5,FALSE)</f>
        <v>0</v>
      </c>
      <c r="E106" s="92">
        <v>0</v>
      </c>
      <c r="F106" s="92">
        <v>0</v>
      </c>
      <c r="G106" s="92">
        <f>+VLOOKUP(A106,Clasificaciones!C:M,9,FALSE)</f>
        <v>0</v>
      </c>
      <c r="H106" s="92">
        <f t="shared" si="15"/>
        <v>0</v>
      </c>
      <c r="I106" s="26">
        <v>0</v>
      </c>
      <c r="J106" s="26">
        <v>0</v>
      </c>
      <c r="K106" s="26">
        <v>0</v>
      </c>
      <c r="L106" s="26">
        <v>0</v>
      </c>
      <c r="M106" s="26">
        <v>0</v>
      </c>
      <c r="N106" s="26">
        <v>0</v>
      </c>
      <c r="O106" s="26">
        <v>0</v>
      </c>
      <c r="P106" s="26">
        <v>0</v>
      </c>
      <c r="Q106" s="26">
        <v>0</v>
      </c>
      <c r="R106" s="26">
        <v>0</v>
      </c>
      <c r="S106" s="26">
        <f t="shared" si="14"/>
        <v>0</v>
      </c>
      <c r="T106" s="26">
        <v>0</v>
      </c>
      <c r="U106" s="26">
        <v>0</v>
      </c>
      <c r="V106" s="26">
        <v>0</v>
      </c>
      <c r="W106" s="26">
        <v>0</v>
      </c>
      <c r="X106" s="26">
        <v>0</v>
      </c>
      <c r="Y106" s="26">
        <v>0</v>
      </c>
      <c r="Z106" s="26">
        <v>0</v>
      </c>
      <c r="AA106" s="26">
        <f t="shared" si="6"/>
        <v>0</v>
      </c>
      <c r="AB106" s="107"/>
      <c r="AC106" s="107"/>
      <c r="AD106" s="107"/>
      <c r="AE106" s="107"/>
      <c r="AF106" s="107"/>
      <c r="AG106" s="107"/>
      <c r="AH106" s="107"/>
      <c r="AI106" s="107"/>
      <c r="AJ106" s="107"/>
      <c r="AK106" s="107"/>
      <c r="AL106" s="107"/>
      <c r="AM106" s="107"/>
      <c r="AN106" s="107"/>
      <c r="AO106" s="108"/>
      <c r="AP106" s="108"/>
      <c r="AQ106" s="108"/>
      <c r="AR106" s="108"/>
      <c r="AS106" s="108"/>
      <c r="AT106" s="108"/>
      <c r="AU106" s="108"/>
      <c r="AV106" s="108"/>
      <c r="AW106" s="108"/>
      <c r="AX106" s="108"/>
      <c r="AY106" s="108"/>
      <c r="AZ106" s="108"/>
      <c r="BA106" s="108"/>
      <c r="BB106" s="108"/>
    </row>
    <row r="107" spans="1:54" s="109" customFormat="1" ht="12" customHeight="1">
      <c r="A107" s="8">
        <v>1120320202</v>
      </c>
      <c r="B107" s="8" t="s">
        <v>1358</v>
      </c>
      <c r="C107" s="8"/>
      <c r="D107" s="92">
        <f>+VLOOKUP(A107,Clasificaciones!C:I,5,FALSE)</f>
        <v>713671</v>
      </c>
      <c r="E107" s="92">
        <v>0</v>
      </c>
      <c r="F107" s="92">
        <v>0</v>
      </c>
      <c r="G107" s="92">
        <f>+VLOOKUP(A107,Clasificaciones!C:M,9,FALSE)</f>
        <v>0</v>
      </c>
      <c r="H107" s="92">
        <f t="shared" si="15"/>
        <v>713671</v>
      </c>
      <c r="I107" s="26">
        <v>0</v>
      </c>
      <c r="J107" s="26">
        <v>0</v>
      </c>
      <c r="K107" s="26">
        <v>0</v>
      </c>
      <c r="L107" s="26">
        <v>0</v>
      </c>
      <c r="M107" s="26">
        <v>0</v>
      </c>
      <c r="N107" s="26">
        <v>0</v>
      </c>
      <c r="O107" s="26">
        <v>0</v>
      </c>
      <c r="P107" s="26">
        <v>0</v>
      </c>
      <c r="Q107" s="26">
        <v>0</v>
      </c>
      <c r="R107" s="26">
        <v>0</v>
      </c>
      <c r="S107" s="26">
        <f t="shared" si="14"/>
        <v>-713671</v>
      </c>
      <c r="T107" s="26">
        <v>0</v>
      </c>
      <c r="U107" s="26">
        <v>0</v>
      </c>
      <c r="V107" s="26">
        <v>0</v>
      </c>
      <c r="W107" s="26">
        <v>0</v>
      </c>
      <c r="X107" s="26">
        <v>0</v>
      </c>
      <c r="Y107" s="26">
        <v>0</v>
      </c>
      <c r="Z107" s="26">
        <v>0</v>
      </c>
      <c r="AA107" s="26">
        <f t="shared" si="6"/>
        <v>0</v>
      </c>
      <c r="AB107" s="107"/>
      <c r="AC107" s="107"/>
      <c r="AD107" s="107"/>
      <c r="AE107" s="107"/>
      <c r="AF107" s="107"/>
      <c r="AG107" s="107"/>
      <c r="AH107" s="107"/>
      <c r="AI107" s="107"/>
      <c r="AJ107" s="107"/>
      <c r="AK107" s="107"/>
      <c r="AL107" s="107"/>
      <c r="AM107" s="107"/>
      <c r="AN107" s="107"/>
      <c r="AO107" s="108"/>
      <c r="AP107" s="108"/>
      <c r="AQ107" s="108"/>
      <c r="AR107" s="108"/>
      <c r="AS107" s="108"/>
      <c r="AT107" s="108"/>
      <c r="AU107" s="108"/>
      <c r="AV107" s="108"/>
      <c r="AW107" s="108"/>
      <c r="AX107" s="108"/>
      <c r="AY107" s="108"/>
      <c r="AZ107" s="108"/>
      <c r="BA107" s="108"/>
      <c r="BB107" s="108"/>
    </row>
    <row r="108" spans="1:54" s="109" customFormat="1" ht="12" customHeight="1">
      <c r="A108" s="8">
        <v>11203203</v>
      </c>
      <c r="B108" s="8" t="s">
        <v>1359</v>
      </c>
      <c r="C108" s="8"/>
      <c r="D108" s="92">
        <f>+VLOOKUP(A108,Clasificaciones!C:I,5,FALSE)</f>
        <v>0</v>
      </c>
      <c r="E108" s="92">
        <v>0</v>
      </c>
      <c r="F108" s="92">
        <v>0</v>
      </c>
      <c r="G108" s="92">
        <f>+VLOOKUP(A108,Clasificaciones!C:M,9,FALSE)</f>
        <v>0</v>
      </c>
      <c r="H108" s="92">
        <f t="shared" si="15"/>
        <v>0</v>
      </c>
      <c r="I108" s="26">
        <v>0</v>
      </c>
      <c r="J108" s="26">
        <v>0</v>
      </c>
      <c r="K108" s="26">
        <v>0</v>
      </c>
      <c r="L108" s="26">
        <v>0</v>
      </c>
      <c r="M108" s="26">
        <v>0</v>
      </c>
      <c r="N108" s="26">
        <v>0</v>
      </c>
      <c r="O108" s="26">
        <v>0</v>
      </c>
      <c r="P108" s="26">
        <v>0</v>
      </c>
      <c r="Q108" s="26">
        <v>0</v>
      </c>
      <c r="R108" s="26">
        <v>0</v>
      </c>
      <c r="S108" s="26">
        <f t="shared" si="14"/>
        <v>0</v>
      </c>
      <c r="T108" s="26">
        <v>0</v>
      </c>
      <c r="U108" s="26">
        <v>0</v>
      </c>
      <c r="V108" s="26">
        <v>0</v>
      </c>
      <c r="W108" s="26">
        <v>0</v>
      </c>
      <c r="X108" s="26">
        <v>0</v>
      </c>
      <c r="Y108" s="26">
        <v>0</v>
      </c>
      <c r="Z108" s="26">
        <v>0</v>
      </c>
      <c r="AA108" s="26">
        <f t="shared" si="6"/>
        <v>0</v>
      </c>
      <c r="AB108" s="107"/>
      <c r="AC108" s="107"/>
      <c r="AD108" s="107"/>
      <c r="AE108" s="107"/>
      <c r="AF108" s="107"/>
      <c r="AG108" s="107"/>
      <c r="AH108" s="107"/>
      <c r="AI108" s="107"/>
      <c r="AJ108" s="107"/>
      <c r="AK108" s="107"/>
      <c r="AL108" s="107"/>
      <c r="AM108" s="107"/>
      <c r="AN108" s="107"/>
      <c r="AO108" s="108"/>
      <c r="AP108" s="108"/>
      <c r="AQ108" s="108"/>
      <c r="AR108" s="108"/>
      <c r="AS108" s="108"/>
      <c r="AT108" s="108"/>
      <c r="AU108" s="108"/>
      <c r="AV108" s="108"/>
      <c r="AW108" s="108"/>
      <c r="AX108" s="108"/>
      <c r="AY108" s="108"/>
      <c r="AZ108" s="108"/>
      <c r="BA108" s="108"/>
      <c r="BB108" s="108"/>
    </row>
    <row r="109" spans="1:54" s="109" customFormat="1" ht="12" customHeight="1">
      <c r="A109" s="8">
        <v>1120320302</v>
      </c>
      <c r="B109" s="8" t="s">
        <v>1360</v>
      </c>
      <c r="C109" s="8"/>
      <c r="D109" s="92">
        <f>+VLOOKUP(A109,Clasificaciones!C:I,5,FALSE)</f>
        <v>-539152</v>
      </c>
      <c r="E109" s="92">
        <v>0</v>
      </c>
      <c r="F109" s="92">
        <v>0</v>
      </c>
      <c r="G109" s="92">
        <f>+VLOOKUP(A109,Clasificaciones!C:M,9,FALSE)</f>
        <v>0</v>
      </c>
      <c r="H109" s="92">
        <f t="shared" si="15"/>
        <v>-539152</v>
      </c>
      <c r="I109" s="26">
        <v>0</v>
      </c>
      <c r="J109" s="26">
        <v>0</v>
      </c>
      <c r="K109" s="26">
        <v>0</v>
      </c>
      <c r="L109" s="26">
        <v>0</v>
      </c>
      <c r="M109" s="26">
        <v>0</v>
      </c>
      <c r="N109" s="26">
        <v>0</v>
      </c>
      <c r="O109" s="26">
        <v>0</v>
      </c>
      <c r="P109" s="26">
        <v>0</v>
      </c>
      <c r="Q109" s="26">
        <v>0</v>
      </c>
      <c r="R109" s="26">
        <v>0</v>
      </c>
      <c r="S109" s="26">
        <f t="shared" si="14"/>
        <v>539152</v>
      </c>
      <c r="T109" s="26">
        <v>0</v>
      </c>
      <c r="U109" s="26">
        <v>0</v>
      </c>
      <c r="V109" s="26">
        <v>0</v>
      </c>
      <c r="W109" s="26">
        <v>0</v>
      </c>
      <c r="X109" s="26">
        <v>0</v>
      </c>
      <c r="Y109" s="26">
        <v>0</v>
      </c>
      <c r="Z109" s="26">
        <v>0</v>
      </c>
      <c r="AA109" s="26">
        <f t="shared" si="6"/>
        <v>0</v>
      </c>
      <c r="AB109" s="107"/>
      <c r="AC109" s="107"/>
      <c r="AD109" s="107"/>
      <c r="AE109" s="107"/>
      <c r="AF109" s="107"/>
      <c r="AG109" s="107"/>
      <c r="AH109" s="107"/>
      <c r="AI109" s="107"/>
      <c r="AJ109" s="107"/>
      <c r="AK109" s="107"/>
      <c r="AL109" s="107"/>
      <c r="AM109" s="107"/>
      <c r="AN109" s="107"/>
      <c r="AO109" s="108"/>
      <c r="AP109" s="108"/>
      <c r="AQ109" s="108"/>
      <c r="AR109" s="108"/>
      <c r="AS109" s="108"/>
      <c r="AT109" s="108"/>
      <c r="AU109" s="108"/>
      <c r="AV109" s="108"/>
      <c r="AW109" s="108"/>
      <c r="AX109" s="108"/>
      <c r="AY109" s="108"/>
      <c r="AZ109" s="108"/>
      <c r="BA109" s="108"/>
      <c r="BB109" s="108"/>
    </row>
    <row r="110" spans="1:54" s="106" customFormat="1" ht="12" customHeight="1">
      <c r="A110" s="8">
        <v>113</v>
      </c>
      <c r="B110" s="8" t="s">
        <v>804</v>
      </c>
      <c r="C110" s="8"/>
      <c r="D110" s="92">
        <f>+VLOOKUP(A110,Clasificaciones!C:I,5,FALSE)</f>
        <v>0</v>
      </c>
      <c r="E110" s="92">
        <v>0</v>
      </c>
      <c r="F110" s="92">
        <v>0</v>
      </c>
      <c r="G110" s="92">
        <f>+VLOOKUP(A110,Clasificaciones!C:M,9,FALSE)</f>
        <v>0</v>
      </c>
      <c r="H110" s="92">
        <f t="shared" si="15"/>
        <v>0</v>
      </c>
      <c r="I110" s="26">
        <v>0</v>
      </c>
      <c r="J110" s="26">
        <v>0</v>
      </c>
      <c r="K110" s="26">
        <v>0</v>
      </c>
      <c r="L110" s="26">
        <v>0</v>
      </c>
      <c r="M110" s="26">
        <v>0</v>
      </c>
      <c r="N110" s="26">
        <v>0</v>
      </c>
      <c r="O110" s="26">
        <v>0</v>
      </c>
      <c r="P110" s="26">
        <v>0</v>
      </c>
      <c r="Q110" s="26">
        <v>0</v>
      </c>
      <c r="R110" s="26">
        <v>0</v>
      </c>
      <c r="S110" s="26">
        <v>0</v>
      </c>
      <c r="T110" s="26">
        <v>0</v>
      </c>
      <c r="U110" s="26">
        <v>0</v>
      </c>
      <c r="V110" s="26">
        <v>0</v>
      </c>
      <c r="W110" s="26">
        <v>0</v>
      </c>
      <c r="X110" s="26">
        <v>0</v>
      </c>
      <c r="Y110" s="26">
        <v>0</v>
      </c>
      <c r="Z110" s="26">
        <v>0</v>
      </c>
      <c r="AA110" s="26">
        <f t="shared" si="6"/>
        <v>0</v>
      </c>
      <c r="AB110" s="110"/>
      <c r="AC110" s="110"/>
      <c r="AD110" s="110"/>
      <c r="AE110" s="110"/>
      <c r="AF110" s="110"/>
      <c r="AG110" s="110"/>
      <c r="AH110" s="110"/>
      <c r="AI110" s="110"/>
      <c r="AJ110" s="110"/>
      <c r="AK110" s="110"/>
      <c r="AL110" s="110"/>
      <c r="AM110" s="110"/>
      <c r="AN110" s="110"/>
      <c r="AO110" s="105"/>
      <c r="AP110" s="105"/>
      <c r="AQ110" s="105"/>
      <c r="AR110" s="105"/>
      <c r="AS110" s="105"/>
      <c r="AT110" s="105"/>
      <c r="AU110" s="105"/>
      <c r="AV110" s="105"/>
      <c r="AW110" s="105"/>
      <c r="AX110" s="105"/>
      <c r="AY110" s="105"/>
      <c r="AZ110" s="105"/>
      <c r="BA110" s="105"/>
      <c r="BB110" s="105"/>
    </row>
    <row r="111" spans="1:54" s="109" customFormat="1" ht="12" customHeight="1">
      <c r="A111" s="8">
        <v>11301</v>
      </c>
      <c r="B111" s="8" t="s">
        <v>434</v>
      </c>
      <c r="C111" s="8"/>
      <c r="D111" s="92">
        <f>+VLOOKUP(A111,Clasificaciones!C:I,5,FALSE)</f>
        <v>0</v>
      </c>
      <c r="E111" s="92">
        <v>0</v>
      </c>
      <c r="F111" s="92">
        <v>0</v>
      </c>
      <c r="G111" s="92">
        <f>+VLOOKUP(A111,Clasificaciones!C:M,9,FALSE)</f>
        <v>0</v>
      </c>
      <c r="H111" s="92">
        <f>+D111-G111+E111-F111</f>
        <v>0</v>
      </c>
      <c r="I111" s="26">
        <v>0</v>
      </c>
      <c r="J111" s="26">
        <v>0</v>
      </c>
      <c r="K111" s="26">
        <v>0</v>
      </c>
      <c r="L111" s="26">
        <v>0</v>
      </c>
      <c r="M111" s="26">
        <v>0</v>
      </c>
      <c r="N111" s="26">
        <v>0</v>
      </c>
      <c r="O111" s="26">
        <v>0</v>
      </c>
      <c r="P111" s="26">
        <v>0</v>
      </c>
      <c r="Q111" s="26">
        <v>0</v>
      </c>
      <c r="R111" s="26">
        <v>0</v>
      </c>
      <c r="S111" s="26">
        <v>0</v>
      </c>
      <c r="T111" s="26">
        <v>0</v>
      </c>
      <c r="U111" s="26">
        <v>0</v>
      </c>
      <c r="V111" s="26">
        <v>0</v>
      </c>
      <c r="W111" s="26">
        <v>0</v>
      </c>
      <c r="X111" s="26">
        <v>0</v>
      </c>
      <c r="Y111" s="26">
        <v>0</v>
      </c>
      <c r="Z111" s="26">
        <v>0</v>
      </c>
      <c r="AA111" s="26">
        <f t="shared" si="6"/>
        <v>0</v>
      </c>
      <c r="AB111" s="107"/>
      <c r="AC111" s="107"/>
      <c r="AD111" s="107"/>
      <c r="AE111" s="107"/>
      <c r="AF111" s="107"/>
      <c r="AG111" s="107"/>
      <c r="AH111" s="107"/>
      <c r="AI111" s="107"/>
      <c r="AJ111" s="107"/>
      <c r="AK111" s="107"/>
      <c r="AL111" s="107"/>
      <c r="AM111" s="107"/>
      <c r="AN111" s="107"/>
      <c r="AO111" s="108"/>
      <c r="AP111" s="108"/>
      <c r="AQ111" s="108"/>
      <c r="AR111" s="108"/>
      <c r="AS111" s="108"/>
      <c r="AT111" s="108"/>
      <c r="AU111" s="108"/>
      <c r="AV111" s="108"/>
      <c r="AW111" s="108"/>
      <c r="AX111" s="108"/>
      <c r="AY111" s="108"/>
      <c r="AZ111" s="108"/>
      <c r="BA111" s="108"/>
      <c r="BB111" s="108"/>
    </row>
    <row r="112" spans="1:54" s="109" customFormat="1" ht="12" customHeight="1">
      <c r="A112" s="8">
        <v>1130101</v>
      </c>
      <c r="B112" s="8" t="s">
        <v>805</v>
      </c>
      <c r="C112" s="8"/>
      <c r="D112" s="92">
        <f>+VLOOKUP(A112,Clasificaciones!C:I,5,FALSE)</f>
        <v>0</v>
      </c>
      <c r="E112" s="92">
        <v>0</v>
      </c>
      <c r="F112" s="92">
        <v>0</v>
      </c>
      <c r="G112" s="92">
        <f>+VLOOKUP(A112,Clasificaciones!C:M,9,FALSE)</f>
        <v>0</v>
      </c>
      <c r="H112" s="92">
        <f t="shared" ref="H112:H118" si="16">+D112-G112+E112-F112</f>
        <v>0</v>
      </c>
      <c r="I112" s="26">
        <f>-H112</f>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c r="Z112" s="26">
        <v>0</v>
      </c>
      <c r="AA112" s="26">
        <f t="shared" si="6"/>
        <v>0</v>
      </c>
      <c r="AB112" s="107"/>
      <c r="AC112" s="107"/>
      <c r="AD112" s="107"/>
      <c r="AE112" s="107"/>
      <c r="AF112" s="107"/>
      <c r="AG112" s="107"/>
      <c r="AH112" s="107"/>
      <c r="AI112" s="107"/>
      <c r="AJ112" s="107"/>
      <c r="AK112" s="107"/>
      <c r="AL112" s="107"/>
      <c r="AM112" s="107"/>
      <c r="AN112" s="107"/>
      <c r="AO112" s="108"/>
      <c r="AP112" s="108"/>
      <c r="AQ112" s="108"/>
      <c r="AR112" s="108"/>
      <c r="AS112" s="108"/>
      <c r="AT112" s="108"/>
      <c r="AU112" s="108"/>
      <c r="AV112" s="108"/>
      <c r="AW112" s="108"/>
      <c r="AX112" s="108"/>
      <c r="AY112" s="108"/>
      <c r="AZ112" s="108"/>
      <c r="BA112" s="108"/>
      <c r="BB112" s="108"/>
    </row>
    <row r="113" spans="1:54" s="109" customFormat="1" ht="12" customHeight="1">
      <c r="A113" s="8">
        <v>113010101</v>
      </c>
      <c r="B113" s="8" t="s">
        <v>806</v>
      </c>
      <c r="C113" s="8"/>
      <c r="D113" s="92">
        <f>+VLOOKUP(A113,Clasificaciones!C:I,5,FALSE)</f>
        <v>61105608</v>
      </c>
      <c r="E113" s="92">
        <v>0</v>
      </c>
      <c r="F113" s="92">
        <v>0</v>
      </c>
      <c r="G113" s="92">
        <f>+VLOOKUP(A113,Clasificaciones!C:M,9,FALSE)</f>
        <v>110000</v>
      </c>
      <c r="H113" s="92">
        <f t="shared" si="16"/>
        <v>60995608</v>
      </c>
      <c r="I113" s="26">
        <f>-H113</f>
        <v>-60995608</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f t="shared" si="6"/>
        <v>0</v>
      </c>
      <c r="AB113" s="107"/>
      <c r="AC113" s="107"/>
      <c r="AD113" s="107"/>
      <c r="AE113" s="107"/>
      <c r="AF113" s="107"/>
      <c r="AG113" s="107"/>
      <c r="AH113" s="107"/>
      <c r="AI113" s="107"/>
      <c r="AJ113" s="107"/>
      <c r="AK113" s="107"/>
      <c r="AL113" s="107"/>
      <c r="AM113" s="107"/>
      <c r="AN113" s="107"/>
      <c r="AO113" s="108"/>
      <c r="AP113" s="108"/>
      <c r="AQ113" s="108"/>
      <c r="AR113" s="108"/>
      <c r="AS113" s="108"/>
      <c r="AT113" s="108"/>
      <c r="AU113" s="108"/>
      <c r="AV113" s="108"/>
      <c r="AW113" s="108"/>
      <c r="AX113" s="108"/>
      <c r="AY113" s="108"/>
      <c r="AZ113" s="108"/>
      <c r="BA113" s="108"/>
      <c r="BB113" s="108"/>
    </row>
    <row r="114" spans="1:54" s="109" customFormat="1" ht="12" customHeight="1">
      <c r="A114" s="8">
        <v>113010102</v>
      </c>
      <c r="B114" s="8" t="s">
        <v>807</v>
      </c>
      <c r="C114" s="8"/>
      <c r="D114" s="92">
        <f>+VLOOKUP(A114,Clasificaciones!C:I,5,FALSE)</f>
        <v>11910755</v>
      </c>
      <c r="E114" s="92">
        <v>0</v>
      </c>
      <c r="F114" s="92">
        <v>0</v>
      </c>
      <c r="G114" s="92">
        <f>+VLOOKUP(A114,Clasificaciones!C:M,9,FALSE)</f>
        <v>3987206</v>
      </c>
      <c r="H114" s="92">
        <f t="shared" si="16"/>
        <v>7923549</v>
      </c>
      <c r="I114" s="26">
        <f>-H114</f>
        <v>-7923549</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f t="shared" si="6"/>
        <v>0</v>
      </c>
      <c r="AB114" s="107"/>
      <c r="AC114" s="107"/>
      <c r="AD114" s="107"/>
      <c r="AE114" s="107"/>
      <c r="AF114" s="107"/>
      <c r="AG114" s="107"/>
      <c r="AH114" s="107"/>
      <c r="AI114" s="107"/>
      <c r="AJ114" s="107"/>
      <c r="AK114" s="107"/>
      <c r="AL114" s="107"/>
      <c r="AM114" s="107"/>
      <c r="AN114" s="107"/>
      <c r="AO114" s="108"/>
      <c r="AP114" s="108"/>
      <c r="AQ114" s="108"/>
      <c r="AR114" s="108"/>
      <c r="AS114" s="108"/>
      <c r="AT114" s="108"/>
      <c r="AU114" s="108"/>
      <c r="AV114" s="108"/>
      <c r="AW114" s="108"/>
      <c r="AX114" s="108"/>
      <c r="AY114" s="108"/>
      <c r="AZ114" s="108"/>
      <c r="BA114" s="108"/>
      <c r="BB114" s="108"/>
    </row>
    <row r="115" spans="1:54" s="109" customFormat="1" ht="12" customHeight="1">
      <c r="A115" s="8">
        <v>1130102</v>
      </c>
      <c r="B115" s="8" t="s">
        <v>623</v>
      </c>
      <c r="C115" s="8"/>
      <c r="D115" s="92">
        <f>+VLOOKUP(A115,Clasificaciones!C:I,5,FALSE)</f>
        <v>0</v>
      </c>
      <c r="E115" s="92">
        <v>0</v>
      </c>
      <c r="F115" s="92">
        <v>0</v>
      </c>
      <c r="G115" s="92">
        <f>+VLOOKUP(A115,Clasificaciones!C:M,9,FALSE)</f>
        <v>0</v>
      </c>
      <c r="H115" s="92">
        <f t="shared" si="1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f t="shared" si="6"/>
        <v>0</v>
      </c>
      <c r="AB115" s="107"/>
      <c r="AC115" s="107"/>
      <c r="AD115" s="107"/>
      <c r="AE115" s="107"/>
      <c r="AF115" s="107"/>
      <c r="AG115" s="107"/>
      <c r="AH115" s="107"/>
      <c r="AI115" s="107"/>
      <c r="AJ115" s="107"/>
      <c r="AK115" s="107"/>
      <c r="AL115" s="107"/>
      <c r="AM115" s="107"/>
      <c r="AN115" s="107"/>
      <c r="AO115" s="108"/>
      <c r="AP115" s="108"/>
      <c r="AQ115" s="108"/>
      <c r="AR115" s="108"/>
      <c r="AS115" s="108"/>
      <c r="AT115" s="108"/>
      <c r="AU115" s="108"/>
      <c r="AV115" s="108"/>
      <c r="AW115" s="108"/>
      <c r="AX115" s="108"/>
      <c r="AY115" s="108"/>
      <c r="AZ115" s="108"/>
      <c r="BA115" s="108"/>
      <c r="BB115" s="108"/>
    </row>
    <row r="116" spans="1:54" s="109" customFormat="1" ht="12" customHeight="1">
      <c r="A116" s="8">
        <v>113010201</v>
      </c>
      <c r="B116" s="8" t="s">
        <v>1315</v>
      </c>
      <c r="C116" s="8" t="str">
        <f>+VLOOKUP(A116,Clasificaciones!$C$4:$H$887,6,0)</f>
        <v>Documentos y Cuentas por Cobrar</v>
      </c>
      <c r="D116" s="92">
        <f>+VLOOKUP(A116,Clasificaciones!C:I,5,FALSE)</f>
        <v>3975686</v>
      </c>
      <c r="E116" s="92">
        <v>0</v>
      </c>
      <c r="F116" s="92">
        <v>0</v>
      </c>
      <c r="G116" s="92">
        <f>+VLOOKUP(A116,Clasificaciones!C:M,9,FALSE)</f>
        <v>266036645</v>
      </c>
      <c r="H116" s="92">
        <f t="shared" si="16"/>
        <v>-262060959</v>
      </c>
      <c r="I116" s="26">
        <f>-H116</f>
        <v>262060959</v>
      </c>
      <c r="J116" s="26">
        <v>0</v>
      </c>
      <c r="K116" s="26"/>
      <c r="L116" s="26">
        <v>0</v>
      </c>
      <c r="M116" s="26">
        <v>0</v>
      </c>
      <c r="N116" s="26">
        <v>0</v>
      </c>
      <c r="O116" s="26">
        <v>0</v>
      </c>
      <c r="P116" s="26">
        <v>0</v>
      </c>
      <c r="Q116" s="26">
        <v>0</v>
      </c>
      <c r="R116" s="26">
        <v>0</v>
      </c>
      <c r="S116" s="26">
        <v>0</v>
      </c>
      <c r="T116" s="26">
        <v>0</v>
      </c>
      <c r="U116" s="26">
        <v>0</v>
      </c>
      <c r="V116" s="26">
        <v>0</v>
      </c>
      <c r="W116" s="26">
        <v>0</v>
      </c>
      <c r="X116" s="26">
        <v>0</v>
      </c>
      <c r="Y116" s="26">
        <v>0</v>
      </c>
      <c r="Z116" s="26">
        <v>0</v>
      </c>
      <c r="AA116" s="26">
        <f t="shared" si="6"/>
        <v>0</v>
      </c>
      <c r="AB116" s="107"/>
      <c r="AC116" s="107"/>
      <c r="AD116" s="107"/>
      <c r="AE116" s="107"/>
      <c r="AF116" s="107"/>
      <c r="AG116" s="107"/>
      <c r="AH116" s="107"/>
      <c r="AI116" s="107"/>
      <c r="AJ116" s="107"/>
      <c r="AK116" s="107"/>
      <c r="AL116" s="107"/>
      <c r="AM116" s="107"/>
      <c r="AN116" s="107"/>
      <c r="AO116" s="108"/>
      <c r="AP116" s="108"/>
      <c r="AQ116" s="108"/>
      <c r="AR116" s="108"/>
      <c r="AS116" s="108"/>
      <c r="AT116" s="108"/>
      <c r="AU116" s="108"/>
      <c r="AV116" s="108"/>
      <c r="AW116" s="108"/>
      <c r="AX116" s="108"/>
      <c r="AY116" s="108"/>
      <c r="AZ116" s="108"/>
      <c r="BA116" s="108"/>
      <c r="BB116" s="108"/>
    </row>
    <row r="117" spans="1:54" s="106" customFormat="1" ht="12" customHeight="1">
      <c r="A117" s="8">
        <v>113010202</v>
      </c>
      <c r="B117" s="8" t="s">
        <v>1316</v>
      </c>
      <c r="C117" s="8" t="str">
        <f>+VLOOKUP(A117,Clasificaciones!$C$4:$H$887,6,0)</f>
        <v>Documentos y Cuentas por Cobrar</v>
      </c>
      <c r="D117" s="92">
        <f>+VLOOKUP(A117,Clasificaciones!C:I,5,FALSE)</f>
        <v>2997734</v>
      </c>
      <c r="E117" s="92">
        <v>0</v>
      </c>
      <c r="F117" s="92">
        <v>0</v>
      </c>
      <c r="G117" s="92">
        <f>+VLOOKUP(A117,Clasificaciones!C:M,9,FALSE)</f>
        <v>0</v>
      </c>
      <c r="H117" s="92">
        <f t="shared" si="16"/>
        <v>2997734</v>
      </c>
      <c r="I117" s="26">
        <f>-H117</f>
        <v>-2997734</v>
      </c>
      <c r="J117" s="26">
        <v>0</v>
      </c>
      <c r="K117" s="26"/>
      <c r="L117" s="26">
        <v>0</v>
      </c>
      <c r="M117" s="26">
        <v>0</v>
      </c>
      <c r="N117" s="26">
        <v>0</v>
      </c>
      <c r="O117" s="26">
        <v>0</v>
      </c>
      <c r="P117" s="26">
        <v>0</v>
      </c>
      <c r="Q117" s="26">
        <v>0</v>
      </c>
      <c r="R117" s="26">
        <v>0</v>
      </c>
      <c r="S117" s="26">
        <v>0</v>
      </c>
      <c r="T117" s="26">
        <v>0</v>
      </c>
      <c r="U117" s="26">
        <v>0</v>
      </c>
      <c r="V117" s="26">
        <v>0</v>
      </c>
      <c r="W117" s="26">
        <v>0</v>
      </c>
      <c r="X117" s="26">
        <v>0</v>
      </c>
      <c r="Y117" s="26">
        <v>0</v>
      </c>
      <c r="Z117" s="26">
        <v>0</v>
      </c>
      <c r="AA117" s="26">
        <f t="shared" si="6"/>
        <v>0</v>
      </c>
      <c r="AB117" s="110"/>
      <c r="AC117" s="110"/>
      <c r="AD117" s="110"/>
      <c r="AE117" s="110"/>
      <c r="AF117" s="110"/>
      <c r="AG117" s="110"/>
      <c r="AH117" s="110"/>
      <c r="AI117" s="110"/>
      <c r="AJ117" s="110"/>
      <c r="AK117" s="110"/>
      <c r="AL117" s="110"/>
      <c r="AM117" s="110"/>
      <c r="AN117" s="110"/>
      <c r="AO117" s="105"/>
      <c r="AP117" s="105"/>
      <c r="AQ117" s="105"/>
      <c r="AR117" s="105"/>
      <c r="AS117" s="105"/>
      <c r="AT117" s="105"/>
      <c r="AU117" s="105"/>
      <c r="AV117" s="105"/>
      <c r="AW117" s="105"/>
      <c r="AX117" s="105"/>
      <c r="AY117" s="105"/>
      <c r="AZ117" s="105"/>
      <c r="BA117" s="105"/>
      <c r="BB117" s="105"/>
    </row>
    <row r="118" spans="1:54" s="106" customFormat="1" ht="12" customHeight="1">
      <c r="A118" s="8">
        <v>11302</v>
      </c>
      <c r="B118" s="8" t="s">
        <v>808</v>
      </c>
      <c r="C118" s="8"/>
      <c r="D118" s="92">
        <f>+VLOOKUP(A118,Clasificaciones!C:I,5,FALSE)</f>
        <v>0</v>
      </c>
      <c r="E118" s="92">
        <v>0</v>
      </c>
      <c r="F118" s="92">
        <v>0</v>
      </c>
      <c r="G118" s="92">
        <f>+VLOOKUP(A118,Clasificaciones!C:M,9,FALSE)</f>
        <v>0</v>
      </c>
      <c r="H118" s="92">
        <f t="shared" si="1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f t="shared" si="6"/>
        <v>0</v>
      </c>
      <c r="AB118" s="110"/>
      <c r="AC118" s="110"/>
      <c r="AD118" s="110"/>
      <c r="AE118" s="110"/>
      <c r="AF118" s="110"/>
      <c r="AG118" s="110"/>
      <c r="AH118" s="110"/>
      <c r="AI118" s="110"/>
      <c r="AJ118" s="110"/>
      <c r="AK118" s="110"/>
      <c r="AL118" s="110"/>
      <c r="AM118" s="110"/>
      <c r="AN118" s="110"/>
      <c r="AO118" s="105"/>
      <c r="AP118" s="105"/>
      <c r="AQ118" s="105"/>
      <c r="AR118" s="105"/>
      <c r="AS118" s="105"/>
      <c r="AT118" s="105"/>
      <c r="AU118" s="105"/>
      <c r="AV118" s="105"/>
      <c r="AW118" s="105"/>
      <c r="AX118" s="105"/>
      <c r="AY118" s="105"/>
      <c r="AZ118" s="105"/>
      <c r="BA118" s="105"/>
      <c r="BB118" s="105"/>
    </row>
    <row r="119" spans="1:54" s="106" customFormat="1" ht="12" customHeight="1">
      <c r="A119" s="8">
        <v>1130202</v>
      </c>
      <c r="B119" s="8" t="s">
        <v>809</v>
      </c>
      <c r="C119" s="8"/>
      <c r="D119" s="92">
        <f>+VLOOKUP(A119,Clasificaciones!C:I,5,FALSE)</f>
        <v>0</v>
      </c>
      <c r="E119" s="92">
        <v>0</v>
      </c>
      <c r="F119" s="92">
        <v>0</v>
      </c>
      <c r="G119" s="92">
        <f>+VLOOKUP(A119,Clasificaciones!C:M,9,FALSE)</f>
        <v>0</v>
      </c>
      <c r="H119" s="92">
        <f>+D119-G119+E119-F119</f>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f t="shared" si="6"/>
        <v>0</v>
      </c>
      <c r="AB119" s="110"/>
      <c r="AC119" s="110"/>
      <c r="AD119" s="110"/>
      <c r="AE119" s="110"/>
      <c r="AF119" s="110"/>
      <c r="AG119" s="110"/>
      <c r="AH119" s="110"/>
      <c r="AI119" s="110"/>
      <c r="AJ119" s="110"/>
      <c r="AK119" s="110"/>
      <c r="AL119" s="110"/>
      <c r="AM119" s="110"/>
      <c r="AN119" s="110"/>
      <c r="AO119" s="105"/>
      <c r="AP119" s="105"/>
      <c r="AQ119" s="105"/>
      <c r="AR119" s="105"/>
      <c r="AS119" s="105"/>
      <c r="AT119" s="105"/>
      <c r="AU119" s="105"/>
      <c r="AV119" s="105"/>
      <c r="AW119" s="105"/>
      <c r="AX119" s="105"/>
      <c r="AY119" s="105"/>
      <c r="AZ119" s="105"/>
      <c r="BA119" s="105"/>
      <c r="BB119" s="105"/>
    </row>
    <row r="120" spans="1:54" s="106" customFormat="1" ht="12" customHeight="1">
      <c r="A120" s="8">
        <v>113020201</v>
      </c>
      <c r="B120" s="8" t="s">
        <v>1075</v>
      </c>
      <c r="C120" s="8"/>
      <c r="D120" s="92">
        <f>+VLOOKUP(A120,Clasificaciones!C:I,5,FALSE)</f>
        <v>3300000</v>
      </c>
      <c r="E120" s="92">
        <v>0</v>
      </c>
      <c r="F120" s="92">
        <v>0</v>
      </c>
      <c r="G120" s="92">
        <f>+VLOOKUP(A120,Clasificaciones!C:M,9,FALSE)</f>
        <v>0</v>
      </c>
      <c r="H120" s="92">
        <f t="shared" ref="H120:H184" si="17">+D120-G120+E120-F120</f>
        <v>3300000</v>
      </c>
      <c r="I120" s="26">
        <f>-H120</f>
        <v>-3300000</v>
      </c>
      <c r="J120" s="26">
        <v>0</v>
      </c>
      <c r="K120" s="26">
        <v>0</v>
      </c>
      <c r="L120" s="26">
        <v>0</v>
      </c>
      <c r="M120" s="26">
        <v>0</v>
      </c>
      <c r="N120" s="26">
        <v>0</v>
      </c>
      <c r="O120" s="26">
        <v>0</v>
      </c>
      <c r="P120" s="26">
        <v>0</v>
      </c>
      <c r="Q120" s="26">
        <v>0</v>
      </c>
      <c r="R120" s="26">
        <v>0</v>
      </c>
      <c r="S120" s="26">
        <v>0</v>
      </c>
      <c r="T120" s="26">
        <v>0</v>
      </c>
      <c r="U120" s="26">
        <v>0</v>
      </c>
      <c r="V120" s="26">
        <v>0</v>
      </c>
      <c r="W120" s="26">
        <v>0</v>
      </c>
      <c r="X120" s="26">
        <v>0</v>
      </c>
      <c r="Y120" s="26">
        <v>0</v>
      </c>
      <c r="Z120" s="26">
        <v>0</v>
      </c>
      <c r="AA120" s="26">
        <f t="shared" si="6"/>
        <v>0</v>
      </c>
      <c r="AB120" s="110"/>
      <c r="AC120" s="110"/>
      <c r="AD120" s="110"/>
      <c r="AE120" s="110"/>
      <c r="AF120" s="110"/>
      <c r="AG120" s="110"/>
      <c r="AH120" s="110"/>
      <c r="AI120" s="110"/>
      <c r="AJ120" s="110"/>
      <c r="AK120" s="110"/>
      <c r="AL120" s="110"/>
      <c r="AM120" s="110"/>
      <c r="AN120" s="110"/>
      <c r="AO120" s="105"/>
      <c r="AP120" s="105"/>
      <c r="AQ120" s="105"/>
      <c r="AR120" s="105"/>
      <c r="AS120" s="105"/>
      <c r="AT120" s="105"/>
      <c r="AU120" s="105"/>
      <c r="AV120" s="105"/>
      <c r="AW120" s="105"/>
      <c r="AX120" s="105"/>
      <c r="AY120" s="105"/>
      <c r="AZ120" s="105"/>
      <c r="BA120" s="105"/>
      <c r="BB120" s="105"/>
    </row>
    <row r="121" spans="1:54" s="109" customFormat="1" ht="12" customHeight="1">
      <c r="A121" s="8">
        <v>1130203</v>
      </c>
      <c r="B121" s="8" t="s">
        <v>182</v>
      </c>
      <c r="C121" s="8"/>
      <c r="D121" s="92">
        <f>+VLOOKUP(A121,Clasificaciones!C:I,5,FALSE)</f>
        <v>0</v>
      </c>
      <c r="E121" s="92">
        <v>0</v>
      </c>
      <c r="F121" s="92">
        <v>0</v>
      </c>
      <c r="G121" s="92">
        <f>+VLOOKUP(A121,Clasificaciones!C:M,9,FALSE)</f>
        <v>0</v>
      </c>
      <c r="H121" s="92">
        <f t="shared" si="17"/>
        <v>0</v>
      </c>
      <c r="I121" s="26">
        <v>0</v>
      </c>
      <c r="J121" s="26">
        <v>0</v>
      </c>
      <c r="K121" s="26">
        <v>0</v>
      </c>
      <c r="L121" s="26">
        <v>0</v>
      </c>
      <c r="M121" s="26">
        <v>0</v>
      </c>
      <c r="N121" s="26">
        <v>0</v>
      </c>
      <c r="O121" s="26">
        <v>0</v>
      </c>
      <c r="P121" s="26">
        <v>0</v>
      </c>
      <c r="Q121" s="26">
        <v>0</v>
      </c>
      <c r="R121" s="26">
        <v>0</v>
      </c>
      <c r="S121" s="26">
        <v>0</v>
      </c>
      <c r="T121" s="26">
        <v>0</v>
      </c>
      <c r="U121" s="26">
        <v>0</v>
      </c>
      <c r="V121" s="26">
        <v>0</v>
      </c>
      <c r="W121" s="26">
        <v>0</v>
      </c>
      <c r="X121" s="26">
        <v>0</v>
      </c>
      <c r="Y121" s="26">
        <v>0</v>
      </c>
      <c r="Z121" s="26">
        <v>0</v>
      </c>
      <c r="AA121" s="26">
        <f t="shared" si="6"/>
        <v>0</v>
      </c>
      <c r="AB121" s="107"/>
      <c r="AC121" s="107"/>
      <c r="AD121" s="107"/>
      <c r="AE121" s="107"/>
      <c r="AF121" s="107"/>
      <c r="AG121" s="107"/>
      <c r="AH121" s="107"/>
      <c r="AI121" s="107"/>
      <c r="AJ121" s="107"/>
      <c r="AK121" s="107"/>
      <c r="AL121" s="107"/>
      <c r="AM121" s="107"/>
      <c r="AN121" s="107"/>
      <c r="AO121" s="108"/>
      <c r="AP121" s="108"/>
      <c r="AQ121" s="108"/>
      <c r="AR121" s="108"/>
      <c r="AS121" s="108"/>
      <c r="AT121" s="108"/>
      <c r="AU121" s="108"/>
      <c r="AV121" s="108"/>
      <c r="AW121" s="108"/>
      <c r="AX121" s="108"/>
      <c r="AY121" s="108"/>
      <c r="AZ121" s="108"/>
      <c r="BA121" s="108"/>
      <c r="BB121" s="108"/>
    </row>
    <row r="122" spans="1:54" s="109" customFormat="1" ht="12" customHeight="1">
      <c r="A122" s="8">
        <v>113020301</v>
      </c>
      <c r="B122" s="8" t="s">
        <v>811</v>
      </c>
      <c r="C122" s="8" t="str">
        <f>+VLOOKUP(A122,Clasificaciones!$C$4:$H$887,6,0)</f>
        <v>Documentos y Cuentas por Cobrar</v>
      </c>
      <c r="D122" s="92">
        <f>+VLOOKUP(A122,Clasificaciones!C:I,5,FALSE)</f>
        <v>51047566</v>
      </c>
      <c r="E122" s="92">
        <v>0</v>
      </c>
      <c r="F122" s="92">
        <v>0</v>
      </c>
      <c r="G122" s="92">
        <f>+VLOOKUP(A122,Clasificaciones!C:M,9,FALSE)</f>
        <v>0</v>
      </c>
      <c r="H122" s="92">
        <f t="shared" si="17"/>
        <v>51047566</v>
      </c>
      <c r="I122" s="26">
        <f>-H122</f>
        <v>-51047566</v>
      </c>
      <c r="J122" s="26">
        <v>0</v>
      </c>
      <c r="K122" s="26"/>
      <c r="L122" s="26">
        <v>0</v>
      </c>
      <c r="M122" s="26">
        <v>0</v>
      </c>
      <c r="N122" s="26">
        <v>0</v>
      </c>
      <c r="O122" s="26">
        <v>0</v>
      </c>
      <c r="P122" s="26">
        <v>0</v>
      </c>
      <c r="Q122" s="26">
        <v>0</v>
      </c>
      <c r="R122" s="26">
        <v>0</v>
      </c>
      <c r="S122" s="26">
        <v>0</v>
      </c>
      <c r="T122" s="26">
        <v>0</v>
      </c>
      <c r="U122" s="26">
        <v>0</v>
      </c>
      <c r="V122" s="26">
        <v>0</v>
      </c>
      <c r="W122" s="26">
        <v>0</v>
      </c>
      <c r="X122" s="26">
        <v>0</v>
      </c>
      <c r="Y122" s="26">
        <v>0</v>
      </c>
      <c r="Z122" s="26">
        <v>0</v>
      </c>
      <c r="AA122" s="26">
        <f t="shared" si="6"/>
        <v>0</v>
      </c>
      <c r="AB122" s="107"/>
      <c r="AC122" s="107"/>
      <c r="AD122" s="107"/>
      <c r="AE122" s="107"/>
      <c r="AF122" s="107"/>
      <c r="AG122" s="107"/>
      <c r="AH122" s="107"/>
      <c r="AI122" s="107"/>
      <c r="AJ122" s="107"/>
      <c r="AK122" s="107"/>
      <c r="AL122" s="107"/>
      <c r="AM122" s="107"/>
      <c r="AN122" s="107"/>
      <c r="AO122" s="108"/>
      <c r="AP122" s="108"/>
      <c r="AQ122" s="108"/>
      <c r="AR122" s="108"/>
      <c r="AS122" s="108"/>
      <c r="AT122" s="108"/>
      <c r="AU122" s="108"/>
      <c r="AV122" s="108"/>
      <c r="AW122" s="108"/>
      <c r="AX122" s="108"/>
      <c r="AY122" s="108"/>
      <c r="AZ122" s="108"/>
      <c r="BA122" s="108"/>
      <c r="BB122" s="108"/>
    </row>
    <row r="123" spans="1:54" s="109" customFormat="1" ht="12" customHeight="1">
      <c r="A123" s="8">
        <v>113020302</v>
      </c>
      <c r="B123" s="8" t="s">
        <v>812</v>
      </c>
      <c r="C123" s="8" t="str">
        <f>+VLOOKUP(A123,Clasificaciones!$C$4:$H$887,6,0)</f>
        <v>Documentos y Cuentas por Cobrar</v>
      </c>
      <c r="D123" s="92">
        <f>+VLOOKUP(A123,Clasificaciones!C:I,5,FALSE)</f>
        <v>1448246165</v>
      </c>
      <c r="E123" s="92">
        <v>0</v>
      </c>
      <c r="F123" s="92">
        <v>0</v>
      </c>
      <c r="G123" s="92">
        <f>+VLOOKUP(A123,Clasificaciones!C:M,9,FALSE)</f>
        <v>0</v>
      </c>
      <c r="H123" s="92">
        <f>+D123-G123+E123-F123</f>
        <v>1448246165</v>
      </c>
      <c r="I123" s="26">
        <f>-H123</f>
        <v>-1448246165</v>
      </c>
      <c r="J123" s="26">
        <v>0</v>
      </c>
      <c r="K123" s="26"/>
      <c r="L123" s="26">
        <v>0</v>
      </c>
      <c r="M123" s="26">
        <v>0</v>
      </c>
      <c r="N123" s="26">
        <v>0</v>
      </c>
      <c r="O123" s="26">
        <v>0</v>
      </c>
      <c r="P123" s="26">
        <v>0</v>
      </c>
      <c r="Q123" s="26">
        <v>0</v>
      </c>
      <c r="R123" s="26">
        <v>0</v>
      </c>
      <c r="S123" s="26">
        <v>0</v>
      </c>
      <c r="T123" s="26">
        <v>0</v>
      </c>
      <c r="U123" s="26">
        <v>0</v>
      </c>
      <c r="V123" s="26">
        <v>0</v>
      </c>
      <c r="W123" s="26">
        <v>0</v>
      </c>
      <c r="X123" s="26">
        <v>0</v>
      </c>
      <c r="Y123" s="26">
        <v>0</v>
      </c>
      <c r="Z123" s="26">
        <v>0</v>
      </c>
      <c r="AA123" s="26">
        <f t="shared" si="6"/>
        <v>0</v>
      </c>
      <c r="AB123" s="107"/>
      <c r="AC123" s="107"/>
      <c r="AD123" s="107"/>
      <c r="AE123" s="107"/>
      <c r="AF123" s="107"/>
      <c r="AG123" s="107"/>
      <c r="AH123" s="107"/>
      <c r="AI123" s="107"/>
      <c r="AJ123" s="107"/>
      <c r="AK123" s="107"/>
      <c r="AL123" s="107"/>
      <c r="AM123" s="107"/>
      <c r="AN123" s="107"/>
      <c r="AO123" s="108"/>
      <c r="AP123" s="108"/>
      <c r="AQ123" s="108"/>
      <c r="AR123" s="108"/>
      <c r="AS123" s="108"/>
      <c r="AT123" s="108"/>
      <c r="AU123" s="108"/>
      <c r="AV123" s="108"/>
      <c r="AW123" s="108"/>
      <c r="AX123" s="108"/>
      <c r="AY123" s="108"/>
      <c r="AZ123" s="108"/>
      <c r="BA123" s="108"/>
      <c r="BB123" s="108"/>
    </row>
    <row r="124" spans="1:54" s="106" customFormat="1" ht="12" customHeight="1">
      <c r="A124" s="8">
        <v>11303</v>
      </c>
      <c r="B124" s="8" t="s">
        <v>813</v>
      </c>
      <c r="C124" s="8"/>
      <c r="D124" s="92">
        <f>+VLOOKUP(A124,Clasificaciones!C:I,5,FALSE)</f>
        <v>0</v>
      </c>
      <c r="E124" s="92">
        <v>0</v>
      </c>
      <c r="F124" s="92">
        <v>0</v>
      </c>
      <c r="G124" s="92">
        <f>+VLOOKUP(A124,Clasificaciones!C:M,9,FALSE)</f>
        <v>0</v>
      </c>
      <c r="H124" s="92">
        <f t="shared" si="17"/>
        <v>0</v>
      </c>
      <c r="I124" s="26">
        <v>0</v>
      </c>
      <c r="J124" s="26">
        <v>0</v>
      </c>
      <c r="K124" s="26">
        <f t="shared" ref="K124" si="18">-H124</f>
        <v>0</v>
      </c>
      <c r="L124" s="26">
        <v>0</v>
      </c>
      <c r="M124" s="26">
        <v>0</v>
      </c>
      <c r="N124" s="26">
        <v>0</v>
      </c>
      <c r="O124" s="26">
        <v>0</v>
      </c>
      <c r="P124" s="26">
        <v>0</v>
      </c>
      <c r="Q124" s="26">
        <v>0</v>
      </c>
      <c r="R124" s="26">
        <v>0</v>
      </c>
      <c r="S124" s="26">
        <v>0</v>
      </c>
      <c r="T124" s="26">
        <v>0</v>
      </c>
      <c r="U124" s="26">
        <v>0</v>
      </c>
      <c r="V124" s="26">
        <v>0</v>
      </c>
      <c r="W124" s="26">
        <v>0</v>
      </c>
      <c r="X124" s="26">
        <v>0</v>
      </c>
      <c r="Y124" s="26">
        <v>0</v>
      </c>
      <c r="Z124" s="26">
        <v>0</v>
      </c>
      <c r="AA124" s="26">
        <f t="shared" si="6"/>
        <v>0</v>
      </c>
      <c r="AB124" s="110"/>
      <c r="AC124" s="110"/>
      <c r="AD124" s="110"/>
      <c r="AE124" s="110"/>
      <c r="AF124" s="110"/>
      <c r="AG124" s="110"/>
      <c r="AH124" s="110"/>
      <c r="AI124" s="110"/>
      <c r="AJ124" s="110"/>
      <c r="AK124" s="110"/>
      <c r="AL124" s="110"/>
      <c r="AM124" s="110"/>
      <c r="AN124" s="110"/>
      <c r="AO124" s="105"/>
      <c r="AP124" s="105"/>
      <c r="AQ124" s="105"/>
      <c r="AR124" s="105"/>
      <c r="AS124" s="105"/>
      <c r="AT124" s="105"/>
      <c r="AU124" s="105"/>
      <c r="AV124" s="105"/>
      <c r="AW124" s="105"/>
      <c r="AX124" s="105"/>
      <c r="AY124" s="105"/>
      <c r="AZ124" s="105"/>
      <c r="BA124" s="105"/>
      <c r="BB124" s="105"/>
    </row>
    <row r="125" spans="1:54" s="109" customFormat="1" ht="12" customHeight="1">
      <c r="A125" s="8">
        <v>1130301</v>
      </c>
      <c r="B125" s="8" t="s">
        <v>814</v>
      </c>
      <c r="C125" s="8"/>
      <c r="D125" s="92">
        <f>+VLOOKUP(A125,Clasificaciones!C:I,5,FALSE)</f>
        <v>0</v>
      </c>
      <c r="E125" s="92">
        <v>0</v>
      </c>
      <c r="F125" s="92">
        <v>0</v>
      </c>
      <c r="G125" s="92">
        <f>+VLOOKUP(A125,Clasificaciones!C:M,9,FALSE)</f>
        <v>0</v>
      </c>
      <c r="H125" s="92">
        <f t="shared" si="17"/>
        <v>0</v>
      </c>
      <c r="I125" s="26">
        <v>0</v>
      </c>
      <c r="J125" s="26">
        <v>0</v>
      </c>
      <c r="K125" s="26">
        <v>0</v>
      </c>
      <c r="L125" s="26">
        <v>0</v>
      </c>
      <c r="M125" s="26">
        <v>0</v>
      </c>
      <c r="N125" s="26">
        <v>0</v>
      </c>
      <c r="O125" s="26">
        <v>0</v>
      </c>
      <c r="P125" s="26">
        <v>0</v>
      </c>
      <c r="Q125" s="26">
        <v>0</v>
      </c>
      <c r="R125" s="26">
        <v>0</v>
      </c>
      <c r="S125" s="26">
        <v>0</v>
      </c>
      <c r="T125" s="26">
        <v>0</v>
      </c>
      <c r="U125" s="26">
        <v>0</v>
      </c>
      <c r="V125" s="26">
        <v>0</v>
      </c>
      <c r="W125" s="26">
        <v>0</v>
      </c>
      <c r="X125" s="26">
        <v>0</v>
      </c>
      <c r="Y125" s="26">
        <v>0</v>
      </c>
      <c r="Z125" s="26">
        <v>0</v>
      </c>
      <c r="AA125" s="26">
        <f t="shared" si="6"/>
        <v>0</v>
      </c>
      <c r="AB125" s="107"/>
      <c r="AC125" s="107"/>
      <c r="AD125" s="107"/>
      <c r="AE125" s="107"/>
      <c r="AF125" s="107"/>
      <c r="AG125" s="107"/>
      <c r="AH125" s="107"/>
      <c r="AI125" s="107"/>
      <c r="AJ125" s="107"/>
      <c r="AK125" s="107"/>
      <c r="AL125" s="107"/>
      <c r="AM125" s="107"/>
      <c r="AN125" s="107"/>
      <c r="AO125" s="108"/>
      <c r="AP125" s="108"/>
      <c r="AQ125" s="108"/>
      <c r="AR125" s="108"/>
      <c r="AS125" s="108"/>
      <c r="AT125" s="108"/>
      <c r="AU125" s="108"/>
      <c r="AV125" s="108"/>
      <c r="AW125" s="108"/>
      <c r="AX125" s="108"/>
      <c r="AY125" s="108"/>
      <c r="AZ125" s="108"/>
      <c r="BA125" s="108"/>
      <c r="BB125" s="108"/>
    </row>
    <row r="126" spans="1:54" s="109" customFormat="1" ht="12" customHeight="1">
      <c r="A126" s="8">
        <v>113030101</v>
      </c>
      <c r="B126" s="8" t="s">
        <v>814</v>
      </c>
      <c r="C126" s="8"/>
      <c r="D126" s="92">
        <f>+VLOOKUP(A126,Clasificaciones!C:I,5,FALSE)</f>
        <v>0</v>
      </c>
      <c r="E126" s="92">
        <v>0</v>
      </c>
      <c r="F126" s="92">
        <v>0</v>
      </c>
      <c r="G126" s="92">
        <f>+VLOOKUP(A126,Clasificaciones!C:M,9,FALSE)</f>
        <v>0</v>
      </c>
      <c r="H126" s="92">
        <f t="shared" si="17"/>
        <v>0</v>
      </c>
      <c r="I126" s="26">
        <v>0</v>
      </c>
      <c r="J126" s="26">
        <v>0</v>
      </c>
      <c r="K126" s="26">
        <f>-H126</f>
        <v>0</v>
      </c>
      <c r="L126" s="26">
        <v>0</v>
      </c>
      <c r="M126" s="26">
        <v>0</v>
      </c>
      <c r="N126" s="26">
        <v>0</v>
      </c>
      <c r="O126" s="26">
        <v>0</v>
      </c>
      <c r="P126" s="26">
        <v>0</v>
      </c>
      <c r="Q126" s="26">
        <v>0</v>
      </c>
      <c r="R126" s="26">
        <v>0</v>
      </c>
      <c r="S126" s="26">
        <v>0</v>
      </c>
      <c r="T126" s="26">
        <v>0</v>
      </c>
      <c r="U126" s="26">
        <v>0</v>
      </c>
      <c r="V126" s="26">
        <v>0</v>
      </c>
      <c r="W126" s="26">
        <v>0</v>
      </c>
      <c r="X126" s="26">
        <v>0</v>
      </c>
      <c r="Y126" s="26">
        <v>0</v>
      </c>
      <c r="Z126" s="26">
        <v>0</v>
      </c>
      <c r="AA126" s="26">
        <f t="shared" si="6"/>
        <v>0</v>
      </c>
      <c r="AB126" s="107"/>
      <c r="AC126" s="107"/>
      <c r="AD126" s="107"/>
      <c r="AE126" s="107"/>
      <c r="AF126" s="107"/>
      <c r="AG126" s="107"/>
      <c r="AH126" s="107"/>
      <c r="AI126" s="107"/>
      <c r="AJ126" s="107"/>
      <c r="AK126" s="107"/>
      <c r="AL126" s="107"/>
      <c r="AM126" s="107"/>
      <c r="AN126" s="107"/>
      <c r="AO126" s="108"/>
      <c r="AP126" s="108"/>
      <c r="AQ126" s="108"/>
      <c r="AR126" s="108"/>
      <c r="AS126" s="108"/>
      <c r="AT126" s="108"/>
      <c r="AU126" s="108"/>
      <c r="AV126" s="108"/>
      <c r="AW126" s="108"/>
      <c r="AX126" s="108"/>
      <c r="AY126" s="108"/>
      <c r="AZ126" s="108"/>
      <c r="BA126" s="108"/>
      <c r="BB126" s="108"/>
    </row>
    <row r="127" spans="1:54" s="109" customFormat="1" ht="12" customHeight="1">
      <c r="A127" s="8">
        <v>113030102</v>
      </c>
      <c r="B127" s="8" t="s">
        <v>814</v>
      </c>
      <c r="C127" s="8" t="str">
        <f>+VLOOKUP(A127,Clasificaciones!$C$4:$H$887,6,0)</f>
        <v>Cuentas por cobrar a Personas y Empresas relacionadas</v>
      </c>
      <c r="D127" s="92">
        <f>+VLOOKUP(A127,Clasificaciones!C:I,5,FALSE)</f>
        <v>2</v>
      </c>
      <c r="E127" s="92">
        <v>0</v>
      </c>
      <c r="F127" s="92">
        <v>0</v>
      </c>
      <c r="G127" s="92">
        <f>+VLOOKUP(A127,Clasificaciones!C:M,9,FALSE)</f>
        <v>0</v>
      </c>
      <c r="H127" s="92">
        <f t="shared" si="17"/>
        <v>2</v>
      </c>
      <c r="I127" s="26">
        <f>-H127</f>
        <v>-2</v>
      </c>
      <c r="J127" s="26">
        <v>0</v>
      </c>
      <c r="K127" s="26"/>
      <c r="L127" s="26">
        <v>0</v>
      </c>
      <c r="M127" s="26">
        <v>0</v>
      </c>
      <c r="N127" s="26">
        <v>0</v>
      </c>
      <c r="O127" s="26">
        <v>0</v>
      </c>
      <c r="P127" s="26">
        <v>0</v>
      </c>
      <c r="Q127" s="26">
        <v>0</v>
      </c>
      <c r="R127" s="26">
        <v>0</v>
      </c>
      <c r="S127" s="26">
        <v>0</v>
      </c>
      <c r="T127" s="26">
        <v>0</v>
      </c>
      <c r="U127" s="26">
        <v>0</v>
      </c>
      <c r="V127" s="26">
        <v>0</v>
      </c>
      <c r="W127" s="26">
        <v>0</v>
      </c>
      <c r="X127" s="26">
        <v>0</v>
      </c>
      <c r="Y127" s="26">
        <v>0</v>
      </c>
      <c r="Z127" s="26">
        <v>0</v>
      </c>
      <c r="AA127" s="26">
        <f t="shared" si="6"/>
        <v>0</v>
      </c>
      <c r="AB127" s="107"/>
      <c r="AC127" s="107"/>
      <c r="AD127" s="107"/>
      <c r="AE127" s="107"/>
      <c r="AF127" s="107"/>
      <c r="AG127" s="107"/>
      <c r="AH127" s="107"/>
      <c r="AI127" s="107"/>
      <c r="AJ127" s="107"/>
      <c r="AK127" s="107"/>
      <c r="AL127" s="107"/>
      <c r="AM127" s="107"/>
      <c r="AN127" s="107"/>
      <c r="AO127" s="108"/>
      <c r="AP127" s="108"/>
      <c r="AQ127" s="108"/>
      <c r="AR127" s="108"/>
      <c r="AS127" s="108"/>
      <c r="AT127" s="108"/>
      <c r="AU127" s="108"/>
      <c r="AV127" s="108"/>
      <c r="AW127" s="108"/>
      <c r="AX127" s="108"/>
      <c r="AY127" s="108"/>
      <c r="AZ127" s="108"/>
      <c r="BA127" s="108"/>
      <c r="BB127" s="108"/>
    </row>
    <row r="128" spans="1:54" s="109" customFormat="1" ht="12" customHeight="1">
      <c r="A128" s="8">
        <v>11308</v>
      </c>
      <c r="B128" s="8" t="s">
        <v>816</v>
      </c>
      <c r="C128" s="8"/>
      <c r="D128" s="92">
        <f>+VLOOKUP(A128,Clasificaciones!C:I,5,FALSE)</f>
        <v>0</v>
      </c>
      <c r="E128" s="92">
        <v>0</v>
      </c>
      <c r="F128" s="92">
        <v>0</v>
      </c>
      <c r="G128" s="92">
        <f>+VLOOKUP(A128,Clasificaciones!C:M,9,FALSE)</f>
        <v>0</v>
      </c>
      <c r="H128" s="92">
        <f t="shared" si="17"/>
        <v>0</v>
      </c>
      <c r="I128" s="26">
        <v>0</v>
      </c>
      <c r="J128" s="26">
        <v>0</v>
      </c>
      <c r="K128" s="26">
        <f>-H128</f>
        <v>0</v>
      </c>
      <c r="L128" s="26">
        <v>0</v>
      </c>
      <c r="M128" s="26">
        <v>0</v>
      </c>
      <c r="N128" s="26">
        <v>0</v>
      </c>
      <c r="O128" s="26">
        <v>0</v>
      </c>
      <c r="P128" s="26">
        <v>0</v>
      </c>
      <c r="Q128" s="26">
        <v>0</v>
      </c>
      <c r="R128" s="26">
        <v>0</v>
      </c>
      <c r="S128" s="26">
        <v>0</v>
      </c>
      <c r="T128" s="26">
        <v>0</v>
      </c>
      <c r="U128" s="26">
        <v>0</v>
      </c>
      <c r="V128" s="26">
        <v>0</v>
      </c>
      <c r="W128" s="26">
        <v>0</v>
      </c>
      <c r="X128" s="26">
        <v>0</v>
      </c>
      <c r="Y128" s="26">
        <v>0</v>
      </c>
      <c r="Z128" s="26">
        <v>0</v>
      </c>
      <c r="AA128" s="26">
        <f t="shared" si="6"/>
        <v>0</v>
      </c>
      <c r="AB128" s="107"/>
      <c r="AC128" s="107"/>
      <c r="AD128" s="107"/>
      <c r="AE128" s="107"/>
      <c r="AF128" s="107"/>
      <c r="AG128" s="107"/>
      <c r="AH128" s="107"/>
      <c r="AI128" s="107"/>
      <c r="AJ128" s="107"/>
      <c r="AK128" s="107"/>
      <c r="AL128" s="107"/>
      <c r="AM128" s="107"/>
      <c r="AN128" s="107"/>
      <c r="AO128" s="108"/>
      <c r="AP128" s="108"/>
      <c r="AQ128" s="108"/>
      <c r="AR128" s="108"/>
      <c r="AS128" s="108"/>
      <c r="AT128" s="108"/>
      <c r="AU128" s="108"/>
      <c r="AV128" s="108"/>
      <c r="AW128" s="108"/>
      <c r="AX128" s="108"/>
      <c r="AY128" s="108"/>
      <c r="AZ128" s="108"/>
      <c r="BA128" s="108"/>
      <c r="BB128" s="108"/>
    </row>
    <row r="129" spans="1:54" s="109" customFormat="1" ht="12" customHeight="1">
      <c r="A129" s="8">
        <v>1130801</v>
      </c>
      <c r="B129" s="8" t="s">
        <v>817</v>
      </c>
      <c r="C129" s="8"/>
      <c r="D129" s="92">
        <f>+VLOOKUP(A129,Clasificaciones!C:I,5,FALSE)</f>
        <v>263473908</v>
      </c>
      <c r="E129" s="92">
        <v>0</v>
      </c>
      <c r="F129" s="92">
        <v>0</v>
      </c>
      <c r="G129" s="92">
        <f>+VLOOKUP(A129,Clasificaciones!C:M,9,FALSE)</f>
        <v>96802560</v>
      </c>
      <c r="H129" s="92">
        <f>+D129-G129+E129-F129</f>
        <v>166671348</v>
      </c>
      <c r="I129" s="26">
        <v>0</v>
      </c>
      <c r="J129" s="26">
        <v>0</v>
      </c>
      <c r="K129" s="26">
        <v>0</v>
      </c>
      <c r="L129" s="26">
        <v>0</v>
      </c>
      <c r="M129" s="26">
        <v>0</v>
      </c>
      <c r="N129" s="26">
        <f>-H129</f>
        <v>-166671348</v>
      </c>
      <c r="O129" s="26">
        <v>0</v>
      </c>
      <c r="P129" s="26">
        <v>0</v>
      </c>
      <c r="Q129" s="26">
        <v>0</v>
      </c>
      <c r="R129" s="26">
        <v>0</v>
      </c>
      <c r="S129" s="26">
        <v>0</v>
      </c>
      <c r="T129" s="26">
        <v>0</v>
      </c>
      <c r="U129" s="26">
        <v>0</v>
      </c>
      <c r="V129" s="26">
        <v>0</v>
      </c>
      <c r="W129" s="26">
        <v>0</v>
      </c>
      <c r="X129" s="26">
        <v>0</v>
      </c>
      <c r="Y129" s="26">
        <v>0</v>
      </c>
      <c r="Z129" s="26">
        <v>0</v>
      </c>
      <c r="AA129" s="26">
        <f t="shared" si="6"/>
        <v>0</v>
      </c>
      <c r="AB129" s="107"/>
      <c r="AC129" s="107"/>
      <c r="AD129" s="107"/>
      <c r="AE129" s="107"/>
      <c r="AF129" s="107"/>
      <c r="AG129" s="107"/>
      <c r="AH129" s="107"/>
      <c r="AI129" s="107"/>
      <c r="AJ129" s="107"/>
      <c r="AK129" s="107"/>
      <c r="AL129" s="107"/>
      <c r="AM129" s="107"/>
      <c r="AN129" s="107"/>
      <c r="AO129" s="108"/>
      <c r="AP129" s="108"/>
      <c r="AQ129" s="108"/>
      <c r="AR129" s="108"/>
      <c r="AS129" s="108"/>
      <c r="AT129" s="108"/>
      <c r="AU129" s="108"/>
      <c r="AV129" s="108"/>
      <c r="AW129" s="108"/>
      <c r="AX129" s="108"/>
      <c r="AY129" s="108"/>
      <c r="AZ129" s="108"/>
      <c r="BA129" s="108"/>
      <c r="BB129" s="108"/>
    </row>
    <row r="130" spans="1:54" s="109" customFormat="1" ht="12" customHeight="1">
      <c r="A130" s="8">
        <v>1130802</v>
      </c>
      <c r="B130" s="8" t="s">
        <v>864</v>
      </c>
      <c r="C130" s="8"/>
      <c r="D130" s="92">
        <f>+VLOOKUP(A130,Clasificaciones!C:I,5,FALSE)</f>
        <v>0</v>
      </c>
      <c r="E130" s="92">
        <v>0</v>
      </c>
      <c r="F130" s="92">
        <v>0</v>
      </c>
      <c r="G130" s="92">
        <f>+VLOOKUP(A130,Clasificaciones!C:M,9,FALSE)</f>
        <v>0</v>
      </c>
      <c r="H130" s="92">
        <f t="shared" si="17"/>
        <v>0</v>
      </c>
      <c r="I130" s="26">
        <v>0</v>
      </c>
      <c r="J130" s="26">
        <v>0</v>
      </c>
      <c r="K130" s="26">
        <v>0</v>
      </c>
      <c r="L130" s="26">
        <v>0</v>
      </c>
      <c r="M130" s="26">
        <v>0</v>
      </c>
      <c r="N130" s="26">
        <v>0</v>
      </c>
      <c r="O130" s="26">
        <v>0</v>
      </c>
      <c r="P130" s="26">
        <v>0</v>
      </c>
      <c r="Q130" s="26">
        <v>0</v>
      </c>
      <c r="R130" s="26">
        <v>0</v>
      </c>
      <c r="S130" s="26">
        <v>0</v>
      </c>
      <c r="T130" s="26">
        <v>0</v>
      </c>
      <c r="U130" s="26">
        <v>0</v>
      </c>
      <c r="V130" s="26">
        <v>0</v>
      </c>
      <c r="W130" s="26">
        <v>0</v>
      </c>
      <c r="X130" s="26">
        <v>0</v>
      </c>
      <c r="Y130" s="26">
        <v>0</v>
      </c>
      <c r="Z130" s="26">
        <v>0</v>
      </c>
      <c r="AA130" s="26">
        <f t="shared" si="6"/>
        <v>0</v>
      </c>
      <c r="AB130" s="107"/>
      <c r="AC130" s="107"/>
      <c r="AD130" s="107"/>
      <c r="AE130" s="107"/>
      <c r="AF130" s="107"/>
      <c r="AG130" s="107"/>
      <c r="AH130" s="107"/>
      <c r="AI130" s="107"/>
      <c r="AJ130" s="107"/>
      <c r="AK130" s="107"/>
      <c r="AL130" s="107"/>
      <c r="AM130" s="107"/>
      <c r="AN130" s="107"/>
      <c r="AO130" s="108"/>
      <c r="AP130" s="108"/>
      <c r="AQ130" s="108"/>
      <c r="AR130" s="108"/>
      <c r="AS130" s="108"/>
      <c r="AT130" s="108"/>
      <c r="AU130" s="108"/>
      <c r="AV130" s="108"/>
      <c r="AW130" s="108"/>
      <c r="AX130" s="108"/>
      <c r="AY130" s="108"/>
      <c r="AZ130" s="108"/>
      <c r="BA130" s="108"/>
      <c r="BB130" s="108"/>
    </row>
    <row r="131" spans="1:54" s="109" customFormat="1" ht="12" customHeight="1">
      <c r="A131" s="8">
        <v>113080201</v>
      </c>
      <c r="B131" s="8" t="s">
        <v>1083</v>
      </c>
      <c r="C131" s="8"/>
      <c r="D131" s="92">
        <f>+VLOOKUP(A131,Clasificaciones!C:I,5,FALSE)</f>
        <v>0</v>
      </c>
      <c r="E131" s="92">
        <v>0</v>
      </c>
      <c r="F131" s="92">
        <v>0</v>
      </c>
      <c r="G131" s="92">
        <f>+VLOOKUP(A131,Clasificaciones!C:M,9,FALSE)</f>
        <v>0</v>
      </c>
      <c r="H131" s="92">
        <f t="shared" si="17"/>
        <v>0</v>
      </c>
      <c r="I131" s="26">
        <v>0</v>
      </c>
      <c r="J131" s="26">
        <v>0</v>
      </c>
      <c r="K131" s="26">
        <f>-H131</f>
        <v>0</v>
      </c>
      <c r="L131" s="26">
        <v>0</v>
      </c>
      <c r="M131" s="26">
        <v>0</v>
      </c>
      <c r="N131" s="26">
        <v>0</v>
      </c>
      <c r="O131" s="26">
        <v>0</v>
      </c>
      <c r="P131" s="26">
        <v>0</v>
      </c>
      <c r="Q131" s="26">
        <v>0</v>
      </c>
      <c r="R131" s="26">
        <v>0</v>
      </c>
      <c r="S131" s="26">
        <v>0</v>
      </c>
      <c r="T131" s="26">
        <v>0</v>
      </c>
      <c r="U131" s="26">
        <v>0</v>
      </c>
      <c r="V131" s="26">
        <v>0</v>
      </c>
      <c r="W131" s="26">
        <v>0</v>
      </c>
      <c r="X131" s="26">
        <v>0</v>
      </c>
      <c r="Y131" s="26">
        <v>0</v>
      </c>
      <c r="Z131" s="26">
        <v>0</v>
      </c>
      <c r="AA131" s="26">
        <f t="shared" si="6"/>
        <v>0</v>
      </c>
      <c r="AB131" s="107"/>
      <c r="AC131" s="107"/>
      <c r="AD131" s="107"/>
      <c r="AE131" s="107"/>
      <c r="AF131" s="107"/>
      <c r="AG131" s="107"/>
      <c r="AH131" s="107"/>
      <c r="AI131" s="107"/>
      <c r="AJ131" s="107"/>
      <c r="AK131" s="107"/>
      <c r="AL131" s="107"/>
      <c r="AM131" s="107"/>
      <c r="AN131" s="107"/>
      <c r="AO131" s="108"/>
      <c r="AP131" s="108"/>
      <c r="AQ131" s="108"/>
      <c r="AR131" s="108"/>
      <c r="AS131" s="108"/>
      <c r="AT131" s="108"/>
      <c r="AU131" s="108"/>
      <c r="AV131" s="108"/>
      <c r="AW131" s="108"/>
      <c r="AX131" s="108"/>
      <c r="AY131" s="108"/>
      <c r="AZ131" s="108"/>
      <c r="BA131" s="108"/>
      <c r="BB131" s="108"/>
    </row>
    <row r="132" spans="1:54" s="109" customFormat="1" ht="12" customHeight="1">
      <c r="A132" s="8">
        <v>1130803</v>
      </c>
      <c r="B132" s="8" t="s">
        <v>1085</v>
      </c>
      <c r="C132" s="8" t="str">
        <f>+VLOOKUP(A132,Clasificaciones!$C$4:$H$887,6,0)</f>
        <v>Otros Activos Corrientes</v>
      </c>
      <c r="D132" s="92">
        <f>+VLOOKUP(A132,Clasificaciones!C:I,5,FALSE)</f>
        <v>0</v>
      </c>
      <c r="E132" s="92">
        <v>0</v>
      </c>
      <c r="F132" s="92">
        <v>0</v>
      </c>
      <c r="G132" s="92">
        <f>+VLOOKUP(A132,Clasificaciones!C:M,9,FALSE)</f>
        <v>15626149</v>
      </c>
      <c r="H132" s="92">
        <f t="shared" si="17"/>
        <v>-15626149</v>
      </c>
      <c r="I132" s="26">
        <v>0</v>
      </c>
      <c r="J132" s="26">
        <v>0</v>
      </c>
      <c r="K132" s="26"/>
      <c r="L132" s="26">
        <v>0</v>
      </c>
      <c r="M132" s="26">
        <f>-H132</f>
        <v>15626149</v>
      </c>
      <c r="N132" s="26">
        <v>0</v>
      </c>
      <c r="O132" s="26">
        <v>0</v>
      </c>
      <c r="P132" s="26">
        <v>0</v>
      </c>
      <c r="Q132" s="26">
        <v>0</v>
      </c>
      <c r="R132" s="26">
        <v>0</v>
      </c>
      <c r="S132" s="26">
        <v>0</v>
      </c>
      <c r="T132" s="26">
        <v>0</v>
      </c>
      <c r="U132" s="26">
        <v>0</v>
      </c>
      <c r="V132" s="26">
        <v>0</v>
      </c>
      <c r="W132" s="26">
        <v>0</v>
      </c>
      <c r="X132" s="26">
        <v>0</v>
      </c>
      <c r="Y132" s="26">
        <v>0</v>
      </c>
      <c r="Z132" s="26">
        <v>0</v>
      </c>
      <c r="AA132" s="26">
        <f t="shared" si="6"/>
        <v>0</v>
      </c>
      <c r="AB132" s="107"/>
      <c r="AC132" s="107"/>
      <c r="AD132" s="107"/>
      <c r="AE132" s="107"/>
      <c r="AF132" s="107"/>
      <c r="AG132" s="107"/>
      <c r="AH132" s="107"/>
      <c r="AI132" s="107"/>
      <c r="AJ132" s="107"/>
      <c r="AK132" s="107"/>
      <c r="AL132" s="107"/>
      <c r="AM132" s="107"/>
      <c r="AN132" s="107"/>
      <c r="AO132" s="108"/>
      <c r="AP132" s="108"/>
      <c r="AQ132" s="108"/>
      <c r="AR132" s="108"/>
      <c r="AS132" s="108"/>
      <c r="AT132" s="108"/>
      <c r="AU132" s="108"/>
      <c r="AV132" s="108"/>
      <c r="AW132" s="108"/>
      <c r="AX132" s="108"/>
      <c r="AY132" s="108"/>
      <c r="AZ132" s="108"/>
      <c r="BA132" s="108"/>
      <c r="BB132" s="108"/>
    </row>
    <row r="133" spans="1:54" s="109" customFormat="1" ht="12" customHeight="1">
      <c r="A133" s="8">
        <v>1130804</v>
      </c>
      <c r="B133" s="8" t="s">
        <v>329</v>
      </c>
      <c r="C133" s="8" t="str">
        <f>+VLOOKUP(A133,Clasificaciones!$C$4:$H$887,6,0)</f>
        <v>Otros Activos Corrientes</v>
      </c>
      <c r="D133" s="92">
        <f>+VLOOKUP(A133,Clasificaciones!C:I,5,FALSE)</f>
        <v>0</v>
      </c>
      <c r="E133" s="92">
        <v>0</v>
      </c>
      <c r="F133" s="92">
        <v>0</v>
      </c>
      <c r="G133" s="92">
        <f>+VLOOKUP(A133,Clasificaciones!C:M,9,FALSE)</f>
        <v>17653690</v>
      </c>
      <c r="H133" s="92">
        <f t="shared" si="17"/>
        <v>-17653690</v>
      </c>
      <c r="I133" s="26">
        <v>0</v>
      </c>
      <c r="J133" s="26">
        <v>0</v>
      </c>
      <c r="K133" s="26"/>
      <c r="L133" s="26">
        <v>0</v>
      </c>
      <c r="M133" s="26">
        <f>-H133</f>
        <v>17653690</v>
      </c>
      <c r="N133" s="26">
        <v>0</v>
      </c>
      <c r="O133" s="26">
        <v>0</v>
      </c>
      <c r="P133" s="26">
        <v>0</v>
      </c>
      <c r="Q133" s="26">
        <v>0</v>
      </c>
      <c r="R133" s="26">
        <v>0</v>
      </c>
      <c r="S133" s="26">
        <v>0</v>
      </c>
      <c r="T133" s="26">
        <v>0</v>
      </c>
      <c r="U133" s="26">
        <v>0</v>
      </c>
      <c r="V133" s="26">
        <v>0</v>
      </c>
      <c r="W133" s="26">
        <v>0</v>
      </c>
      <c r="X133" s="26">
        <v>0</v>
      </c>
      <c r="Y133" s="26">
        <v>0</v>
      </c>
      <c r="Z133" s="26">
        <v>0</v>
      </c>
      <c r="AA133" s="26">
        <f t="shared" si="6"/>
        <v>0</v>
      </c>
      <c r="AB133" s="107"/>
      <c r="AC133" s="107"/>
      <c r="AD133" s="107"/>
      <c r="AE133" s="107"/>
      <c r="AF133" s="107"/>
      <c r="AG133" s="107"/>
      <c r="AH133" s="107"/>
      <c r="AI133" s="107"/>
      <c r="AJ133" s="107"/>
      <c r="AK133" s="107"/>
      <c r="AL133" s="107"/>
      <c r="AM133" s="107"/>
      <c r="AN133" s="107"/>
      <c r="AO133" s="108"/>
      <c r="AP133" s="108"/>
      <c r="AQ133" s="108"/>
      <c r="AR133" s="108"/>
      <c r="AS133" s="108"/>
      <c r="AT133" s="108"/>
      <c r="AU133" s="108"/>
      <c r="AV133" s="108"/>
      <c r="AW133" s="108"/>
      <c r="AX133" s="108"/>
      <c r="AY133" s="108"/>
      <c r="AZ133" s="108"/>
      <c r="BA133" s="108"/>
      <c r="BB133" s="108"/>
    </row>
    <row r="134" spans="1:54" s="109" customFormat="1" ht="12" customHeight="1">
      <c r="A134" s="8">
        <v>1130805</v>
      </c>
      <c r="B134" s="8" t="s">
        <v>818</v>
      </c>
      <c r="C134" s="8" t="str">
        <f>+VLOOKUP(A134,Clasificaciones!$C$4:$H$887,6,0)</f>
        <v>Otros Activos Corrientes</v>
      </c>
      <c r="D134" s="92">
        <f>+VLOOKUP(A134,Clasificaciones!C:I,5,FALSE)</f>
        <v>129477</v>
      </c>
      <c r="E134" s="92">
        <v>0</v>
      </c>
      <c r="F134" s="92">
        <v>0</v>
      </c>
      <c r="G134" s="92">
        <f>+VLOOKUP(A134,Clasificaciones!C:M,9,FALSE)</f>
        <v>0</v>
      </c>
      <c r="H134" s="92">
        <f t="shared" si="17"/>
        <v>129477</v>
      </c>
      <c r="I134" s="26">
        <v>0</v>
      </c>
      <c r="J134" s="26">
        <v>0</v>
      </c>
      <c r="K134" s="26"/>
      <c r="L134" s="26">
        <v>0</v>
      </c>
      <c r="M134" s="26">
        <f>-H134</f>
        <v>-129477</v>
      </c>
      <c r="N134" s="26">
        <v>0</v>
      </c>
      <c r="O134" s="26">
        <v>0</v>
      </c>
      <c r="P134" s="26">
        <v>0</v>
      </c>
      <c r="Q134" s="26">
        <v>0</v>
      </c>
      <c r="R134" s="26">
        <v>0</v>
      </c>
      <c r="S134" s="26">
        <v>0</v>
      </c>
      <c r="T134" s="26">
        <v>0</v>
      </c>
      <c r="U134" s="26">
        <v>0</v>
      </c>
      <c r="V134" s="26">
        <v>0</v>
      </c>
      <c r="W134" s="26">
        <v>0</v>
      </c>
      <c r="X134" s="26">
        <v>0</v>
      </c>
      <c r="Y134" s="26">
        <v>0</v>
      </c>
      <c r="Z134" s="26">
        <v>0</v>
      </c>
      <c r="AA134" s="26">
        <f t="shared" ref="AA134:AA197" si="19">SUM(H134:Z134)</f>
        <v>0</v>
      </c>
      <c r="AB134" s="107"/>
      <c r="AC134" s="107"/>
      <c r="AD134" s="107"/>
      <c r="AE134" s="107"/>
      <c r="AF134" s="107"/>
      <c r="AG134" s="107"/>
      <c r="AH134" s="107"/>
      <c r="AI134" s="107"/>
      <c r="AJ134" s="107"/>
      <c r="AK134" s="107"/>
      <c r="AL134" s="107"/>
      <c r="AM134" s="107"/>
      <c r="AN134" s="107"/>
      <c r="AO134" s="108"/>
      <c r="AP134" s="108"/>
      <c r="AQ134" s="108"/>
      <c r="AR134" s="108"/>
      <c r="AS134" s="108"/>
      <c r="AT134" s="108"/>
      <c r="AU134" s="108"/>
      <c r="AV134" s="108"/>
      <c r="AW134" s="108"/>
      <c r="AX134" s="108"/>
      <c r="AY134" s="108"/>
      <c r="AZ134" s="108"/>
      <c r="BA134" s="108"/>
      <c r="BB134" s="108"/>
    </row>
    <row r="135" spans="1:54" s="109" customFormat="1" ht="12" customHeight="1">
      <c r="A135" s="8">
        <v>11309</v>
      </c>
      <c r="B135" s="8" t="s">
        <v>819</v>
      </c>
      <c r="C135" s="8"/>
      <c r="D135" s="92">
        <f>+VLOOKUP(A135,Clasificaciones!C:I,5,FALSE)</f>
        <v>0</v>
      </c>
      <c r="E135" s="92">
        <v>0</v>
      </c>
      <c r="F135" s="92">
        <v>0</v>
      </c>
      <c r="G135" s="92">
        <f>+VLOOKUP(A135,Clasificaciones!C:M,9,FALSE)</f>
        <v>0</v>
      </c>
      <c r="H135" s="92">
        <f t="shared" si="17"/>
        <v>0</v>
      </c>
      <c r="I135" s="26">
        <v>0</v>
      </c>
      <c r="J135" s="26">
        <v>0</v>
      </c>
      <c r="K135" s="26">
        <v>0</v>
      </c>
      <c r="L135" s="26">
        <v>0</v>
      </c>
      <c r="M135" s="26">
        <v>0</v>
      </c>
      <c r="N135" s="26">
        <v>0</v>
      </c>
      <c r="O135" s="26">
        <v>0</v>
      </c>
      <c r="P135" s="26">
        <v>0</v>
      </c>
      <c r="Q135" s="26">
        <v>0</v>
      </c>
      <c r="R135" s="26">
        <v>0</v>
      </c>
      <c r="S135" s="26">
        <v>0</v>
      </c>
      <c r="T135" s="26">
        <v>0</v>
      </c>
      <c r="U135" s="26">
        <v>0</v>
      </c>
      <c r="V135" s="26">
        <v>0</v>
      </c>
      <c r="W135" s="26">
        <v>0</v>
      </c>
      <c r="X135" s="26">
        <v>0</v>
      </c>
      <c r="Y135" s="26">
        <v>0</v>
      </c>
      <c r="Z135" s="26">
        <v>0</v>
      </c>
      <c r="AA135" s="26">
        <f t="shared" si="19"/>
        <v>0</v>
      </c>
      <c r="AB135" s="107"/>
      <c r="AC135" s="107"/>
      <c r="AD135" s="107"/>
      <c r="AE135" s="107"/>
      <c r="AF135" s="107"/>
      <c r="AG135" s="107"/>
      <c r="AH135" s="107"/>
      <c r="AI135" s="107"/>
      <c r="AJ135" s="107"/>
      <c r="AK135" s="107"/>
      <c r="AL135" s="107"/>
      <c r="AM135" s="107"/>
      <c r="AN135" s="107"/>
      <c r="AO135" s="108"/>
      <c r="AP135" s="108"/>
      <c r="AQ135" s="108"/>
      <c r="AR135" s="108"/>
      <c r="AS135" s="108"/>
      <c r="AT135" s="108"/>
      <c r="AU135" s="108"/>
      <c r="AV135" s="108"/>
      <c r="AW135" s="108"/>
      <c r="AX135" s="108"/>
      <c r="AY135" s="108"/>
      <c r="AZ135" s="108"/>
      <c r="BA135" s="108"/>
      <c r="BB135" s="108"/>
    </row>
    <row r="136" spans="1:54" s="109" customFormat="1" ht="12" customHeight="1">
      <c r="A136" s="8">
        <v>1130901</v>
      </c>
      <c r="B136" s="8" t="s">
        <v>1087</v>
      </c>
      <c r="C136" s="8"/>
      <c r="D136" s="92">
        <f>+VLOOKUP(A136,Clasificaciones!C:I,5,FALSE)</f>
        <v>0</v>
      </c>
      <c r="E136" s="92">
        <v>0</v>
      </c>
      <c r="F136" s="92">
        <v>0</v>
      </c>
      <c r="G136" s="92">
        <f>+VLOOKUP(A136,Clasificaciones!C:M,9,FALSE)</f>
        <v>0</v>
      </c>
      <c r="H136" s="92">
        <f t="shared" si="17"/>
        <v>0</v>
      </c>
      <c r="I136" s="26">
        <v>0</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0</v>
      </c>
      <c r="Z136" s="26">
        <v>0</v>
      </c>
      <c r="AA136" s="26">
        <f t="shared" si="19"/>
        <v>0</v>
      </c>
      <c r="AB136" s="107"/>
      <c r="AC136" s="107"/>
      <c r="AD136" s="107"/>
      <c r="AE136" s="107"/>
      <c r="AF136" s="107"/>
      <c r="AG136" s="107"/>
      <c r="AH136" s="107"/>
      <c r="AI136" s="107"/>
      <c r="AJ136" s="107"/>
      <c r="AK136" s="107"/>
      <c r="AL136" s="107"/>
      <c r="AM136" s="107"/>
      <c r="AN136" s="107"/>
      <c r="AO136" s="108"/>
      <c r="AP136" s="108"/>
      <c r="AQ136" s="108"/>
      <c r="AR136" s="108"/>
      <c r="AS136" s="108"/>
      <c r="AT136" s="108"/>
      <c r="AU136" s="108"/>
      <c r="AV136" s="108"/>
      <c r="AW136" s="108"/>
      <c r="AX136" s="108"/>
      <c r="AY136" s="108"/>
      <c r="AZ136" s="108"/>
      <c r="BA136" s="108"/>
      <c r="BB136" s="108"/>
    </row>
    <row r="137" spans="1:54" s="109" customFormat="1" ht="12" customHeight="1">
      <c r="A137" s="8">
        <v>113090101</v>
      </c>
      <c r="B137" s="8" t="s">
        <v>338</v>
      </c>
      <c r="C137" s="8"/>
      <c r="D137" s="92">
        <f>+VLOOKUP(A137,Clasificaciones!C:I,5,FALSE)</f>
        <v>0</v>
      </c>
      <c r="E137" s="92">
        <v>0</v>
      </c>
      <c r="F137" s="92">
        <v>0</v>
      </c>
      <c r="G137" s="92">
        <f>+VLOOKUP(A137,Clasificaciones!C:M,9,FALSE)</f>
        <v>0</v>
      </c>
      <c r="H137" s="92">
        <f t="shared" si="17"/>
        <v>0</v>
      </c>
      <c r="I137" s="26">
        <v>0</v>
      </c>
      <c r="J137" s="26">
        <v>0</v>
      </c>
      <c r="K137" s="26">
        <f>-H137</f>
        <v>0</v>
      </c>
      <c r="L137" s="26">
        <v>0</v>
      </c>
      <c r="M137" s="26">
        <v>0</v>
      </c>
      <c r="N137" s="26">
        <v>0</v>
      </c>
      <c r="O137" s="26">
        <v>0</v>
      </c>
      <c r="P137" s="26">
        <v>0</v>
      </c>
      <c r="Q137" s="26">
        <v>0</v>
      </c>
      <c r="R137" s="26">
        <v>0</v>
      </c>
      <c r="S137" s="26">
        <v>0</v>
      </c>
      <c r="T137" s="26">
        <v>0</v>
      </c>
      <c r="U137" s="26">
        <v>0</v>
      </c>
      <c r="V137" s="26">
        <v>0</v>
      </c>
      <c r="W137" s="26">
        <v>0</v>
      </c>
      <c r="X137" s="26">
        <v>0</v>
      </c>
      <c r="Y137" s="26">
        <v>0</v>
      </c>
      <c r="Z137" s="26">
        <v>0</v>
      </c>
      <c r="AA137" s="26">
        <f t="shared" si="19"/>
        <v>0</v>
      </c>
      <c r="AB137" s="107"/>
      <c r="AC137" s="107"/>
      <c r="AD137" s="107"/>
      <c r="AE137" s="107"/>
      <c r="AF137" s="107"/>
      <c r="AG137" s="107"/>
      <c r="AH137" s="107"/>
      <c r="AI137" s="107"/>
      <c r="AJ137" s="107"/>
      <c r="AK137" s="107"/>
      <c r="AL137" s="107"/>
      <c r="AM137" s="107"/>
      <c r="AN137" s="107"/>
      <c r="AO137" s="108"/>
      <c r="AP137" s="108"/>
      <c r="AQ137" s="108"/>
      <c r="AR137" s="108"/>
      <c r="AS137" s="108"/>
      <c r="AT137" s="108"/>
      <c r="AU137" s="108"/>
      <c r="AV137" s="108"/>
      <c r="AW137" s="108"/>
      <c r="AX137" s="108"/>
      <c r="AY137" s="108"/>
      <c r="AZ137" s="108"/>
      <c r="BA137" s="108"/>
      <c r="BB137" s="108"/>
    </row>
    <row r="138" spans="1:54" s="106" customFormat="1" ht="12" customHeight="1">
      <c r="A138" s="8">
        <v>113090102</v>
      </c>
      <c r="B138" s="8" t="s">
        <v>1088</v>
      </c>
      <c r="C138" s="8"/>
      <c r="D138" s="92">
        <f>+VLOOKUP(A138,Clasificaciones!C:I,5,FALSE)</f>
        <v>0</v>
      </c>
      <c r="E138" s="92">
        <v>0</v>
      </c>
      <c r="F138" s="92">
        <v>0</v>
      </c>
      <c r="G138" s="92">
        <f>+VLOOKUP(A138,Clasificaciones!C:M,9,FALSE)</f>
        <v>0</v>
      </c>
      <c r="H138" s="92">
        <f t="shared" si="17"/>
        <v>0</v>
      </c>
      <c r="I138" s="26">
        <v>0</v>
      </c>
      <c r="J138" s="26">
        <v>0</v>
      </c>
      <c r="K138" s="26">
        <f>-H138</f>
        <v>0</v>
      </c>
      <c r="L138" s="26">
        <v>0</v>
      </c>
      <c r="M138" s="26">
        <v>0</v>
      </c>
      <c r="N138" s="26">
        <v>0</v>
      </c>
      <c r="O138" s="26">
        <v>0</v>
      </c>
      <c r="P138" s="26">
        <v>0</v>
      </c>
      <c r="Q138" s="26">
        <v>0</v>
      </c>
      <c r="R138" s="26">
        <v>0</v>
      </c>
      <c r="S138" s="26">
        <v>0</v>
      </c>
      <c r="T138" s="26">
        <v>0</v>
      </c>
      <c r="U138" s="26">
        <v>0</v>
      </c>
      <c r="V138" s="26">
        <v>0</v>
      </c>
      <c r="W138" s="26">
        <v>0</v>
      </c>
      <c r="X138" s="26">
        <v>0</v>
      </c>
      <c r="Y138" s="26">
        <v>0</v>
      </c>
      <c r="Z138" s="26">
        <v>0</v>
      </c>
      <c r="AA138" s="26">
        <f t="shared" si="19"/>
        <v>0</v>
      </c>
      <c r="AB138" s="110"/>
      <c r="AC138" s="110"/>
      <c r="AD138" s="110"/>
      <c r="AE138" s="110"/>
      <c r="AF138" s="110"/>
      <c r="AG138" s="110"/>
      <c r="AH138" s="110"/>
      <c r="AI138" s="110"/>
      <c r="AJ138" s="110"/>
      <c r="AK138" s="110"/>
      <c r="AL138" s="110"/>
      <c r="AM138" s="110"/>
      <c r="AN138" s="110"/>
      <c r="AO138" s="105"/>
      <c r="AP138" s="105"/>
      <c r="AQ138" s="105"/>
      <c r="AR138" s="105"/>
      <c r="AS138" s="105"/>
      <c r="AT138" s="105"/>
      <c r="AU138" s="105"/>
      <c r="AV138" s="105"/>
      <c r="AW138" s="105"/>
      <c r="AX138" s="105"/>
      <c r="AY138" s="105"/>
      <c r="AZ138" s="105"/>
      <c r="BA138" s="105"/>
      <c r="BB138" s="105"/>
    </row>
    <row r="139" spans="1:54" s="109" customFormat="1" ht="12" customHeight="1">
      <c r="A139" s="8">
        <v>1130902</v>
      </c>
      <c r="B139" s="8" t="s">
        <v>820</v>
      </c>
      <c r="C139" s="8"/>
      <c r="D139" s="92">
        <f>+VLOOKUP(A139,Clasificaciones!C:I,5,FALSE)</f>
        <v>0</v>
      </c>
      <c r="E139" s="92">
        <v>0</v>
      </c>
      <c r="F139" s="92">
        <v>0</v>
      </c>
      <c r="G139" s="92">
        <f>+VLOOKUP(A139,Clasificaciones!C:M,9,FALSE)</f>
        <v>0</v>
      </c>
      <c r="H139" s="92">
        <f t="shared" si="17"/>
        <v>0</v>
      </c>
      <c r="I139" s="26">
        <v>0</v>
      </c>
      <c r="J139" s="26">
        <v>0</v>
      </c>
      <c r="K139" s="26">
        <f>-H139</f>
        <v>0</v>
      </c>
      <c r="L139" s="26">
        <v>0</v>
      </c>
      <c r="M139" s="26">
        <v>0</v>
      </c>
      <c r="N139" s="26">
        <v>0</v>
      </c>
      <c r="O139" s="26">
        <v>0</v>
      </c>
      <c r="P139" s="26">
        <v>0</v>
      </c>
      <c r="Q139" s="26">
        <v>0</v>
      </c>
      <c r="R139" s="26">
        <v>0</v>
      </c>
      <c r="S139" s="26">
        <v>0</v>
      </c>
      <c r="T139" s="26">
        <v>0</v>
      </c>
      <c r="U139" s="26">
        <v>0</v>
      </c>
      <c r="V139" s="26">
        <v>0</v>
      </c>
      <c r="W139" s="26">
        <v>0</v>
      </c>
      <c r="X139" s="26">
        <v>0</v>
      </c>
      <c r="Y139" s="26">
        <v>0</v>
      </c>
      <c r="Z139" s="26">
        <v>0</v>
      </c>
      <c r="AA139" s="26">
        <f t="shared" si="19"/>
        <v>0</v>
      </c>
      <c r="AB139" s="107"/>
      <c r="AC139" s="107"/>
      <c r="AD139" s="107"/>
      <c r="AE139" s="107"/>
      <c r="AF139" s="107"/>
      <c r="AG139" s="107"/>
      <c r="AH139" s="107"/>
      <c r="AI139" s="107"/>
      <c r="AJ139" s="107"/>
      <c r="AK139" s="107"/>
      <c r="AL139" s="107"/>
      <c r="AM139" s="107"/>
      <c r="AN139" s="107"/>
      <c r="AO139" s="108"/>
      <c r="AP139" s="108"/>
      <c r="AQ139" s="108"/>
      <c r="AR139" s="108"/>
      <c r="AS139" s="108"/>
      <c r="AT139" s="108"/>
      <c r="AU139" s="108"/>
      <c r="AV139" s="108"/>
      <c r="AW139" s="108"/>
      <c r="AX139" s="108"/>
      <c r="AY139" s="108"/>
      <c r="AZ139" s="108"/>
      <c r="BA139" s="108"/>
      <c r="BB139" s="108"/>
    </row>
    <row r="140" spans="1:54" s="109" customFormat="1" ht="12" customHeight="1">
      <c r="A140" s="8">
        <v>113090201</v>
      </c>
      <c r="B140" s="8" t="s">
        <v>821</v>
      </c>
      <c r="C140" s="8" t="str">
        <f>+VLOOKUP(A140,Clasificaciones!$C$4:$H$887,6,0)</f>
        <v>Cuentas por cobrar a Personas y Empresas relacionadas</v>
      </c>
      <c r="D140" s="92">
        <f>+VLOOKUP(A140,Clasificaciones!C:I,5,FALSE)</f>
        <v>2276738</v>
      </c>
      <c r="E140" s="92">
        <v>0</v>
      </c>
      <c r="F140" s="92">
        <v>0</v>
      </c>
      <c r="G140" s="92">
        <f>+VLOOKUP(A140,Clasificaciones!C:M,9,FALSE)</f>
        <v>6370138</v>
      </c>
      <c r="H140" s="92">
        <f t="shared" si="17"/>
        <v>-4093400</v>
      </c>
      <c r="I140" s="26">
        <v>0</v>
      </c>
      <c r="J140" s="26">
        <v>0</v>
      </c>
      <c r="K140" s="26"/>
      <c r="L140" s="26">
        <v>0</v>
      </c>
      <c r="M140" s="26">
        <f>-H140</f>
        <v>4093400</v>
      </c>
      <c r="N140" s="26">
        <v>0</v>
      </c>
      <c r="O140" s="26">
        <v>0</v>
      </c>
      <c r="P140" s="26">
        <v>0</v>
      </c>
      <c r="Q140" s="26">
        <v>0</v>
      </c>
      <c r="R140" s="26">
        <v>0</v>
      </c>
      <c r="S140" s="26">
        <v>0</v>
      </c>
      <c r="T140" s="26">
        <v>0</v>
      </c>
      <c r="U140" s="26">
        <v>0</v>
      </c>
      <c r="V140" s="26">
        <v>0</v>
      </c>
      <c r="W140" s="26">
        <v>0</v>
      </c>
      <c r="X140" s="26">
        <v>0</v>
      </c>
      <c r="Y140" s="26">
        <v>0</v>
      </c>
      <c r="Z140" s="26">
        <v>0</v>
      </c>
      <c r="AA140" s="26">
        <f t="shared" si="19"/>
        <v>0</v>
      </c>
      <c r="AB140" s="107"/>
      <c r="AC140" s="107"/>
      <c r="AD140" s="107"/>
      <c r="AE140" s="107"/>
      <c r="AF140" s="107"/>
      <c r="AG140" s="107"/>
      <c r="AH140" s="107"/>
      <c r="AI140" s="107"/>
      <c r="AJ140" s="107"/>
      <c r="AK140" s="107"/>
      <c r="AL140" s="107"/>
      <c r="AM140" s="107"/>
      <c r="AN140" s="107"/>
      <c r="AO140" s="108"/>
      <c r="AP140" s="108"/>
      <c r="AQ140" s="108"/>
      <c r="AR140" s="108"/>
      <c r="AS140" s="108"/>
      <c r="AT140" s="108"/>
      <c r="AU140" s="108"/>
      <c r="AV140" s="108"/>
      <c r="AW140" s="108"/>
      <c r="AX140" s="108"/>
      <c r="AY140" s="108"/>
      <c r="AZ140" s="108"/>
      <c r="BA140" s="108"/>
      <c r="BB140" s="108"/>
    </row>
    <row r="141" spans="1:54" s="109" customFormat="1" ht="12" customHeight="1">
      <c r="A141" s="8">
        <v>115</v>
      </c>
      <c r="B141" s="8" t="s">
        <v>374</v>
      </c>
      <c r="C141" s="8"/>
      <c r="D141" s="92">
        <f>+VLOOKUP(A141,Clasificaciones!C:I,5,FALSE)</f>
        <v>0</v>
      </c>
      <c r="E141" s="92">
        <v>0</v>
      </c>
      <c r="F141" s="92">
        <v>0</v>
      </c>
      <c r="G141" s="92">
        <f>+VLOOKUP(A141,Clasificaciones!C:M,9,FALSE)</f>
        <v>0</v>
      </c>
      <c r="H141" s="92">
        <f t="shared" si="17"/>
        <v>0</v>
      </c>
      <c r="I141" s="26">
        <v>0</v>
      </c>
      <c r="J141" s="26">
        <v>0</v>
      </c>
      <c r="K141" s="26">
        <f>-H141</f>
        <v>0</v>
      </c>
      <c r="L141" s="26">
        <v>0</v>
      </c>
      <c r="M141" s="26">
        <v>0</v>
      </c>
      <c r="N141" s="26">
        <v>0</v>
      </c>
      <c r="O141" s="26">
        <v>0</v>
      </c>
      <c r="P141" s="26">
        <v>0</v>
      </c>
      <c r="Q141" s="26">
        <v>0</v>
      </c>
      <c r="R141" s="26">
        <v>0</v>
      </c>
      <c r="S141" s="26">
        <v>0</v>
      </c>
      <c r="T141" s="26">
        <v>0</v>
      </c>
      <c r="U141" s="26">
        <v>0</v>
      </c>
      <c r="V141" s="26">
        <v>0</v>
      </c>
      <c r="W141" s="26">
        <v>0</v>
      </c>
      <c r="X141" s="26">
        <v>0</v>
      </c>
      <c r="Y141" s="26">
        <v>0</v>
      </c>
      <c r="Z141" s="26">
        <v>0</v>
      </c>
      <c r="AA141" s="26">
        <f t="shared" si="19"/>
        <v>0</v>
      </c>
      <c r="AB141" s="107"/>
      <c r="AC141" s="107"/>
      <c r="AD141" s="107"/>
      <c r="AE141" s="107"/>
      <c r="AF141" s="107"/>
      <c r="AG141" s="107"/>
      <c r="AH141" s="107"/>
      <c r="AI141" s="107"/>
      <c r="AJ141" s="107"/>
      <c r="AK141" s="107"/>
      <c r="AL141" s="107"/>
      <c r="AM141" s="107"/>
      <c r="AN141" s="107"/>
      <c r="AO141" s="108"/>
      <c r="AP141" s="108"/>
      <c r="AQ141" s="108"/>
      <c r="AR141" s="108"/>
      <c r="AS141" s="108"/>
      <c r="AT141" s="108"/>
      <c r="AU141" s="108"/>
      <c r="AV141" s="108"/>
      <c r="AW141" s="108"/>
      <c r="AX141" s="108"/>
      <c r="AY141" s="108"/>
      <c r="AZ141" s="108"/>
      <c r="BA141" s="108"/>
      <c r="BB141" s="108"/>
    </row>
    <row r="142" spans="1:54" s="109" customFormat="1" ht="12" customHeight="1">
      <c r="A142" s="8">
        <v>11501</v>
      </c>
      <c r="B142" s="8" t="s">
        <v>330</v>
      </c>
      <c r="C142" s="8"/>
      <c r="D142" s="92">
        <f>+VLOOKUP(A142,Clasificaciones!C:I,5,FALSE)</f>
        <v>0</v>
      </c>
      <c r="E142" s="92">
        <v>0</v>
      </c>
      <c r="F142" s="92">
        <v>0</v>
      </c>
      <c r="G142" s="92">
        <f>+VLOOKUP(A142,Clasificaciones!C:M,9,FALSE)</f>
        <v>0</v>
      </c>
      <c r="H142" s="92">
        <f t="shared" si="17"/>
        <v>0</v>
      </c>
      <c r="I142" s="26">
        <v>0</v>
      </c>
      <c r="J142" s="26">
        <v>0</v>
      </c>
      <c r="K142" s="26">
        <v>0</v>
      </c>
      <c r="L142" s="26">
        <v>0</v>
      </c>
      <c r="M142" s="26">
        <v>0</v>
      </c>
      <c r="N142" s="26">
        <v>0</v>
      </c>
      <c r="O142" s="26">
        <v>0</v>
      </c>
      <c r="P142" s="26">
        <v>0</v>
      </c>
      <c r="Q142" s="26">
        <v>0</v>
      </c>
      <c r="R142" s="26">
        <v>0</v>
      </c>
      <c r="S142" s="26">
        <v>0</v>
      </c>
      <c r="T142" s="26">
        <v>0</v>
      </c>
      <c r="U142" s="26">
        <v>0</v>
      </c>
      <c r="V142" s="26">
        <v>0</v>
      </c>
      <c r="W142" s="26">
        <v>0</v>
      </c>
      <c r="X142" s="26">
        <v>0</v>
      </c>
      <c r="Y142" s="26">
        <v>0</v>
      </c>
      <c r="Z142" s="26">
        <v>0</v>
      </c>
      <c r="AA142" s="26">
        <f t="shared" si="19"/>
        <v>0</v>
      </c>
      <c r="AB142" s="107"/>
      <c r="AC142" s="107"/>
      <c r="AD142" s="107"/>
      <c r="AE142" s="107"/>
      <c r="AF142" s="107"/>
      <c r="AG142" s="107"/>
      <c r="AH142" s="107"/>
      <c r="AI142" s="107"/>
      <c r="AJ142" s="107"/>
      <c r="AK142" s="107"/>
      <c r="AL142" s="107"/>
      <c r="AM142" s="107"/>
      <c r="AN142" s="107"/>
      <c r="AO142" s="108"/>
      <c r="AP142" s="108"/>
      <c r="AQ142" s="108"/>
      <c r="AR142" s="108"/>
      <c r="AS142" s="108"/>
      <c r="AT142" s="108"/>
      <c r="AU142" s="108"/>
      <c r="AV142" s="108"/>
      <c r="AW142" s="108"/>
      <c r="AX142" s="108"/>
      <c r="AY142" s="108"/>
      <c r="AZ142" s="108"/>
      <c r="BA142" s="108"/>
      <c r="BB142" s="108"/>
    </row>
    <row r="143" spans="1:54" s="106" customFormat="1" ht="12" customHeight="1">
      <c r="A143" s="8">
        <v>1150101</v>
      </c>
      <c r="B143" s="8" t="s">
        <v>822</v>
      </c>
      <c r="C143" s="8"/>
      <c r="D143" s="92">
        <f>+VLOOKUP(A143,Clasificaciones!C:I,5,FALSE)</f>
        <v>0</v>
      </c>
      <c r="E143" s="92">
        <v>0</v>
      </c>
      <c r="F143" s="92">
        <v>0</v>
      </c>
      <c r="G143" s="92">
        <f>+VLOOKUP(A143,Clasificaciones!C:M,9,FALSE)</f>
        <v>0</v>
      </c>
      <c r="H143" s="92">
        <f t="shared" si="17"/>
        <v>0</v>
      </c>
      <c r="I143" s="26">
        <v>0</v>
      </c>
      <c r="J143" s="26">
        <v>0</v>
      </c>
      <c r="K143" s="26">
        <f>-H143</f>
        <v>0</v>
      </c>
      <c r="L143" s="26">
        <v>0</v>
      </c>
      <c r="M143" s="26">
        <v>0</v>
      </c>
      <c r="N143" s="26">
        <v>0</v>
      </c>
      <c r="O143" s="26">
        <v>0</v>
      </c>
      <c r="P143" s="26">
        <v>0</v>
      </c>
      <c r="Q143" s="26">
        <v>0</v>
      </c>
      <c r="R143" s="26">
        <v>0</v>
      </c>
      <c r="S143" s="26">
        <v>0</v>
      </c>
      <c r="T143" s="26">
        <v>0</v>
      </c>
      <c r="U143" s="26">
        <v>0</v>
      </c>
      <c r="V143" s="26">
        <v>0</v>
      </c>
      <c r="W143" s="26">
        <v>0</v>
      </c>
      <c r="X143" s="26">
        <v>0</v>
      </c>
      <c r="Y143" s="26">
        <v>0</v>
      </c>
      <c r="Z143" s="26">
        <v>0</v>
      </c>
      <c r="AA143" s="26">
        <f t="shared" si="19"/>
        <v>0</v>
      </c>
      <c r="AB143" s="110"/>
      <c r="AC143" s="110"/>
      <c r="AD143" s="110"/>
      <c r="AE143" s="110"/>
      <c r="AF143" s="110"/>
      <c r="AG143" s="110"/>
      <c r="AH143" s="110"/>
      <c r="AI143" s="110"/>
      <c r="AJ143" s="110"/>
      <c r="AK143" s="110"/>
      <c r="AL143" s="110"/>
      <c r="AM143" s="110"/>
      <c r="AN143" s="110"/>
      <c r="AO143" s="105"/>
      <c r="AP143" s="105"/>
      <c r="AQ143" s="105"/>
      <c r="AR143" s="105"/>
      <c r="AS143" s="105"/>
      <c r="AT143" s="105"/>
      <c r="AU143" s="105"/>
      <c r="AV143" s="105"/>
      <c r="AW143" s="105"/>
      <c r="AX143" s="105"/>
      <c r="AY143" s="105"/>
      <c r="AZ143" s="105"/>
      <c r="BA143" s="105"/>
      <c r="BB143" s="105"/>
    </row>
    <row r="144" spans="1:54" s="109" customFormat="1" ht="12" customHeight="1">
      <c r="A144" s="8">
        <v>1150102</v>
      </c>
      <c r="B144" s="8" t="s">
        <v>193</v>
      </c>
      <c r="C144" s="8"/>
      <c r="D144" s="92">
        <f>+VLOOKUP(A144,Clasificaciones!C:I,5,FALSE)</f>
        <v>0</v>
      </c>
      <c r="E144" s="92">
        <v>0</v>
      </c>
      <c r="F144" s="92">
        <v>0</v>
      </c>
      <c r="G144" s="92">
        <f>+VLOOKUP(A144,Clasificaciones!C:M,9,FALSE)</f>
        <v>0</v>
      </c>
      <c r="H144" s="92">
        <f t="shared" si="17"/>
        <v>0</v>
      </c>
      <c r="I144" s="26">
        <v>0</v>
      </c>
      <c r="J144" s="26">
        <v>0</v>
      </c>
      <c r="K144" s="26">
        <f t="shared" ref="K144:K146" si="20">-H144</f>
        <v>0</v>
      </c>
      <c r="L144" s="26">
        <v>0</v>
      </c>
      <c r="M144" s="26">
        <v>0</v>
      </c>
      <c r="N144" s="26">
        <v>0</v>
      </c>
      <c r="O144" s="26">
        <v>0</v>
      </c>
      <c r="P144" s="26">
        <v>0</v>
      </c>
      <c r="Q144" s="26">
        <v>0</v>
      </c>
      <c r="R144" s="26">
        <v>0</v>
      </c>
      <c r="S144" s="26">
        <v>0</v>
      </c>
      <c r="T144" s="26">
        <v>0</v>
      </c>
      <c r="U144" s="26">
        <v>0</v>
      </c>
      <c r="V144" s="26">
        <v>0</v>
      </c>
      <c r="W144" s="26">
        <v>0</v>
      </c>
      <c r="X144" s="26">
        <v>0</v>
      </c>
      <c r="Y144" s="26">
        <v>0</v>
      </c>
      <c r="Z144" s="26">
        <v>0</v>
      </c>
      <c r="AA144" s="26">
        <f t="shared" si="19"/>
        <v>0</v>
      </c>
      <c r="AB144" s="107"/>
      <c r="AC144" s="107"/>
      <c r="AD144" s="107"/>
      <c r="AE144" s="107"/>
      <c r="AF144" s="107"/>
      <c r="AG144" s="107"/>
      <c r="AH144" s="107"/>
      <c r="AI144" s="107"/>
      <c r="AJ144" s="107"/>
      <c r="AK144" s="107"/>
      <c r="AL144" s="107"/>
      <c r="AM144" s="107"/>
      <c r="AN144" s="107"/>
      <c r="AO144" s="108"/>
      <c r="AP144" s="108"/>
      <c r="AQ144" s="108"/>
      <c r="AR144" s="108"/>
      <c r="AS144" s="108"/>
      <c r="AT144" s="108"/>
      <c r="AU144" s="108"/>
      <c r="AV144" s="108"/>
      <c r="AW144" s="108"/>
      <c r="AX144" s="108"/>
      <c r="AY144" s="108"/>
      <c r="AZ144" s="108"/>
      <c r="BA144" s="108"/>
      <c r="BB144" s="108"/>
    </row>
    <row r="145" spans="1:54" s="109" customFormat="1" ht="12" customHeight="1">
      <c r="A145" s="8">
        <v>1150103</v>
      </c>
      <c r="B145" s="8" t="s">
        <v>1094</v>
      </c>
      <c r="C145" s="8" t="str">
        <f>+VLOOKUP(A145,Clasificaciones!$C$4:$H$887,6,0)</f>
        <v>Otros Activos Corrientes</v>
      </c>
      <c r="D145" s="92">
        <f>+VLOOKUP(A145,Clasificaciones!C:I,5,FALSE)</f>
        <v>2472234</v>
      </c>
      <c r="E145" s="92">
        <v>0</v>
      </c>
      <c r="F145" s="92">
        <v>0</v>
      </c>
      <c r="G145" s="92">
        <f>+VLOOKUP(A145,Clasificaciones!C:M,9,FALSE)</f>
        <v>0</v>
      </c>
      <c r="H145" s="92">
        <f t="shared" si="17"/>
        <v>2472234</v>
      </c>
      <c r="I145" s="26">
        <v>0</v>
      </c>
      <c r="J145" s="26">
        <v>0</v>
      </c>
      <c r="K145" s="26"/>
      <c r="L145" s="26">
        <v>0</v>
      </c>
      <c r="M145" s="26">
        <f>-H145</f>
        <v>-2472234</v>
      </c>
      <c r="N145" s="26">
        <v>0</v>
      </c>
      <c r="O145" s="26">
        <v>0</v>
      </c>
      <c r="P145" s="26">
        <v>0</v>
      </c>
      <c r="Q145" s="26">
        <v>0</v>
      </c>
      <c r="R145" s="26">
        <v>0</v>
      </c>
      <c r="S145" s="26">
        <v>0</v>
      </c>
      <c r="T145" s="26">
        <v>0</v>
      </c>
      <c r="U145" s="26">
        <v>0</v>
      </c>
      <c r="V145" s="26">
        <v>0</v>
      </c>
      <c r="W145" s="26">
        <v>0</v>
      </c>
      <c r="X145" s="26">
        <v>0</v>
      </c>
      <c r="Y145" s="26">
        <v>0</v>
      </c>
      <c r="Z145" s="26">
        <v>0</v>
      </c>
      <c r="AA145" s="26">
        <f t="shared" si="19"/>
        <v>0</v>
      </c>
      <c r="AB145" s="107"/>
      <c r="AC145" s="107"/>
      <c r="AD145" s="107"/>
      <c r="AE145" s="107"/>
      <c r="AF145" s="107"/>
      <c r="AG145" s="107"/>
      <c r="AH145" s="107"/>
      <c r="AI145" s="107"/>
      <c r="AJ145" s="107"/>
      <c r="AK145" s="107"/>
      <c r="AL145" s="107"/>
      <c r="AM145" s="107"/>
      <c r="AN145" s="107"/>
      <c r="AO145" s="108"/>
      <c r="AP145" s="108"/>
      <c r="AQ145" s="108"/>
      <c r="AR145" s="108"/>
      <c r="AS145" s="108"/>
      <c r="AT145" s="108"/>
      <c r="AU145" s="108"/>
      <c r="AV145" s="108"/>
      <c r="AW145" s="108"/>
      <c r="AX145" s="108"/>
      <c r="AY145" s="108"/>
      <c r="AZ145" s="108"/>
      <c r="BA145" s="108"/>
      <c r="BB145" s="108"/>
    </row>
    <row r="146" spans="1:54" s="106" customFormat="1" ht="12" customHeight="1">
      <c r="A146" s="8">
        <v>1150104</v>
      </c>
      <c r="B146" s="8" t="s">
        <v>823</v>
      </c>
      <c r="C146" s="8"/>
      <c r="D146" s="92">
        <f>+VLOOKUP(A146,Clasificaciones!C:I,5,FALSE)</f>
        <v>0</v>
      </c>
      <c r="E146" s="92">
        <v>0</v>
      </c>
      <c r="F146" s="92">
        <v>0</v>
      </c>
      <c r="G146" s="92">
        <f>+VLOOKUP(A146,Clasificaciones!C:M,9,FALSE)</f>
        <v>0</v>
      </c>
      <c r="H146" s="92">
        <f t="shared" si="17"/>
        <v>0</v>
      </c>
      <c r="I146" s="26">
        <v>0</v>
      </c>
      <c r="J146" s="26">
        <v>0</v>
      </c>
      <c r="K146" s="26">
        <f t="shared" si="20"/>
        <v>0</v>
      </c>
      <c r="L146" s="26">
        <v>0</v>
      </c>
      <c r="M146" s="26">
        <v>0</v>
      </c>
      <c r="N146" s="26">
        <v>0</v>
      </c>
      <c r="O146" s="26">
        <v>0</v>
      </c>
      <c r="P146" s="26">
        <v>0</v>
      </c>
      <c r="Q146" s="26">
        <v>0</v>
      </c>
      <c r="R146" s="26">
        <v>0</v>
      </c>
      <c r="S146" s="26">
        <v>0</v>
      </c>
      <c r="T146" s="26">
        <v>0</v>
      </c>
      <c r="U146" s="26">
        <v>0</v>
      </c>
      <c r="V146" s="26">
        <v>0</v>
      </c>
      <c r="W146" s="26">
        <v>0</v>
      </c>
      <c r="X146" s="26">
        <v>0</v>
      </c>
      <c r="Y146" s="26">
        <v>0</v>
      </c>
      <c r="Z146" s="26">
        <v>0</v>
      </c>
      <c r="AA146" s="26">
        <f t="shared" si="19"/>
        <v>0</v>
      </c>
      <c r="AB146" s="110"/>
      <c r="AC146" s="110"/>
      <c r="AD146" s="110"/>
      <c r="AE146" s="110"/>
      <c r="AF146" s="110"/>
      <c r="AG146" s="110"/>
      <c r="AH146" s="110"/>
      <c r="AI146" s="110"/>
      <c r="AJ146" s="110"/>
      <c r="AK146" s="110"/>
      <c r="AL146" s="110"/>
      <c r="AM146" s="110"/>
      <c r="AN146" s="110"/>
      <c r="AO146" s="105"/>
      <c r="AP146" s="105"/>
      <c r="AQ146" s="105"/>
      <c r="AR146" s="105"/>
      <c r="AS146" s="105"/>
      <c r="AT146" s="105"/>
      <c r="AU146" s="105"/>
      <c r="AV146" s="105"/>
      <c r="AW146" s="105"/>
      <c r="AX146" s="105"/>
      <c r="AY146" s="105"/>
      <c r="AZ146" s="105"/>
      <c r="BA146" s="105"/>
      <c r="BB146" s="105"/>
    </row>
    <row r="147" spans="1:54" s="106" customFormat="1" ht="12" customHeight="1">
      <c r="A147" s="8">
        <v>1150105</v>
      </c>
      <c r="B147" s="8" t="s">
        <v>1363</v>
      </c>
      <c r="C147" s="8" t="str">
        <f>+VLOOKUP(A147,Clasificaciones!$C$4:$H$887,6,0)</f>
        <v>Otros Activos Corrientes</v>
      </c>
      <c r="D147" s="92">
        <f>+VLOOKUP(A147,Clasificaciones!C:I,5,FALSE)</f>
        <v>12613510</v>
      </c>
      <c r="E147" s="92">
        <v>0</v>
      </c>
      <c r="F147" s="92">
        <v>0</v>
      </c>
      <c r="G147" s="92">
        <f>+VLOOKUP(A147,Clasificaciones!C:M,9,FALSE)</f>
        <v>0</v>
      </c>
      <c r="H147" s="92">
        <f t="shared" si="17"/>
        <v>12613510</v>
      </c>
      <c r="I147" s="26">
        <v>0</v>
      </c>
      <c r="J147" s="26">
        <v>0</v>
      </c>
      <c r="K147" s="26"/>
      <c r="L147" s="26">
        <v>0</v>
      </c>
      <c r="M147" s="26">
        <f t="shared" ref="M147:M149" si="21">-H147</f>
        <v>-12613510</v>
      </c>
      <c r="N147" s="26">
        <v>0</v>
      </c>
      <c r="O147" s="26">
        <v>0</v>
      </c>
      <c r="P147" s="26">
        <v>0</v>
      </c>
      <c r="Q147" s="26">
        <v>0</v>
      </c>
      <c r="R147" s="26">
        <v>0</v>
      </c>
      <c r="S147" s="26">
        <v>0</v>
      </c>
      <c r="T147" s="26">
        <v>0</v>
      </c>
      <c r="U147" s="26">
        <v>0</v>
      </c>
      <c r="V147" s="26">
        <v>0</v>
      </c>
      <c r="W147" s="26">
        <v>0</v>
      </c>
      <c r="X147" s="26">
        <v>0</v>
      </c>
      <c r="Y147" s="26">
        <v>0</v>
      </c>
      <c r="Z147" s="26">
        <v>0</v>
      </c>
      <c r="AA147" s="26">
        <f t="shared" si="19"/>
        <v>0</v>
      </c>
      <c r="AB147" s="110"/>
      <c r="AC147" s="110"/>
      <c r="AD147" s="110"/>
      <c r="AE147" s="110"/>
      <c r="AF147" s="110"/>
      <c r="AG147" s="110"/>
      <c r="AH147" s="110"/>
      <c r="AI147" s="110"/>
      <c r="AJ147" s="110"/>
      <c r="AK147" s="110"/>
      <c r="AL147" s="110"/>
      <c r="AM147" s="110"/>
      <c r="AN147" s="110"/>
      <c r="AO147" s="105"/>
      <c r="AP147" s="105"/>
      <c r="AQ147" s="105"/>
      <c r="AR147" s="105"/>
      <c r="AS147" s="105"/>
      <c r="AT147" s="105"/>
      <c r="AU147" s="105"/>
      <c r="AV147" s="105"/>
      <c r="AW147" s="105"/>
      <c r="AX147" s="105"/>
      <c r="AY147" s="105"/>
      <c r="AZ147" s="105"/>
      <c r="BA147" s="105"/>
      <c r="BB147" s="105"/>
    </row>
    <row r="148" spans="1:54" s="106" customFormat="1" ht="12" customHeight="1">
      <c r="A148" s="8">
        <v>1150106</v>
      </c>
      <c r="B148" s="8" t="s">
        <v>1364</v>
      </c>
      <c r="C148" s="8" t="str">
        <f>+VLOOKUP(A148,Clasificaciones!$C$4:$H$887,6,0)</f>
        <v>Otros Activos Corrientes</v>
      </c>
      <c r="D148" s="92">
        <f>+VLOOKUP(A148,Clasificaciones!C:I,5,FALSE)</f>
        <v>1360304</v>
      </c>
      <c r="E148" s="92">
        <v>0</v>
      </c>
      <c r="F148" s="92">
        <v>0</v>
      </c>
      <c r="G148" s="92">
        <f>+VLOOKUP(A148,Clasificaciones!C:M,9,FALSE)</f>
        <v>0</v>
      </c>
      <c r="H148" s="92">
        <f t="shared" si="17"/>
        <v>1360304</v>
      </c>
      <c r="I148" s="26">
        <v>0</v>
      </c>
      <c r="J148" s="26">
        <v>0</v>
      </c>
      <c r="K148" s="26"/>
      <c r="L148" s="26">
        <v>0</v>
      </c>
      <c r="M148" s="26">
        <f t="shared" si="21"/>
        <v>-1360304</v>
      </c>
      <c r="N148" s="26">
        <v>0</v>
      </c>
      <c r="O148" s="26">
        <v>0</v>
      </c>
      <c r="P148" s="26">
        <v>0</v>
      </c>
      <c r="Q148" s="26">
        <v>0</v>
      </c>
      <c r="R148" s="26">
        <v>0</v>
      </c>
      <c r="S148" s="26">
        <v>0</v>
      </c>
      <c r="T148" s="26">
        <v>0</v>
      </c>
      <c r="U148" s="26">
        <v>0</v>
      </c>
      <c r="V148" s="26">
        <v>0</v>
      </c>
      <c r="W148" s="26">
        <v>0</v>
      </c>
      <c r="X148" s="26">
        <v>0</v>
      </c>
      <c r="Y148" s="26">
        <v>0</v>
      </c>
      <c r="Z148" s="26">
        <v>0</v>
      </c>
      <c r="AA148" s="26">
        <f t="shared" si="19"/>
        <v>0</v>
      </c>
      <c r="AB148" s="110"/>
      <c r="AC148" s="110"/>
      <c r="AD148" s="110"/>
      <c r="AE148" s="110"/>
      <c r="AF148" s="110"/>
      <c r="AG148" s="110"/>
      <c r="AH148" s="110"/>
      <c r="AI148" s="110"/>
      <c r="AJ148" s="110"/>
      <c r="AK148" s="110"/>
      <c r="AL148" s="110"/>
      <c r="AM148" s="110"/>
      <c r="AN148" s="110"/>
      <c r="AO148" s="105"/>
      <c r="AP148" s="105"/>
      <c r="AQ148" s="105"/>
      <c r="AR148" s="105"/>
      <c r="AS148" s="105"/>
      <c r="AT148" s="105"/>
      <c r="AU148" s="105"/>
      <c r="AV148" s="105"/>
      <c r="AW148" s="105"/>
      <c r="AX148" s="105"/>
      <c r="AY148" s="105"/>
      <c r="AZ148" s="105"/>
      <c r="BA148" s="105"/>
      <c r="BB148" s="105"/>
    </row>
    <row r="149" spans="1:54" s="106" customFormat="1" ht="12" customHeight="1">
      <c r="A149" s="8">
        <v>1150107</v>
      </c>
      <c r="B149" s="8" t="s">
        <v>1415</v>
      </c>
      <c r="C149" s="8" t="str">
        <f>+VLOOKUP(A149,Clasificaciones!$C$4:$H$887,6,0)</f>
        <v>Otros Activos Corrientes</v>
      </c>
      <c r="D149" s="92">
        <f>+VLOOKUP(A149,Clasificaciones!C:I,5,FALSE)</f>
        <v>5866855</v>
      </c>
      <c r="E149" s="92">
        <v>0</v>
      </c>
      <c r="F149" s="92">
        <v>0</v>
      </c>
      <c r="G149" s="92">
        <f>+VLOOKUP(A149,Clasificaciones!C:M,9,FALSE)</f>
        <v>0</v>
      </c>
      <c r="H149" s="92">
        <f t="shared" ref="H149" si="22">+D149-G149+E149-F149</f>
        <v>5866855</v>
      </c>
      <c r="I149" s="26">
        <v>0</v>
      </c>
      <c r="J149" s="26">
        <v>0</v>
      </c>
      <c r="K149" s="26"/>
      <c r="L149" s="26">
        <v>0</v>
      </c>
      <c r="M149" s="26">
        <f t="shared" si="21"/>
        <v>-5866855</v>
      </c>
      <c r="N149" s="26">
        <v>0</v>
      </c>
      <c r="O149" s="26">
        <v>0</v>
      </c>
      <c r="P149" s="26">
        <v>0</v>
      </c>
      <c r="Q149" s="26">
        <v>0</v>
      </c>
      <c r="R149" s="26">
        <v>0</v>
      </c>
      <c r="S149" s="26">
        <v>0</v>
      </c>
      <c r="T149" s="26">
        <v>0</v>
      </c>
      <c r="U149" s="26">
        <v>0</v>
      </c>
      <c r="V149" s="26">
        <v>0</v>
      </c>
      <c r="W149" s="26">
        <v>0</v>
      </c>
      <c r="X149" s="26">
        <v>0</v>
      </c>
      <c r="Y149" s="26">
        <v>0</v>
      </c>
      <c r="Z149" s="26">
        <v>0</v>
      </c>
      <c r="AA149" s="26">
        <f t="shared" si="19"/>
        <v>0</v>
      </c>
      <c r="AB149" s="110"/>
      <c r="AC149" s="110"/>
      <c r="AD149" s="110"/>
      <c r="AE149" s="110"/>
      <c r="AF149" s="110"/>
      <c r="AG149" s="110"/>
      <c r="AH149" s="110"/>
      <c r="AI149" s="110"/>
      <c r="AJ149" s="110"/>
      <c r="AK149" s="110"/>
      <c r="AL149" s="110"/>
      <c r="AM149" s="110"/>
      <c r="AN149" s="110"/>
      <c r="AO149" s="105"/>
      <c r="AP149" s="105"/>
      <c r="AQ149" s="105"/>
      <c r="AR149" s="105"/>
      <c r="AS149" s="105"/>
      <c r="AT149" s="105"/>
      <c r="AU149" s="105"/>
      <c r="AV149" s="105"/>
      <c r="AW149" s="105"/>
      <c r="AX149" s="105"/>
      <c r="AY149" s="105"/>
      <c r="AZ149" s="105"/>
      <c r="BA149" s="105"/>
      <c r="BB149" s="105"/>
    </row>
    <row r="150" spans="1:54" s="109" customFormat="1" ht="12" customHeight="1">
      <c r="A150" s="8">
        <v>11502</v>
      </c>
      <c r="B150" s="8" t="s">
        <v>824</v>
      </c>
      <c r="C150" s="8"/>
      <c r="D150" s="92">
        <f>+VLOOKUP(A150,Clasificaciones!C:I,5,FALSE)</f>
        <v>0</v>
      </c>
      <c r="E150" s="92">
        <v>0</v>
      </c>
      <c r="F150" s="92">
        <v>0</v>
      </c>
      <c r="G150" s="92">
        <f>+VLOOKUP(A150,Clasificaciones!C:M,9,FALSE)</f>
        <v>0</v>
      </c>
      <c r="H150" s="92">
        <f t="shared" si="17"/>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c r="Z150" s="26">
        <v>0</v>
      </c>
      <c r="AA150" s="26">
        <f t="shared" si="19"/>
        <v>0</v>
      </c>
      <c r="AB150" s="107"/>
      <c r="AC150" s="107"/>
      <c r="AD150" s="107"/>
      <c r="AE150" s="107"/>
      <c r="AF150" s="107"/>
      <c r="AG150" s="107"/>
      <c r="AH150" s="107"/>
      <c r="AI150" s="107"/>
      <c r="AJ150" s="107"/>
      <c r="AK150" s="107"/>
      <c r="AL150" s="107"/>
      <c r="AM150" s="107"/>
      <c r="AN150" s="107"/>
      <c r="AO150" s="108"/>
      <c r="AP150" s="108"/>
      <c r="AQ150" s="108"/>
      <c r="AR150" s="108"/>
      <c r="AS150" s="108"/>
      <c r="AT150" s="108"/>
      <c r="AU150" s="108"/>
      <c r="AV150" s="108"/>
      <c r="AW150" s="108"/>
      <c r="AX150" s="108"/>
      <c r="AY150" s="108"/>
      <c r="AZ150" s="108"/>
      <c r="BA150" s="108"/>
      <c r="BB150" s="108"/>
    </row>
    <row r="151" spans="1:54" s="109" customFormat="1" ht="12" customHeight="1">
      <c r="A151" s="8">
        <v>1150205</v>
      </c>
      <c r="B151" s="8" t="s">
        <v>624</v>
      </c>
      <c r="C151" s="8" t="str">
        <f>+VLOOKUP(A151,Clasificaciones!$C$4:$H$887,6,0)</f>
        <v>Otros Activos Corrientes</v>
      </c>
      <c r="D151" s="92">
        <f>+VLOOKUP(A151,Clasificaciones!C:I,5,FALSE)</f>
        <v>6444980</v>
      </c>
      <c r="E151" s="92">
        <v>0</v>
      </c>
      <c r="F151" s="92">
        <v>0</v>
      </c>
      <c r="G151" s="92">
        <f>+VLOOKUP(A151,Clasificaciones!C:M,9,FALSE)</f>
        <v>6170980</v>
      </c>
      <c r="H151" s="92">
        <f t="shared" si="17"/>
        <v>274000</v>
      </c>
      <c r="I151" s="26">
        <v>0</v>
      </c>
      <c r="J151" s="26">
        <v>0</v>
      </c>
      <c r="K151" s="26"/>
      <c r="L151" s="26">
        <v>0</v>
      </c>
      <c r="M151" s="26">
        <f>-H151</f>
        <v>-274000</v>
      </c>
      <c r="N151" s="26">
        <v>0</v>
      </c>
      <c r="O151" s="26">
        <v>0</v>
      </c>
      <c r="P151" s="26">
        <v>0</v>
      </c>
      <c r="Q151" s="26">
        <v>0</v>
      </c>
      <c r="R151" s="26">
        <v>0</v>
      </c>
      <c r="S151" s="26">
        <v>0</v>
      </c>
      <c r="T151" s="26">
        <v>0</v>
      </c>
      <c r="U151" s="26">
        <v>0</v>
      </c>
      <c r="V151" s="26">
        <v>0</v>
      </c>
      <c r="W151" s="26">
        <v>0</v>
      </c>
      <c r="X151" s="26">
        <v>0</v>
      </c>
      <c r="Y151" s="26">
        <v>0</v>
      </c>
      <c r="Z151" s="26">
        <v>0</v>
      </c>
      <c r="AA151" s="26">
        <f t="shared" si="19"/>
        <v>0</v>
      </c>
      <c r="AB151" s="107"/>
      <c r="AC151" s="107"/>
      <c r="AD151" s="107"/>
      <c r="AE151" s="107"/>
      <c r="AF151" s="107"/>
      <c r="AG151" s="107"/>
      <c r="AH151" s="107"/>
      <c r="AI151" s="107"/>
      <c r="AJ151" s="107"/>
      <c r="AK151" s="107"/>
      <c r="AL151" s="107"/>
      <c r="AM151" s="107"/>
      <c r="AN151" s="107"/>
      <c r="AO151" s="108"/>
      <c r="AP151" s="108"/>
      <c r="AQ151" s="108"/>
      <c r="AR151" s="108"/>
      <c r="AS151" s="108"/>
      <c r="AT151" s="108"/>
      <c r="AU151" s="108"/>
      <c r="AV151" s="108"/>
      <c r="AW151" s="108"/>
      <c r="AX151" s="108"/>
      <c r="AY151" s="108"/>
      <c r="AZ151" s="108"/>
      <c r="BA151" s="108"/>
      <c r="BB151" s="108"/>
    </row>
    <row r="152" spans="1:54" s="109" customFormat="1" ht="12" customHeight="1">
      <c r="A152" s="8">
        <v>12</v>
      </c>
      <c r="B152" s="8" t="s">
        <v>7</v>
      </c>
      <c r="C152" s="8"/>
      <c r="D152" s="92">
        <f>+VLOOKUP(A152,Clasificaciones!C:I,5,FALSE)</f>
        <v>0</v>
      </c>
      <c r="E152" s="92">
        <v>0</v>
      </c>
      <c r="F152" s="92">
        <v>0</v>
      </c>
      <c r="G152" s="92">
        <f>+VLOOKUP(A152,Clasificaciones!C:M,9,FALSE)</f>
        <v>0</v>
      </c>
      <c r="H152" s="92">
        <f t="shared" si="17"/>
        <v>0</v>
      </c>
      <c r="I152" s="26">
        <v>0</v>
      </c>
      <c r="J152" s="26">
        <v>0</v>
      </c>
      <c r="K152" s="26">
        <v>0</v>
      </c>
      <c r="L152" s="26">
        <v>0</v>
      </c>
      <c r="M152" s="26">
        <v>0</v>
      </c>
      <c r="N152" s="26">
        <v>0</v>
      </c>
      <c r="O152" s="26">
        <v>0</v>
      </c>
      <c r="P152" s="26">
        <v>0</v>
      </c>
      <c r="Q152" s="26">
        <v>0</v>
      </c>
      <c r="R152" s="26">
        <v>0</v>
      </c>
      <c r="S152" s="26">
        <v>0</v>
      </c>
      <c r="T152" s="26">
        <v>0</v>
      </c>
      <c r="U152" s="26">
        <v>0</v>
      </c>
      <c r="V152" s="26">
        <v>0</v>
      </c>
      <c r="W152" s="26">
        <v>0</v>
      </c>
      <c r="X152" s="26">
        <v>0</v>
      </c>
      <c r="Y152" s="26">
        <v>0</v>
      </c>
      <c r="Z152" s="26">
        <v>0</v>
      </c>
      <c r="AA152" s="26">
        <f t="shared" si="19"/>
        <v>0</v>
      </c>
      <c r="AB152" s="107"/>
      <c r="AC152" s="107"/>
      <c r="AD152" s="107"/>
      <c r="AE152" s="107"/>
      <c r="AF152" s="107"/>
      <c r="AG152" s="107"/>
      <c r="AH152" s="107"/>
      <c r="AI152" s="107"/>
      <c r="AJ152" s="107"/>
      <c r="AK152" s="107"/>
      <c r="AL152" s="107"/>
      <c r="AM152" s="107"/>
      <c r="AN152" s="107"/>
      <c r="AO152" s="108"/>
      <c r="AP152" s="108"/>
      <c r="AQ152" s="108"/>
      <c r="AR152" s="108"/>
      <c r="AS152" s="108"/>
      <c r="AT152" s="108"/>
      <c r="AU152" s="108"/>
      <c r="AV152" s="108"/>
      <c r="AW152" s="108"/>
      <c r="AX152" s="108"/>
      <c r="AY152" s="108"/>
      <c r="AZ152" s="108"/>
      <c r="BA152" s="108"/>
      <c r="BB152" s="108"/>
    </row>
    <row r="153" spans="1:54" s="109" customFormat="1" ht="12" customHeight="1">
      <c r="A153" s="8">
        <v>121</v>
      </c>
      <c r="B153" s="8" t="s">
        <v>162</v>
      </c>
      <c r="C153" s="8"/>
      <c r="D153" s="92">
        <f>+VLOOKUP(A153,Clasificaciones!C:I,5,FALSE)</f>
        <v>0</v>
      </c>
      <c r="E153" s="92">
        <v>0</v>
      </c>
      <c r="F153" s="92">
        <v>0</v>
      </c>
      <c r="G153" s="92">
        <f>+VLOOKUP(A153,Clasificaciones!C:M,9,FALSE)</f>
        <v>0</v>
      </c>
      <c r="H153" s="92">
        <f t="shared" si="17"/>
        <v>0</v>
      </c>
      <c r="I153" s="26">
        <v>0</v>
      </c>
      <c r="J153" s="26">
        <v>0</v>
      </c>
      <c r="K153" s="26">
        <v>0</v>
      </c>
      <c r="L153" s="26">
        <v>0</v>
      </c>
      <c r="M153" s="26">
        <v>0</v>
      </c>
      <c r="N153" s="26">
        <v>0</v>
      </c>
      <c r="O153" s="26">
        <v>0</v>
      </c>
      <c r="P153" s="26">
        <v>0</v>
      </c>
      <c r="Q153" s="26">
        <v>0</v>
      </c>
      <c r="R153" s="26">
        <v>0</v>
      </c>
      <c r="S153" s="26">
        <v>0</v>
      </c>
      <c r="T153" s="26">
        <v>0</v>
      </c>
      <c r="U153" s="26">
        <v>0</v>
      </c>
      <c r="V153" s="26">
        <v>0</v>
      </c>
      <c r="W153" s="26">
        <v>0</v>
      </c>
      <c r="X153" s="26">
        <v>0</v>
      </c>
      <c r="Y153" s="26">
        <v>0</v>
      </c>
      <c r="Z153" s="26">
        <v>0</v>
      </c>
      <c r="AA153" s="26">
        <f t="shared" si="19"/>
        <v>0</v>
      </c>
      <c r="AB153" s="107"/>
      <c r="AC153" s="107"/>
      <c r="AD153" s="107"/>
      <c r="AE153" s="107"/>
      <c r="AF153" s="107"/>
      <c r="AG153" s="107"/>
      <c r="AH153" s="107"/>
      <c r="AI153" s="107"/>
      <c r="AJ153" s="107"/>
      <c r="AK153" s="107"/>
      <c r="AL153" s="107"/>
      <c r="AM153" s="107"/>
      <c r="AN153" s="107"/>
      <c r="AO153" s="108"/>
      <c r="AP153" s="108"/>
      <c r="AQ153" s="108"/>
      <c r="AR153" s="108"/>
      <c r="AS153" s="108"/>
      <c r="AT153" s="108"/>
      <c r="AU153" s="108"/>
      <c r="AV153" s="108"/>
      <c r="AW153" s="108"/>
      <c r="AX153" s="108"/>
      <c r="AY153" s="108"/>
      <c r="AZ153" s="108"/>
      <c r="BA153" s="108"/>
      <c r="BB153" s="108"/>
    </row>
    <row r="154" spans="1:54" s="109" customFormat="1" ht="12" customHeight="1">
      <c r="A154" s="8">
        <v>12101</v>
      </c>
      <c r="B154" s="8" t="s">
        <v>825</v>
      </c>
      <c r="C154" s="8"/>
      <c r="D154" s="92">
        <f>+VLOOKUP(A154,Clasificaciones!C:I,5,FALSE)</f>
        <v>0</v>
      </c>
      <c r="E154" s="92">
        <v>0</v>
      </c>
      <c r="F154" s="92">
        <v>0</v>
      </c>
      <c r="G154" s="92">
        <f>+VLOOKUP(A154,Clasificaciones!C:M,9,FALSE)</f>
        <v>0</v>
      </c>
      <c r="H154" s="92">
        <f t="shared" si="17"/>
        <v>0</v>
      </c>
      <c r="I154" s="26">
        <v>0</v>
      </c>
      <c r="J154" s="26">
        <v>0</v>
      </c>
      <c r="K154" s="26">
        <v>0</v>
      </c>
      <c r="L154" s="26">
        <v>0</v>
      </c>
      <c r="M154" s="26">
        <v>0</v>
      </c>
      <c r="N154" s="26">
        <v>0</v>
      </c>
      <c r="O154" s="26">
        <f>-H154</f>
        <v>0</v>
      </c>
      <c r="P154" s="26">
        <v>0</v>
      </c>
      <c r="Q154" s="26">
        <v>0</v>
      </c>
      <c r="R154" s="26">
        <v>0</v>
      </c>
      <c r="S154" s="26">
        <v>0</v>
      </c>
      <c r="T154" s="26">
        <v>0</v>
      </c>
      <c r="U154" s="26">
        <v>0</v>
      </c>
      <c r="V154" s="26">
        <v>0</v>
      </c>
      <c r="W154" s="26">
        <v>0</v>
      </c>
      <c r="X154" s="26">
        <v>0</v>
      </c>
      <c r="Y154" s="26">
        <v>0</v>
      </c>
      <c r="Z154" s="26">
        <v>0</v>
      </c>
      <c r="AA154" s="26">
        <f t="shared" si="19"/>
        <v>0</v>
      </c>
      <c r="AB154" s="107"/>
      <c r="AC154" s="107"/>
      <c r="AD154" s="107"/>
      <c r="AE154" s="107"/>
      <c r="AF154" s="107"/>
      <c r="AG154" s="107"/>
      <c r="AH154" s="107"/>
      <c r="AI154" s="107"/>
      <c r="AJ154" s="107"/>
      <c r="AK154" s="107"/>
      <c r="AL154" s="107"/>
      <c r="AM154" s="107"/>
      <c r="AN154" s="107"/>
      <c r="AO154" s="108"/>
      <c r="AP154" s="108"/>
      <c r="AQ154" s="108"/>
      <c r="AR154" s="108"/>
      <c r="AS154" s="108"/>
      <c r="AT154" s="108"/>
      <c r="AU154" s="108"/>
      <c r="AV154" s="108"/>
      <c r="AW154" s="108"/>
      <c r="AX154" s="108"/>
      <c r="AY154" s="108"/>
      <c r="AZ154" s="108"/>
      <c r="BA154" s="108"/>
      <c r="BB154" s="108"/>
    </row>
    <row r="155" spans="1:54" s="109" customFormat="1" ht="12" customHeight="1">
      <c r="A155" s="8">
        <v>121011</v>
      </c>
      <c r="B155" s="8" t="s">
        <v>826</v>
      </c>
      <c r="C155" s="8"/>
      <c r="D155" s="92">
        <f>+VLOOKUP(A155,Clasificaciones!C:I,5,FALSE)</f>
        <v>0</v>
      </c>
      <c r="E155" s="92">
        <v>0</v>
      </c>
      <c r="F155" s="92">
        <v>0</v>
      </c>
      <c r="G155" s="92">
        <f>+VLOOKUP(A155,Clasificaciones!C:M,9,FALSE)</f>
        <v>0</v>
      </c>
      <c r="H155" s="92">
        <f t="shared" si="17"/>
        <v>0</v>
      </c>
      <c r="I155" s="26">
        <v>0</v>
      </c>
      <c r="J155" s="26">
        <v>0</v>
      </c>
      <c r="K155" s="26">
        <v>0</v>
      </c>
      <c r="L155" s="26">
        <v>0</v>
      </c>
      <c r="M155" s="26">
        <v>0</v>
      </c>
      <c r="N155" s="26">
        <v>0</v>
      </c>
      <c r="O155" s="26">
        <v>0</v>
      </c>
      <c r="P155" s="26">
        <v>0</v>
      </c>
      <c r="Q155" s="26">
        <v>0</v>
      </c>
      <c r="R155" s="26">
        <v>0</v>
      </c>
      <c r="S155" s="26">
        <v>0</v>
      </c>
      <c r="T155" s="26">
        <v>0</v>
      </c>
      <c r="U155" s="26">
        <v>0</v>
      </c>
      <c r="V155" s="26">
        <v>0</v>
      </c>
      <c r="W155" s="26">
        <v>0</v>
      </c>
      <c r="X155" s="26">
        <v>0</v>
      </c>
      <c r="Y155" s="26">
        <v>0</v>
      </c>
      <c r="Z155" s="26">
        <v>0</v>
      </c>
      <c r="AA155" s="26">
        <f t="shared" si="19"/>
        <v>0</v>
      </c>
      <c r="AB155" s="107"/>
      <c r="AC155" s="107"/>
      <c r="AD155" s="107"/>
      <c r="AE155" s="107"/>
      <c r="AF155" s="107"/>
      <c r="AG155" s="107"/>
      <c r="AH155" s="107"/>
      <c r="AI155" s="107"/>
      <c r="AJ155" s="107"/>
      <c r="AK155" s="107"/>
      <c r="AL155" s="107"/>
      <c r="AM155" s="107"/>
      <c r="AN155" s="107"/>
      <c r="AO155" s="108"/>
      <c r="AP155" s="108"/>
      <c r="AQ155" s="108"/>
      <c r="AR155" s="108"/>
      <c r="AS155" s="108"/>
      <c r="AT155" s="108"/>
      <c r="AU155" s="108"/>
      <c r="AV155" s="108"/>
      <c r="AW155" s="108"/>
      <c r="AX155" s="108"/>
      <c r="AY155" s="108"/>
      <c r="AZ155" s="108"/>
      <c r="BA155" s="108"/>
      <c r="BB155" s="108"/>
    </row>
    <row r="156" spans="1:54" s="109" customFormat="1" ht="12" customHeight="1">
      <c r="A156" s="8">
        <v>1120211101</v>
      </c>
      <c r="B156" s="8" t="s">
        <v>155</v>
      </c>
      <c r="C156" s="8"/>
      <c r="D156" s="92">
        <f>+VLOOKUP(A156,Clasificaciones!C:I,5,FALSE)</f>
        <v>0</v>
      </c>
      <c r="E156" s="92">
        <v>0</v>
      </c>
      <c r="F156" s="92">
        <v>0</v>
      </c>
      <c r="G156" s="92">
        <f>+VLOOKUP(A156,Clasificaciones!C:M,9,FALSE)</f>
        <v>170000000</v>
      </c>
      <c r="H156" s="92">
        <f t="shared" si="17"/>
        <v>-170000000</v>
      </c>
      <c r="I156" s="26">
        <v>0</v>
      </c>
      <c r="J156" s="26">
        <v>0</v>
      </c>
      <c r="K156" s="26">
        <v>0</v>
      </c>
      <c r="L156" s="26">
        <v>0</v>
      </c>
      <c r="M156" s="26">
        <v>0</v>
      </c>
      <c r="N156" s="26">
        <v>0</v>
      </c>
      <c r="O156" s="26">
        <v>0</v>
      </c>
      <c r="P156" s="26">
        <v>0</v>
      </c>
      <c r="Q156" s="26">
        <v>0</v>
      </c>
      <c r="R156" s="26">
        <v>0</v>
      </c>
      <c r="S156" s="26">
        <f>-H156</f>
        <v>170000000</v>
      </c>
      <c r="T156" s="26">
        <v>0</v>
      </c>
      <c r="U156" s="26">
        <v>0</v>
      </c>
      <c r="V156" s="26">
        <v>0</v>
      </c>
      <c r="W156" s="26">
        <v>0</v>
      </c>
      <c r="X156" s="26">
        <v>0</v>
      </c>
      <c r="Y156" s="26">
        <v>0</v>
      </c>
      <c r="Z156" s="26">
        <v>0</v>
      </c>
      <c r="AA156" s="26">
        <f t="shared" si="19"/>
        <v>0</v>
      </c>
      <c r="AB156" s="107"/>
      <c r="AC156" s="107"/>
      <c r="AD156" s="107"/>
      <c r="AE156" s="107"/>
      <c r="AF156" s="107"/>
      <c r="AG156" s="107"/>
      <c r="AH156" s="107"/>
      <c r="AI156" s="107"/>
      <c r="AJ156" s="107"/>
      <c r="AK156" s="107"/>
      <c r="AL156" s="107"/>
      <c r="AM156" s="107"/>
      <c r="AN156" s="107"/>
      <c r="AO156" s="108"/>
      <c r="AP156" s="108"/>
      <c r="AQ156" s="108"/>
      <c r="AR156" s="108"/>
      <c r="AS156" s="108"/>
      <c r="AT156" s="108"/>
      <c r="AU156" s="108"/>
      <c r="AV156" s="108"/>
      <c r="AW156" s="108"/>
      <c r="AX156" s="108"/>
      <c r="AY156" s="108"/>
      <c r="AZ156" s="108"/>
      <c r="BA156" s="108"/>
      <c r="BB156" s="108"/>
    </row>
    <row r="157" spans="1:54" s="109" customFormat="1" ht="12" customHeight="1">
      <c r="A157" s="8">
        <v>112021501</v>
      </c>
      <c r="B157" s="8" t="s">
        <v>620</v>
      </c>
      <c r="C157" s="8"/>
      <c r="D157" s="92">
        <f>+VLOOKUP(A157,Clasificaciones!C:I,5,FALSE)</f>
        <v>0</v>
      </c>
      <c r="E157" s="92">
        <v>0</v>
      </c>
      <c r="F157" s="92">
        <v>0</v>
      </c>
      <c r="G157" s="92">
        <f>+VLOOKUP(A157,Clasificaciones!C:M,9,FALSE)</f>
        <v>72622603</v>
      </c>
      <c r="H157" s="92">
        <f t="shared" si="17"/>
        <v>-72622603</v>
      </c>
      <c r="I157" s="26">
        <v>0</v>
      </c>
      <c r="J157" s="26">
        <v>0</v>
      </c>
      <c r="K157" s="26">
        <v>0</v>
      </c>
      <c r="L157" s="26">
        <v>0</v>
      </c>
      <c r="M157" s="26">
        <v>0</v>
      </c>
      <c r="N157" s="26">
        <v>0</v>
      </c>
      <c r="O157" s="26">
        <v>0</v>
      </c>
      <c r="P157" s="26">
        <v>0</v>
      </c>
      <c r="Q157" s="26">
        <v>0</v>
      </c>
      <c r="R157" s="26">
        <v>0</v>
      </c>
      <c r="S157" s="26">
        <v>0</v>
      </c>
      <c r="T157" s="26">
        <v>0</v>
      </c>
      <c r="U157" s="26">
        <f>-H157</f>
        <v>72622603</v>
      </c>
      <c r="V157" s="26">
        <v>0</v>
      </c>
      <c r="W157" s="26">
        <v>0</v>
      </c>
      <c r="X157" s="26">
        <v>0</v>
      </c>
      <c r="Y157" s="26">
        <v>0</v>
      </c>
      <c r="Z157" s="26">
        <v>0</v>
      </c>
      <c r="AA157" s="26">
        <f t="shared" si="19"/>
        <v>0</v>
      </c>
      <c r="AB157" s="107"/>
      <c r="AC157" s="107"/>
      <c r="AD157" s="107"/>
      <c r="AE157" s="107"/>
      <c r="AF157" s="107"/>
      <c r="AG157" s="107"/>
      <c r="AH157" s="107"/>
      <c r="AI157" s="107"/>
      <c r="AJ157" s="107"/>
      <c r="AK157" s="107"/>
      <c r="AL157" s="107"/>
      <c r="AM157" s="107"/>
      <c r="AN157" s="107"/>
      <c r="AO157" s="108"/>
      <c r="AP157" s="108"/>
      <c r="AQ157" s="108"/>
      <c r="AR157" s="108"/>
      <c r="AS157" s="108"/>
      <c r="AT157" s="108"/>
      <c r="AU157" s="108"/>
      <c r="AV157" s="108"/>
      <c r="AW157" s="108"/>
      <c r="AX157" s="108"/>
      <c r="AY157" s="108"/>
      <c r="AZ157" s="108"/>
      <c r="BA157" s="108"/>
      <c r="BB157" s="108"/>
    </row>
    <row r="158" spans="1:54" s="109" customFormat="1" ht="12" customHeight="1">
      <c r="A158" s="8">
        <v>112021502</v>
      </c>
      <c r="B158" s="8" t="s">
        <v>621</v>
      </c>
      <c r="C158" s="8"/>
      <c r="D158" s="92">
        <f>+VLOOKUP(A158,Clasificaciones!C:I,5,FALSE)</f>
        <v>0</v>
      </c>
      <c r="E158" s="92">
        <v>0</v>
      </c>
      <c r="F158" s="92">
        <v>0</v>
      </c>
      <c r="G158" s="92">
        <f>+VLOOKUP(A158,Clasificaciones!C:M,9,FALSE)</f>
        <v>-71448904</v>
      </c>
      <c r="H158" s="92">
        <f t="shared" si="17"/>
        <v>71448904</v>
      </c>
      <c r="I158" s="26">
        <v>0</v>
      </c>
      <c r="J158" s="26">
        <v>0</v>
      </c>
      <c r="K158" s="26">
        <v>0</v>
      </c>
      <c r="L158" s="26">
        <v>0</v>
      </c>
      <c r="M158" s="26">
        <v>0</v>
      </c>
      <c r="N158" s="26">
        <v>0</v>
      </c>
      <c r="O158" s="26">
        <v>0</v>
      </c>
      <c r="P158" s="26">
        <v>0</v>
      </c>
      <c r="Q158" s="26">
        <v>0</v>
      </c>
      <c r="R158" s="26">
        <v>0</v>
      </c>
      <c r="S158" s="26">
        <v>0</v>
      </c>
      <c r="T158" s="26">
        <v>0</v>
      </c>
      <c r="U158" s="26">
        <f>-H158</f>
        <v>-71448904</v>
      </c>
      <c r="V158" s="26">
        <v>0</v>
      </c>
      <c r="W158" s="26">
        <v>0</v>
      </c>
      <c r="X158" s="26">
        <v>0</v>
      </c>
      <c r="Y158" s="26">
        <v>0</v>
      </c>
      <c r="Z158" s="26">
        <v>0</v>
      </c>
      <c r="AA158" s="26">
        <f t="shared" si="19"/>
        <v>0</v>
      </c>
      <c r="AB158" s="107"/>
      <c r="AC158" s="107"/>
      <c r="AD158" s="107"/>
      <c r="AE158" s="107"/>
      <c r="AF158" s="107"/>
      <c r="AG158" s="107"/>
      <c r="AH158" s="107"/>
      <c r="AI158" s="107"/>
      <c r="AJ158" s="107"/>
      <c r="AK158" s="107"/>
      <c r="AL158" s="107"/>
      <c r="AM158" s="107"/>
      <c r="AN158" s="107"/>
      <c r="AO158" s="108"/>
      <c r="AP158" s="108"/>
      <c r="AQ158" s="108"/>
      <c r="AR158" s="108"/>
      <c r="AS158" s="108"/>
      <c r="AT158" s="108"/>
      <c r="AU158" s="108"/>
      <c r="AV158" s="108"/>
      <c r="AW158" s="108"/>
      <c r="AX158" s="108"/>
      <c r="AY158" s="108"/>
      <c r="AZ158" s="108"/>
      <c r="BA158" s="108"/>
      <c r="BB158" s="108"/>
    </row>
    <row r="159" spans="1:54" s="109" customFormat="1" ht="12" customHeight="1">
      <c r="A159" s="8">
        <v>12101103</v>
      </c>
      <c r="B159" s="8" t="s">
        <v>779</v>
      </c>
      <c r="C159" s="8"/>
      <c r="D159" s="92">
        <f>+VLOOKUP(A159,Clasificaciones!C:I,5,FALSE)</f>
        <v>0</v>
      </c>
      <c r="E159" s="92">
        <v>0</v>
      </c>
      <c r="F159" s="92">
        <v>0</v>
      </c>
      <c r="G159" s="92">
        <f>+VLOOKUP(A159,Clasificaciones!C:M,9,FALSE)</f>
        <v>0</v>
      </c>
      <c r="H159" s="92">
        <f t="shared" si="17"/>
        <v>0</v>
      </c>
      <c r="I159" s="26">
        <v>0</v>
      </c>
      <c r="J159" s="26">
        <v>0</v>
      </c>
      <c r="K159" s="26">
        <v>0</v>
      </c>
      <c r="L159" s="26">
        <v>0</v>
      </c>
      <c r="M159" s="26">
        <v>0</v>
      </c>
      <c r="N159" s="26">
        <v>0</v>
      </c>
      <c r="O159" s="26">
        <v>0</v>
      </c>
      <c r="P159" s="26">
        <v>0</v>
      </c>
      <c r="Q159" s="26">
        <v>0</v>
      </c>
      <c r="R159" s="26">
        <v>0</v>
      </c>
      <c r="S159" s="26">
        <v>0</v>
      </c>
      <c r="T159" s="26">
        <v>0</v>
      </c>
      <c r="U159" s="26">
        <v>0</v>
      </c>
      <c r="V159" s="26">
        <v>0</v>
      </c>
      <c r="W159" s="26">
        <v>0</v>
      </c>
      <c r="X159" s="26">
        <v>0</v>
      </c>
      <c r="Y159" s="26">
        <v>0</v>
      </c>
      <c r="Z159" s="26">
        <v>0</v>
      </c>
      <c r="AA159" s="26">
        <f t="shared" si="19"/>
        <v>0</v>
      </c>
      <c r="AB159" s="107"/>
      <c r="AC159" s="107"/>
      <c r="AD159" s="107"/>
      <c r="AE159" s="107"/>
      <c r="AF159" s="107"/>
      <c r="AG159" s="107"/>
      <c r="AH159" s="107"/>
      <c r="AI159" s="107"/>
      <c r="AJ159" s="107"/>
      <c r="AK159" s="107"/>
      <c r="AL159" s="107"/>
      <c r="AM159" s="107"/>
      <c r="AN159" s="107"/>
      <c r="AO159" s="108"/>
      <c r="AP159" s="108"/>
      <c r="AQ159" s="108"/>
      <c r="AR159" s="108"/>
      <c r="AS159" s="108"/>
      <c r="AT159" s="108"/>
      <c r="AU159" s="108"/>
      <c r="AV159" s="108"/>
      <c r="AW159" s="108"/>
      <c r="AX159" s="108"/>
      <c r="AY159" s="108"/>
      <c r="AZ159" s="108"/>
      <c r="BA159" s="108"/>
      <c r="BB159" s="108"/>
    </row>
    <row r="160" spans="1:54" s="106" customFormat="1" ht="12" customHeight="1">
      <c r="A160" s="8">
        <v>1210110301</v>
      </c>
      <c r="B160" s="8" t="s">
        <v>503</v>
      </c>
      <c r="C160" s="8"/>
      <c r="D160" s="92">
        <f>+VLOOKUP(A160,Clasificaciones!C:I,5,FALSE)</f>
        <v>4999000000</v>
      </c>
      <c r="E160" s="92">
        <v>0</v>
      </c>
      <c r="F160" s="92">
        <v>0</v>
      </c>
      <c r="G160" s="92">
        <f>+VLOOKUP(A160,Clasificaciones!C:M,9,FALSE)</f>
        <v>3500000000</v>
      </c>
      <c r="H160" s="92">
        <f>+D160-G160+E160-F160</f>
        <v>1499000000</v>
      </c>
      <c r="I160" s="26">
        <v>0</v>
      </c>
      <c r="J160" s="26">
        <v>0</v>
      </c>
      <c r="K160" s="26">
        <v>0</v>
      </c>
      <c r="L160" s="26">
        <v>0</v>
      </c>
      <c r="M160" s="26">
        <v>0</v>
      </c>
      <c r="N160" s="26">
        <v>0</v>
      </c>
      <c r="O160" s="26">
        <f>-H160</f>
        <v>-1499000000</v>
      </c>
      <c r="P160" s="26">
        <v>0</v>
      </c>
      <c r="Q160" s="26">
        <v>0</v>
      </c>
      <c r="R160" s="26">
        <v>0</v>
      </c>
      <c r="S160" s="26">
        <v>0</v>
      </c>
      <c r="T160" s="26">
        <v>0</v>
      </c>
      <c r="U160" s="26">
        <v>0</v>
      </c>
      <c r="V160" s="26">
        <v>0</v>
      </c>
      <c r="W160" s="26">
        <v>0</v>
      </c>
      <c r="X160" s="26">
        <v>0</v>
      </c>
      <c r="Y160" s="26">
        <v>0</v>
      </c>
      <c r="Z160" s="26">
        <v>0</v>
      </c>
      <c r="AA160" s="26">
        <f t="shared" si="19"/>
        <v>0</v>
      </c>
      <c r="AB160" s="110"/>
      <c r="AC160" s="110"/>
      <c r="AD160" s="110"/>
      <c r="AE160" s="110"/>
      <c r="AF160" s="110"/>
      <c r="AG160" s="110"/>
      <c r="AH160" s="110"/>
      <c r="AI160" s="110"/>
      <c r="AJ160" s="110"/>
      <c r="AK160" s="110"/>
      <c r="AL160" s="110"/>
      <c r="AM160" s="110"/>
      <c r="AN160" s="110"/>
      <c r="AO160" s="105"/>
      <c r="AP160" s="105"/>
      <c r="AQ160" s="105"/>
      <c r="AR160" s="105"/>
      <c r="AS160" s="105"/>
      <c r="AT160" s="105"/>
      <c r="AU160" s="105"/>
      <c r="AV160" s="105"/>
      <c r="AW160" s="105"/>
      <c r="AX160" s="105"/>
      <c r="AY160" s="105"/>
      <c r="AZ160" s="105"/>
      <c r="BA160" s="105"/>
      <c r="BB160" s="105"/>
    </row>
    <row r="161" spans="1:54" s="109" customFormat="1" ht="12" customHeight="1">
      <c r="A161" s="8">
        <v>12101108</v>
      </c>
      <c r="B161" s="8" t="s">
        <v>610</v>
      </c>
      <c r="C161" s="8"/>
      <c r="D161" s="92">
        <f>+VLOOKUP(A161,Clasificaciones!C:I,5,FALSE)</f>
        <v>0</v>
      </c>
      <c r="E161" s="92">
        <v>0</v>
      </c>
      <c r="F161" s="92">
        <v>0</v>
      </c>
      <c r="G161" s="92">
        <f>+VLOOKUP(A161,Clasificaciones!C:M,9,FALSE)</f>
        <v>0</v>
      </c>
      <c r="H161" s="92">
        <f t="shared" si="17"/>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c r="Z161" s="26">
        <v>0</v>
      </c>
      <c r="AA161" s="26">
        <f t="shared" si="19"/>
        <v>0</v>
      </c>
      <c r="AB161" s="107"/>
      <c r="AC161" s="107"/>
      <c r="AD161" s="107"/>
      <c r="AE161" s="107"/>
      <c r="AF161" s="107"/>
      <c r="AG161" s="107"/>
      <c r="AH161" s="107"/>
      <c r="AI161" s="107"/>
      <c r="AJ161" s="107"/>
      <c r="AK161" s="107"/>
      <c r="AL161" s="107"/>
      <c r="AM161" s="107"/>
      <c r="AN161" s="107"/>
      <c r="AO161" s="108"/>
      <c r="AP161" s="108"/>
      <c r="AQ161" s="108"/>
      <c r="AR161" s="108"/>
      <c r="AS161" s="108"/>
      <c r="AT161" s="108"/>
      <c r="AU161" s="108"/>
      <c r="AV161" s="108"/>
      <c r="AW161" s="108"/>
      <c r="AX161" s="108"/>
      <c r="AY161" s="108"/>
      <c r="AZ161" s="108"/>
      <c r="BA161" s="108"/>
      <c r="BB161" s="108"/>
    </row>
    <row r="162" spans="1:54" s="109" customFormat="1" ht="12" customHeight="1">
      <c r="A162" s="8">
        <v>1210110801</v>
      </c>
      <c r="B162" s="8" t="s">
        <v>481</v>
      </c>
      <c r="C162" s="8"/>
      <c r="D162" s="92">
        <f>+VLOOKUP(A162,Clasificaciones!C:I,5,FALSE)</f>
        <v>2047406868</v>
      </c>
      <c r="E162" s="92">
        <v>0</v>
      </c>
      <c r="F162" s="177">
        <f>+E355</f>
        <v>1943416237</v>
      </c>
      <c r="G162" s="92">
        <f>+VLOOKUP(A162,Clasificaciones!C:M,9,FALSE)</f>
        <v>103990631</v>
      </c>
      <c r="H162" s="92">
        <f t="shared" si="17"/>
        <v>0</v>
      </c>
      <c r="I162" s="26">
        <v>0</v>
      </c>
      <c r="J162" s="26">
        <v>0</v>
      </c>
      <c r="K162" s="26">
        <v>0</v>
      </c>
      <c r="L162" s="26">
        <v>0</v>
      </c>
      <c r="M162" s="26">
        <v>0</v>
      </c>
      <c r="N162" s="26">
        <v>0</v>
      </c>
      <c r="O162" s="26">
        <v>0</v>
      </c>
      <c r="P162" s="26">
        <v>0</v>
      </c>
      <c r="Q162" s="26">
        <v>0</v>
      </c>
      <c r="R162" s="26">
        <f>-H162</f>
        <v>0</v>
      </c>
      <c r="S162" s="26">
        <v>0</v>
      </c>
      <c r="T162" s="26">
        <v>0</v>
      </c>
      <c r="U162" s="26">
        <v>0</v>
      </c>
      <c r="V162" s="26">
        <v>0</v>
      </c>
      <c r="W162" s="26">
        <v>0</v>
      </c>
      <c r="X162" s="26">
        <v>0</v>
      </c>
      <c r="Y162" s="26">
        <v>0</v>
      </c>
      <c r="Z162" s="26">
        <v>0</v>
      </c>
      <c r="AA162" s="26">
        <f t="shared" si="19"/>
        <v>0</v>
      </c>
      <c r="AB162" s="107"/>
      <c r="AC162" s="107"/>
      <c r="AD162" s="107"/>
      <c r="AE162" s="107"/>
      <c r="AF162" s="107"/>
      <c r="AG162" s="107"/>
      <c r="AH162" s="107"/>
      <c r="AI162" s="107"/>
      <c r="AJ162" s="107"/>
      <c r="AK162" s="107"/>
      <c r="AL162" s="107"/>
      <c r="AM162" s="107"/>
      <c r="AN162" s="107"/>
      <c r="AO162" s="108"/>
      <c r="AP162" s="108"/>
      <c r="AQ162" s="108"/>
      <c r="AR162" s="108"/>
      <c r="AS162" s="108"/>
      <c r="AT162" s="108"/>
      <c r="AU162" s="108"/>
      <c r="AV162" s="108"/>
      <c r="AW162" s="108"/>
      <c r="AX162" s="108"/>
      <c r="AY162" s="108"/>
      <c r="AZ162" s="108"/>
      <c r="BA162" s="108"/>
      <c r="BB162" s="108"/>
    </row>
    <row r="163" spans="1:54" s="109" customFormat="1" ht="12" customHeight="1">
      <c r="A163" s="8">
        <v>12103</v>
      </c>
      <c r="B163" s="8" t="s">
        <v>827</v>
      </c>
      <c r="C163" s="8"/>
      <c r="D163" s="92">
        <f>+VLOOKUP(A163,Clasificaciones!C:I,5,FALSE)</f>
        <v>0</v>
      </c>
      <c r="E163" s="92">
        <v>0</v>
      </c>
      <c r="F163" s="92">
        <v>0</v>
      </c>
      <c r="G163" s="92">
        <f>+VLOOKUP(A163,Clasificaciones!C:M,9,FALSE)</f>
        <v>0</v>
      </c>
      <c r="H163" s="92">
        <f t="shared" si="17"/>
        <v>0</v>
      </c>
      <c r="I163" s="26">
        <v>0</v>
      </c>
      <c r="J163" s="26">
        <v>0</v>
      </c>
      <c r="K163" s="26">
        <v>0</v>
      </c>
      <c r="L163" s="26">
        <v>0</v>
      </c>
      <c r="M163" s="26">
        <v>0</v>
      </c>
      <c r="N163" s="26">
        <v>0</v>
      </c>
      <c r="O163" s="26">
        <v>0</v>
      </c>
      <c r="P163" s="26">
        <v>0</v>
      </c>
      <c r="Q163" s="26">
        <v>0</v>
      </c>
      <c r="R163" s="26">
        <f>-H163</f>
        <v>0</v>
      </c>
      <c r="S163" s="26">
        <v>0</v>
      </c>
      <c r="T163" s="26">
        <v>0</v>
      </c>
      <c r="U163" s="26">
        <v>0</v>
      </c>
      <c r="V163" s="26">
        <v>0</v>
      </c>
      <c r="W163" s="26">
        <v>0</v>
      </c>
      <c r="X163" s="26">
        <v>0</v>
      </c>
      <c r="Y163" s="26">
        <v>0</v>
      </c>
      <c r="Z163" s="26">
        <v>0</v>
      </c>
      <c r="AA163" s="26">
        <f t="shared" si="19"/>
        <v>0</v>
      </c>
      <c r="AB163" s="107"/>
      <c r="AC163" s="107"/>
      <c r="AD163" s="107"/>
      <c r="AE163" s="107"/>
      <c r="AF163" s="107"/>
      <c r="AG163" s="107"/>
      <c r="AH163" s="107"/>
      <c r="AI163" s="107"/>
      <c r="AJ163" s="107"/>
      <c r="AK163" s="107"/>
      <c r="AL163" s="107"/>
      <c r="AM163" s="107"/>
      <c r="AN163" s="107"/>
      <c r="AO163" s="108"/>
      <c r="AP163" s="108"/>
      <c r="AQ163" s="108"/>
      <c r="AR163" s="108"/>
      <c r="AS163" s="108"/>
      <c r="AT163" s="108"/>
      <c r="AU163" s="108"/>
      <c r="AV163" s="108"/>
      <c r="AW163" s="108"/>
      <c r="AX163" s="108"/>
      <c r="AY163" s="108"/>
      <c r="AZ163" s="108"/>
      <c r="BA163" s="108"/>
      <c r="BB163" s="108"/>
    </row>
    <row r="164" spans="1:54" s="109" customFormat="1" ht="12" customHeight="1">
      <c r="A164" s="8">
        <v>1210301</v>
      </c>
      <c r="B164" s="8" t="s">
        <v>828</v>
      </c>
      <c r="C164" s="8"/>
      <c r="D164" s="92">
        <f>+VLOOKUP(A164,Clasificaciones!C:I,5,FALSE)</f>
        <v>900000000</v>
      </c>
      <c r="E164" s="92">
        <v>0</v>
      </c>
      <c r="F164" s="177">
        <f>+E267</f>
        <v>49000000</v>
      </c>
      <c r="G164" s="92">
        <f>+VLOOKUP(A164,Clasificaciones!C:M,9,FALSE)</f>
        <v>851000000</v>
      </c>
      <c r="H164" s="92">
        <f t="shared" si="17"/>
        <v>0</v>
      </c>
      <c r="I164" s="26">
        <v>0</v>
      </c>
      <c r="J164" s="26">
        <v>0</v>
      </c>
      <c r="K164" s="26">
        <v>0</v>
      </c>
      <c r="L164" s="26">
        <v>0</v>
      </c>
      <c r="M164" s="26">
        <v>0</v>
      </c>
      <c r="N164" s="26">
        <v>0</v>
      </c>
      <c r="O164" s="26">
        <v>0</v>
      </c>
      <c r="P164" s="26">
        <v>0</v>
      </c>
      <c r="Q164" s="26">
        <v>0</v>
      </c>
      <c r="R164" s="26">
        <f>-H164</f>
        <v>0</v>
      </c>
      <c r="S164" s="26">
        <v>0</v>
      </c>
      <c r="T164" s="26">
        <v>0</v>
      </c>
      <c r="U164" s="26">
        <v>0</v>
      </c>
      <c r="V164" s="26">
        <v>0</v>
      </c>
      <c r="W164" s="26">
        <v>0</v>
      </c>
      <c r="X164" s="26">
        <v>0</v>
      </c>
      <c r="Y164" s="26">
        <v>0</v>
      </c>
      <c r="Z164" s="26">
        <v>0</v>
      </c>
      <c r="AA164" s="26">
        <f t="shared" si="19"/>
        <v>0</v>
      </c>
      <c r="AB164" s="107"/>
      <c r="AC164" s="107"/>
      <c r="AD164" s="107"/>
      <c r="AE164" s="107"/>
      <c r="AF164" s="107"/>
      <c r="AG164" s="107"/>
      <c r="AH164" s="107"/>
      <c r="AI164" s="107"/>
      <c r="AJ164" s="107"/>
      <c r="AK164" s="107"/>
      <c r="AL164" s="107"/>
      <c r="AM164" s="107"/>
      <c r="AN164" s="107"/>
      <c r="AO164" s="108"/>
      <c r="AP164" s="108"/>
      <c r="AQ164" s="108"/>
      <c r="AR164" s="108"/>
      <c r="AS164" s="108"/>
      <c r="AT164" s="108"/>
      <c r="AU164" s="108"/>
      <c r="AV164" s="108"/>
      <c r="AW164" s="108"/>
      <c r="AX164" s="108"/>
      <c r="AY164" s="108"/>
      <c r="AZ164" s="108"/>
      <c r="BA164" s="108"/>
      <c r="BB164" s="108"/>
    </row>
    <row r="165" spans="1:54" s="109" customFormat="1" ht="12" customHeight="1">
      <c r="A165" s="8">
        <v>127</v>
      </c>
      <c r="B165" s="8" t="s">
        <v>829</v>
      </c>
      <c r="C165" s="8"/>
      <c r="D165" s="92">
        <f>+VLOOKUP(A165,Clasificaciones!C:I,5,FALSE)</f>
        <v>0</v>
      </c>
      <c r="E165" s="92">
        <v>0</v>
      </c>
      <c r="F165" s="92">
        <v>0</v>
      </c>
      <c r="G165" s="92">
        <f>+VLOOKUP(A165,Clasificaciones!C:M,9,FALSE)</f>
        <v>0</v>
      </c>
      <c r="H165" s="92">
        <f t="shared" si="17"/>
        <v>0</v>
      </c>
      <c r="I165" s="26">
        <v>0</v>
      </c>
      <c r="J165" s="26">
        <v>0</v>
      </c>
      <c r="K165" s="26">
        <v>0</v>
      </c>
      <c r="L165" s="26">
        <v>0</v>
      </c>
      <c r="M165" s="26">
        <v>0</v>
      </c>
      <c r="N165" s="26">
        <v>0</v>
      </c>
      <c r="O165" s="26">
        <v>0</v>
      </c>
      <c r="P165" s="26">
        <v>0</v>
      </c>
      <c r="Q165" s="26">
        <v>0</v>
      </c>
      <c r="R165" s="26">
        <v>0</v>
      </c>
      <c r="S165" s="26">
        <v>0</v>
      </c>
      <c r="T165" s="26">
        <v>0</v>
      </c>
      <c r="U165" s="26">
        <v>0</v>
      </c>
      <c r="V165" s="26">
        <v>0</v>
      </c>
      <c r="W165" s="26">
        <v>0</v>
      </c>
      <c r="X165" s="26">
        <v>0</v>
      </c>
      <c r="Y165" s="26">
        <v>0</v>
      </c>
      <c r="Z165" s="26">
        <v>0</v>
      </c>
      <c r="AA165" s="26">
        <f t="shared" si="19"/>
        <v>0</v>
      </c>
      <c r="AB165" s="107"/>
      <c r="AC165" s="107"/>
      <c r="AD165" s="107"/>
      <c r="AE165" s="107"/>
      <c r="AF165" s="107"/>
      <c r="AG165" s="107"/>
      <c r="AH165" s="107"/>
      <c r="AI165" s="107"/>
      <c r="AJ165" s="107"/>
      <c r="AK165" s="107"/>
      <c r="AL165" s="107"/>
      <c r="AM165" s="107"/>
      <c r="AN165" s="107"/>
      <c r="AO165" s="108"/>
      <c r="AP165" s="108"/>
      <c r="AQ165" s="108"/>
      <c r="AR165" s="108"/>
      <c r="AS165" s="108"/>
      <c r="AT165" s="108"/>
      <c r="AU165" s="108"/>
      <c r="AV165" s="108"/>
      <c r="AW165" s="108"/>
      <c r="AX165" s="108"/>
      <c r="AY165" s="108"/>
      <c r="AZ165" s="108"/>
      <c r="BA165" s="108"/>
      <c r="BB165" s="108"/>
    </row>
    <row r="166" spans="1:54" s="109" customFormat="1" ht="12" customHeight="1">
      <c r="A166" s="8">
        <v>12701</v>
      </c>
      <c r="B166" s="8" t="s">
        <v>830</v>
      </c>
      <c r="C166" s="8"/>
      <c r="D166" s="92">
        <f>+VLOOKUP(A166,Clasificaciones!C:I,5,FALSE)</f>
        <v>0</v>
      </c>
      <c r="E166" s="92">
        <v>0</v>
      </c>
      <c r="F166" s="92">
        <v>0</v>
      </c>
      <c r="G166" s="92">
        <f>+VLOOKUP(A166,Clasificaciones!C:M,9,FALSE)</f>
        <v>0</v>
      </c>
      <c r="H166" s="92">
        <f t="shared" si="17"/>
        <v>0</v>
      </c>
      <c r="I166" s="26">
        <v>0</v>
      </c>
      <c r="J166" s="26">
        <v>0</v>
      </c>
      <c r="K166" s="26">
        <v>0</v>
      </c>
      <c r="L166" s="26">
        <v>0</v>
      </c>
      <c r="M166" s="26">
        <v>0</v>
      </c>
      <c r="N166" s="26">
        <v>0</v>
      </c>
      <c r="O166" s="26">
        <v>0</v>
      </c>
      <c r="P166" s="26">
        <v>0</v>
      </c>
      <c r="Q166" s="26">
        <v>0</v>
      </c>
      <c r="R166" s="26">
        <f>-H166</f>
        <v>0</v>
      </c>
      <c r="S166" s="26">
        <v>0</v>
      </c>
      <c r="T166" s="26">
        <v>0</v>
      </c>
      <c r="U166" s="26">
        <v>0</v>
      </c>
      <c r="V166" s="26">
        <v>0</v>
      </c>
      <c r="W166" s="26">
        <v>0</v>
      </c>
      <c r="X166" s="26">
        <v>0</v>
      </c>
      <c r="Y166" s="26">
        <v>0</v>
      </c>
      <c r="Z166" s="26">
        <v>0</v>
      </c>
      <c r="AA166" s="26">
        <f t="shared" si="19"/>
        <v>0</v>
      </c>
      <c r="AB166" s="107"/>
      <c r="AC166" s="107"/>
      <c r="AD166" s="107"/>
      <c r="AE166" s="107"/>
      <c r="AF166" s="107"/>
      <c r="AG166" s="107"/>
      <c r="AH166" s="107"/>
      <c r="AI166" s="107"/>
      <c r="AJ166" s="107"/>
      <c r="AK166" s="107"/>
      <c r="AL166" s="107"/>
      <c r="AM166" s="107"/>
      <c r="AN166" s="107"/>
      <c r="AO166" s="108"/>
      <c r="AP166" s="108"/>
      <c r="AQ166" s="108"/>
      <c r="AR166" s="108"/>
      <c r="AS166" s="108"/>
      <c r="AT166" s="108"/>
      <c r="AU166" s="108"/>
      <c r="AV166" s="108"/>
      <c r="AW166" s="108"/>
      <c r="AX166" s="108"/>
      <c r="AY166" s="108"/>
      <c r="AZ166" s="108"/>
      <c r="BA166" s="108"/>
      <c r="BB166" s="108"/>
    </row>
    <row r="167" spans="1:54" s="109" customFormat="1" ht="12" customHeight="1">
      <c r="A167" s="8">
        <v>1270102</v>
      </c>
      <c r="B167" s="8" t="s">
        <v>164</v>
      </c>
      <c r="C167" s="8"/>
      <c r="D167" s="92">
        <f>+VLOOKUP(A167,Clasificaciones!C:I,5,FALSE)</f>
        <v>122540485</v>
      </c>
      <c r="E167" s="92">
        <v>0</v>
      </c>
      <c r="F167" s="92">
        <v>0</v>
      </c>
      <c r="G167" s="92">
        <f>+VLOOKUP(A167,Clasificaciones!C:M,9,FALSE)</f>
        <v>0</v>
      </c>
      <c r="H167" s="92">
        <f t="shared" si="17"/>
        <v>122540485</v>
      </c>
      <c r="I167" s="26">
        <v>0</v>
      </c>
      <c r="J167" s="26">
        <v>0</v>
      </c>
      <c r="K167" s="26">
        <v>0</v>
      </c>
      <c r="L167" s="26">
        <v>0</v>
      </c>
      <c r="M167" s="26">
        <v>0</v>
      </c>
      <c r="N167" s="26">
        <v>0</v>
      </c>
      <c r="O167" s="26">
        <v>0</v>
      </c>
      <c r="P167" s="26">
        <v>0</v>
      </c>
      <c r="Q167" s="26">
        <v>0</v>
      </c>
      <c r="R167" s="26">
        <f>-H167</f>
        <v>-122540485</v>
      </c>
      <c r="S167" s="26">
        <v>0</v>
      </c>
      <c r="T167" s="26">
        <v>0</v>
      </c>
      <c r="U167" s="26">
        <v>0</v>
      </c>
      <c r="V167" s="26">
        <v>0</v>
      </c>
      <c r="W167" s="26">
        <v>0</v>
      </c>
      <c r="X167" s="26">
        <v>0</v>
      </c>
      <c r="Y167" s="26">
        <v>0</v>
      </c>
      <c r="Z167" s="26">
        <v>0</v>
      </c>
      <c r="AA167" s="26">
        <f t="shared" si="19"/>
        <v>0</v>
      </c>
      <c r="AB167" s="107"/>
      <c r="AC167" s="107"/>
      <c r="AD167" s="107"/>
      <c r="AE167" s="107"/>
      <c r="AF167" s="107"/>
      <c r="AG167" s="107"/>
      <c r="AH167" s="107"/>
      <c r="AI167" s="107"/>
      <c r="AJ167" s="107"/>
      <c r="AK167" s="107"/>
      <c r="AL167" s="107"/>
      <c r="AM167" s="107"/>
      <c r="AN167" s="107"/>
      <c r="AO167" s="108"/>
      <c r="AP167" s="108"/>
      <c r="AQ167" s="108"/>
      <c r="AR167" s="108"/>
      <c r="AS167" s="108"/>
      <c r="AT167" s="108"/>
      <c r="AU167" s="108"/>
      <c r="AV167" s="108"/>
      <c r="AW167" s="108"/>
      <c r="AX167" s="108"/>
      <c r="AY167" s="108"/>
      <c r="AZ167" s="108"/>
      <c r="BA167" s="108"/>
      <c r="BB167" s="108"/>
    </row>
    <row r="168" spans="1:54" s="109" customFormat="1" ht="12" customHeight="1">
      <c r="A168" s="8">
        <v>1270103</v>
      </c>
      <c r="B168" s="8" t="s">
        <v>1279</v>
      </c>
      <c r="C168" s="8"/>
      <c r="D168" s="92">
        <f>+VLOOKUP(A168,Clasificaciones!C:I,5,FALSE)</f>
        <v>249008778</v>
      </c>
      <c r="E168" s="92">
        <v>0</v>
      </c>
      <c r="F168" s="92">
        <v>0</v>
      </c>
      <c r="G168" s="92">
        <f>+VLOOKUP(A168,Clasificaciones!C:M,9,FALSE)</f>
        <v>1307727</v>
      </c>
      <c r="H168" s="92">
        <f t="shared" si="17"/>
        <v>247701051</v>
      </c>
      <c r="I168" s="26">
        <v>0</v>
      </c>
      <c r="J168" s="26">
        <v>0</v>
      </c>
      <c r="K168" s="26">
        <v>0</v>
      </c>
      <c r="L168" s="26">
        <v>0</v>
      </c>
      <c r="M168" s="26">
        <v>0</v>
      </c>
      <c r="N168" s="26">
        <v>0</v>
      </c>
      <c r="O168" s="26">
        <v>0</v>
      </c>
      <c r="P168" s="26">
        <v>0</v>
      </c>
      <c r="Q168" s="26">
        <v>0</v>
      </c>
      <c r="R168" s="26">
        <f t="shared" ref="R168:R170" si="23">-H168</f>
        <v>-247701051</v>
      </c>
      <c r="S168" s="26">
        <v>0</v>
      </c>
      <c r="T168" s="26">
        <v>0</v>
      </c>
      <c r="U168" s="26">
        <v>0</v>
      </c>
      <c r="V168" s="26">
        <v>0</v>
      </c>
      <c r="W168" s="26">
        <v>0</v>
      </c>
      <c r="X168" s="26">
        <v>0</v>
      </c>
      <c r="Y168" s="26">
        <v>0</v>
      </c>
      <c r="Z168" s="26">
        <v>0</v>
      </c>
      <c r="AA168" s="26">
        <f t="shared" si="19"/>
        <v>0</v>
      </c>
      <c r="AB168" s="107"/>
      <c r="AC168" s="107"/>
      <c r="AD168" s="107"/>
      <c r="AE168" s="107"/>
      <c r="AF168" s="107"/>
      <c r="AG168" s="107"/>
      <c r="AH168" s="107"/>
      <c r="AI168" s="107"/>
      <c r="AJ168" s="107"/>
      <c r="AK168" s="107"/>
      <c r="AL168" s="107"/>
      <c r="AM168" s="107"/>
      <c r="AN168" s="107"/>
      <c r="AO168" s="108"/>
      <c r="AP168" s="108"/>
      <c r="AQ168" s="108"/>
      <c r="AR168" s="108"/>
      <c r="AS168" s="108"/>
      <c r="AT168" s="108"/>
      <c r="AU168" s="108"/>
      <c r="AV168" s="108"/>
      <c r="AW168" s="108"/>
      <c r="AX168" s="108"/>
      <c r="AY168" s="108"/>
      <c r="AZ168" s="108"/>
      <c r="BA168" s="108"/>
      <c r="BB168" s="108"/>
    </row>
    <row r="169" spans="1:54" s="109" customFormat="1" ht="12" customHeight="1">
      <c r="A169" s="8">
        <v>1270104</v>
      </c>
      <c r="B169" s="8" t="s">
        <v>832</v>
      </c>
      <c r="C169" s="8"/>
      <c r="D169" s="92">
        <f>+VLOOKUP(A169,Clasificaciones!C:I,5,FALSE)</f>
        <v>357508232</v>
      </c>
      <c r="E169" s="92">
        <v>0</v>
      </c>
      <c r="F169" s="92">
        <v>0</v>
      </c>
      <c r="G169" s="92">
        <f>+VLOOKUP(A169,Clasificaciones!C:M,9,FALSE)</f>
        <v>16238918</v>
      </c>
      <c r="H169" s="92">
        <f t="shared" si="17"/>
        <v>341269314</v>
      </c>
      <c r="I169" s="26">
        <v>0</v>
      </c>
      <c r="J169" s="26">
        <v>0</v>
      </c>
      <c r="K169" s="26">
        <v>0</v>
      </c>
      <c r="L169" s="26">
        <v>0</v>
      </c>
      <c r="M169" s="26">
        <v>0</v>
      </c>
      <c r="N169" s="26">
        <v>0</v>
      </c>
      <c r="O169" s="26">
        <v>0</v>
      </c>
      <c r="P169" s="26">
        <v>0</v>
      </c>
      <c r="Q169" s="26">
        <v>0</v>
      </c>
      <c r="R169" s="26">
        <f t="shared" si="23"/>
        <v>-341269314</v>
      </c>
      <c r="S169" s="26">
        <v>0</v>
      </c>
      <c r="T169" s="26">
        <v>0</v>
      </c>
      <c r="U169" s="26">
        <v>0</v>
      </c>
      <c r="V169" s="26">
        <v>0</v>
      </c>
      <c r="W169" s="26">
        <v>0</v>
      </c>
      <c r="X169" s="26">
        <v>0</v>
      </c>
      <c r="Y169" s="26">
        <v>0</v>
      </c>
      <c r="Z169" s="26">
        <v>0</v>
      </c>
      <c r="AA169" s="26">
        <f t="shared" si="19"/>
        <v>0</v>
      </c>
      <c r="AB169" s="107"/>
      <c r="AC169" s="107"/>
      <c r="AD169" s="107"/>
      <c r="AE169" s="107"/>
      <c r="AF169" s="107"/>
      <c r="AG169" s="107"/>
      <c r="AH169" s="107"/>
      <c r="AI169" s="107"/>
      <c r="AJ169" s="107"/>
      <c r="AK169" s="107"/>
      <c r="AL169" s="107"/>
      <c r="AM169" s="107"/>
      <c r="AN169" s="107"/>
      <c r="AO169" s="108"/>
      <c r="AP169" s="108"/>
      <c r="AQ169" s="108"/>
      <c r="AR169" s="108"/>
      <c r="AS169" s="108"/>
      <c r="AT169" s="108"/>
      <c r="AU169" s="108"/>
      <c r="AV169" s="108"/>
      <c r="AW169" s="108"/>
      <c r="AX169" s="108"/>
      <c r="AY169" s="108"/>
      <c r="AZ169" s="108"/>
      <c r="BA169" s="108"/>
      <c r="BB169" s="108"/>
    </row>
    <row r="170" spans="1:54" s="109" customFormat="1" ht="12" customHeight="1">
      <c r="A170" s="8">
        <v>1270107</v>
      </c>
      <c r="B170" s="8" t="s">
        <v>1120</v>
      </c>
      <c r="C170" s="8"/>
      <c r="D170" s="92">
        <f>+VLOOKUP(A170,Clasificaciones!C:I,5,FALSE)</f>
        <v>316522493</v>
      </c>
      <c r="E170" s="92">
        <v>0</v>
      </c>
      <c r="F170" s="92">
        <v>0</v>
      </c>
      <c r="G170" s="92">
        <f>+VLOOKUP(A170,Clasificaciones!C:M,9,FALSE)</f>
        <v>0</v>
      </c>
      <c r="H170" s="92">
        <f t="shared" si="17"/>
        <v>316522493</v>
      </c>
      <c r="I170" s="26">
        <v>0</v>
      </c>
      <c r="J170" s="26">
        <v>0</v>
      </c>
      <c r="K170" s="26">
        <v>0</v>
      </c>
      <c r="L170" s="26">
        <v>0</v>
      </c>
      <c r="M170" s="26">
        <v>0</v>
      </c>
      <c r="N170" s="26">
        <v>0</v>
      </c>
      <c r="O170" s="26">
        <v>0</v>
      </c>
      <c r="P170" s="26">
        <v>0</v>
      </c>
      <c r="Q170" s="26">
        <v>0</v>
      </c>
      <c r="R170" s="26">
        <f t="shared" si="23"/>
        <v>-316522493</v>
      </c>
      <c r="S170" s="26">
        <v>0</v>
      </c>
      <c r="T170" s="26">
        <v>0</v>
      </c>
      <c r="U170" s="26">
        <v>0</v>
      </c>
      <c r="V170" s="26">
        <v>0</v>
      </c>
      <c r="W170" s="26">
        <v>0</v>
      </c>
      <c r="X170" s="26">
        <v>0</v>
      </c>
      <c r="Y170" s="26">
        <v>0</v>
      </c>
      <c r="Z170" s="26">
        <v>0</v>
      </c>
      <c r="AA170" s="26">
        <f t="shared" si="19"/>
        <v>0</v>
      </c>
      <c r="AB170" s="107"/>
      <c r="AC170" s="107"/>
      <c r="AD170" s="107"/>
      <c r="AE170" s="107"/>
      <c r="AF170" s="107"/>
      <c r="AG170" s="107"/>
      <c r="AH170" s="107"/>
      <c r="AI170" s="107"/>
      <c r="AJ170" s="107"/>
      <c r="AK170" s="107"/>
      <c r="AL170" s="107"/>
      <c r="AM170" s="107"/>
      <c r="AN170" s="107"/>
      <c r="AO170" s="108"/>
      <c r="AP170" s="108"/>
      <c r="AQ170" s="108"/>
      <c r="AR170" s="108"/>
      <c r="AS170" s="108"/>
      <c r="AT170" s="108"/>
      <c r="AU170" s="108"/>
      <c r="AV170" s="108"/>
      <c r="AW170" s="108"/>
      <c r="AX170" s="108"/>
      <c r="AY170" s="108"/>
      <c r="AZ170" s="108"/>
      <c r="BA170" s="108"/>
      <c r="BB170" s="108"/>
    </row>
    <row r="171" spans="1:54" s="109" customFormat="1" ht="12" customHeight="1">
      <c r="A171" s="8">
        <v>1270120</v>
      </c>
      <c r="B171" s="8" t="s">
        <v>833</v>
      </c>
      <c r="C171" s="8"/>
      <c r="D171" s="92">
        <f>+VLOOKUP(A171,Clasificaciones!C:I,5,FALSE)</f>
        <v>0</v>
      </c>
      <c r="E171" s="92">
        <v>0</v>
      </c>
      <c r="F171" s="92">
        <v>0</v>
      </c>
      <c r="G171" s="92">
        <f>+VLOOKUP(A171,Clasificaciones!C:M,9,FALSE)</f>
        <v>0</v>
      </c>
      <c r="H171" s="92">
        <f t="shared" si="17"/>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c r="Z171" s="26">
        <v>0</v>
      </c>
      <c r="AA171" s="26">
        <f t="shared" si="19"/>
        <v>0</v>
      </c>
      <c r="AB171" s="107"/>
      <c r="AC171" s="107"/>
      <c r="AD171" s="107"/>
      <c r="AE171" s="107"/>
      <c r="AF171" s="107"/>
      <c r="AG171" s="107"/>
      <c r="AH171" s="107"/>
      <c r="AI171" s="107"/>
      <c r="AJ171" s="107"/>
      <c r="AK171" s="107"/>
      <c r="AL171" s="107"/>
      <c r="AM171" s="107"/>
      <c r="AN171" s="107"/>
      <c r="AO171" s="108"/>
      <c r="AP171" s="108"/>
      <c r="AQ171" s="108"/>
      <c r="AR171" s="108"/>
      <c r="AS171" s="108"/>
      <c r="AT171" s="108"/>
      <c r="AU171" s="108"/>
      <c r="AV171" s="108"/>
      <c r="AW171" s="108"/>
      <c r="AX171" s="108"/>
      <c r="AY171" s="108"/>
      <c r="AZ171" s="108"/>
      <c r="BA171" s="108"/>
      <c r="BB171" s="108"/>
    </row>
    <row r="172" spans="1:54" s="109" customFormat="1" ht="12" customHeight="1">
      <c r="A172" s="8">
        <v>127012003</v>
      </c>
      <c r="B172" s="8" t="s">
        <v>834</v>
      </c>
      <c r="C172" s="8"/>
      <c r="D172" s="92">
        <f>+VLOOKUP(A172,Clasificaciones!C:I,5,FALSE)</f>
        <v>-588477</v>
      </c>
      <c r="E172" s="177">
        <f>+F433</f>
        <v>588477</v>
      </c>
      <c r="F172" s="92">
        <v>0</v>
      </c>
      <c r="G172" s="92">
        <f>+VLOOKUP(A172,Clasificaciones!C:M,9,FALSE)</f>
        <v>0</v>
      </c>
      <c r="H172" s="92">
        <f>+D172-G172+E172-F172</f>
        <v>0</v>
      </c>
      <c r="I172" s="26">
        <v>0</v>
      </c>
      <c r="J172" s="26">
        <v>0</v>
      </c>
      <c r="K172" s="26">
        <v>0</v>
      </c>
      <c r="L172" s="26">
        <v>0</v>
      </c>
      <c r="M172" s="26">
        <v>0</v>
      </c>
      <c r="N172" s="26">
        <v>0</v>
      </c>
      <c r="O172" s="26">
        <v>0</v>
      </c>
      <c r="P172" s="26">
        <v>0</v>
      </c>
      <c r="Q172" s="26">
        <v>0</v>
      </c>
      <c r="R172" s="26">
        <v>0</v>
      </c>
      <c r="S172" s="26">
        <v>0</v>
      </c>
      <c r="T172" s="26">
        <v>0</v>
      </c>
      <c r="U172" s="26">
        <v>0</v>
      </c>
      <c r="V172" s="26">
        <v>0</v>
      </c>
      <c r="W172" s="26">
        <v>0</v>
      </c>
      <c r="X172" s="26">
        <v>0</v>
      </c>
      <c r="Y172" s="26">
        <v>0</v>
      </c>
      <c r="Z172" s="26">
        <v>0</v>
      </c>
      <c r="AA172" s="26">
        <f t="shared" si="19"/>
        <v>0</v>
      </c>
      <c r="AB172" s="107"/>
      <c r="AC172" s="107"/>
      <c r="AD172" s="107"/>
      <c r="AE172" s="107"/>
      <c r="AF172" s="107"/>
      <c r="AG172" s="107"/>
      <c r="AH172" s="107"/>
      <c r="AI172" s="107"/>
      <c r="AJ172" s="107"/>
      <c r="AK172" s="107"/>
      <c r="AL172" s="107"/>
      <c r="AM172" s="107"/>
      <c r="AN172" s="107"/>
      <c r="AO172" s="108"/>
      <c r="AP172" s="108"/>
      <c r="AQ172" s="108"/>
      <c r="AR172" s="108"/>
      <c r="AS172" s="108"/>
      <c r="AT172" s="108"/>
      <c r="AU172" s="108"/>
      <c r="AV172" s="108"/>
      <c r="AW172" s="108"/>
      <c r="AX172" s="108"/>
      <c r="AY172" s="108"/>
      <c r="AZ172" s="108"/>
      <c r="BA172" s="108"/>
      <c r="BB172" s="108"/>
    </row>
    <row r="173" spans="1:54" s="106" customFormat="1" ht="12" customHeight="1">
      <c r="A173" s="8">
        <v>127012004</v>
      </c>
      <c r="B173" s="8" t="s">
        <v>835</v>
      </c>
      <c r="C173" s="8"/>
      <c r="D173" s="92">
        <f>+VLOOKUP(A173,Clasificaciones!C:I,5,FALSE)</f>
        <v>-9953111</v>
      </c>
      <c r="E173" s="177">
        <f>+F434+1634426</f>
        <v>7113513</v>
      </c>
      <c r="F173" s="92">
        <v>0</v>
      </c>
      <c r="G173" s="92">
        <f>+VLOOKUP(A173,Clasificaciones!C:M,9,FALSE)</f>
        <v>-2839598</v>
      </c>
      <c r="H173" s="92">
        <f t="shared" si="17"/>
        <v>0</v>
      </c>
      <c r="I173" s="26">
        <v>0</v>
      </c>
      <c r="J173" s="26">
        <v>0</v>
      </c>
      <c r="K173" s="26">
        <v>0</v>
      </c>
      <c r="L173" s="26">
        <v>0</v>
      </c>
      <c r="M173" s="26">
        <v>0</v>
      </c>
      <c r="N173" s="26">
        <v>0</v>
      </c>
      <c r="O173" s="26">
        <v>0</v>
      </c>
      <c r="P173" s="26">
        <v>0</v>
      </c>
      <c r="Q173" s="26">
        <v>0</v>
      </c>
      <c r="R173" s="26">
        <v>0</v>
      </c>
      <c r="S173" s="26">
        <v>0</v>
      </c>
      <c r="T173" s="26">
        <v>0</v>
      </c>
      <c r="U173" s="26">
        <v>0</v>
      </c>
      <c r="V173" s="26">
        <v>0</v>
      </c>
      <c r="W173" s="26">
        <v>0</v>
      </c>
      <c r="X173" s="26">
        <v>0</v>
      </c>
      <c r="Y173" s="26">
        <v>0</v>
      </c>
      <c r="Z173" s="26">
        <v>0</v>
      </c>
      <c r="AA173" s="26">
        <f t="shared" si="19"/>
        <v>0</v>
      </c>
      <c r="AB173" s="110"/>
      <c r="AC173" s="110"/>
      <c r="AD173" s="110"/>
      <c r="AE173" s="110"/>
      <c r="AF173" s="110"/>
      <c r="AG173" s="110"/>
      <c r="AH173" s="110"/>
      <c r="AI173" s="110"/>
      <c r="AJ173" s="110"/>
      <c r="AK173" s="110"/>
      <c r="AL173" s="110"/>
      <c r="AM173" s="110"/>
      <c r="AN173" s="110"/>
      <c r="AO173" s="105"/>
      <c r="AP173" s="105"/>
      <c r="AQ173" s="105"/>
      <c r="AR173" s="105"/>
      <c r="AS173" s="105"/>
      <c r="AT173" s="105"/>
      <c r="AU173" s="105"/>
      <c r="AV173" s="105"/>
      <c r="AW173" s="105"/>
      <c r="AX173" s="105"/>
      <c r="AY173" s="105"/>
      <c r="AZ173" s="105"/>
      <c r="BA173" s="105"/>
      <c r="BB173" s="105"/>
    </row>
    <row r="174" spans="1:54" s="106" customFormat="1" ht="12" customHeight="1">
      <c r="A174" s="8">
        <v>128</v>
      </c>
      <c r="B174" s="8" t="s">
        <v>836</v>
      </c>
      <c r="C174" s="8"/>
      <c r="D174" s="92">
        <f>+VLOOKUP(A174,Clasificaciones!C:I,5,FALSE)</f>
        <v>0</v>
      </c>
      <c r="E174" s="92">
        <v>0</v>
      </c>
      <c r="F174" s="92">
        <v>0</v>
      </c>
      <c r="G174" s="92">
        <f>+VLOOKUP(A174,Clasificaciones!C:M,9,FALSE)</f>
        <v>0</v>
      </c>
      <c r="H174" s="92">
        <f t="shared" si="17"/>
        <v>0</v>
      </c>
      <c r="I174" s="26">
        <v>0</v>
      </c>
      <c r="J174" s="26">
        <v>0</v>
      </c>
      <c r="K174" s="26">
        <v>0</v>
      </c>
      <c r="L174" s="26">
        <v>0</v>
      </c>
      <c r="M174" s="26">
        <v>0</v>
      </c>
      <c r="N174" s="26">
        <v>0</v>
      </c>
      <c r="O174" s="26">
        <v>0</v>
      </c>
      <c r="P174" s="26">
        <v>0</v>
      </c>
      <c r="Q174" s="26">
        <v>0</v>
      </c>
      <c r="R174" s="26">
        <v>0</v>
      </c>
      <c r="S174" s="26">
        <v>0</v>
      </c>
      <c r="T174" s="26">
        <v>0</v>
      </c>
      <c r="U174" s="26">
        <v>0</v>
      </c>
      <c r="V174" s="26">
        <v>0</v>
      </c>
      <c r="W174" s="26">
        <v>0</v>
      </c>
      <c r="X174" s="26">
        <v>0</v>
      </c>
      <c r="Y174" s="26">
        <v>0</v>
      </c>
      <c r="Z174" s="26">
        <v>0</v>
      </c>
      <c r="AA174" s="26">
        <f t="shared" si="19"/>
        <v>0</v>
      </c>
      <c r="AB174" s="110"/>
      <c r="AC174" s="110"/>
      <c r="AD174" s="110"/>
      <c r="AE174" s="110"/>
      <c r="AF174" s="110"/>
      <c r="AG174" s="110"/>
      <c r="AH174" s="110"/>
      <c r="AI174" s="110"/>
      <c r="AJ174" s="110"/>
      <c r="AK174" s="110"/>
      <c r="AL174" s="110"/>
      <c r="AM174" s="110"/>
      <c r="AN174" s="110"/>
      <c r="AO174" s="105"/>
      <c r="AP174" s="105"/>
      <c r="AQ174" s="105"/>
      <c r="AR174" s="105"/>
      <c r="AS174" s="105"/>
      <c r="AT174" s="105"/>
      <c r="AU174" s="105"/>
      <c r="AV174" s="105"/>
      <c r="AW174" s="105"/>
      <c r="AX174" s="105"/>
      <c r="AY174" s="105"/>
      <c r="AZ174" s="105"/>
      <c r="BA174" s="105"/>
      <c r="BB174" s="105"/>
    </row>
    <row r="175" spans="1:54" s="109" customFormat="1" ht="12" customHeight="1">
      <c r="A175" s="8">
        <v>12801</v>
      </c>
      <c r="B175" s="8" t="s">
        <v>96</v>
      </c>
      <c r="C175" s="8"/>
      <c r="D175" s="92">
        <f>+VLOOKUP(A175,Clasificaciones!C:I,5,FALSE)</f>
        <v>0</v>
      </c>
      <c r="E175" s="92">
        <v>0</v>
      </c>
      <c r="F175" s="92">
        <v>0</v>
      </c>
      <c r="G175" s="92">
        <f>+VLOOKUP(A175,Clasificaciones!C:M,9,FALSE)</f>
        <v>0</v>
      </c>
      <c r="H175" s="92">
        <f t="shared" si="17"/>
        <v>0</v>
      </c>
      <c r="I175" s="26">
        <v>0</v>
      </c>
      <c r="J175" s="26">
        <v>0</v>
      </c>
      <c r="K175" s="26">
        <f>-H175</f>
        <v>0</v>
      </c>
      <c r="L175" s="26">
        <v>0</v>
      </c>
      <c r="M175" s="26">
        <v>0</v>
      </c>
      <c r="N175" s="26">
        <v>0</v>
      </c>
      <c r="O175" s="26">
        <v>0</v>
      </c>
      <c r="P175" s="26">
        <v>0</v>
      </c>
      <c r="Q175" s="26">
        <v>0</v>
      </c>
      <c r="R175" s="26">
        <v>0</v>
      </c>
      <c r="S175" s="26">
        <v>0</v>
      </c>
      <c r="T175" s="26">
        <v>0</v>
      </c>
      <c r="U175" s="26">
        <v>0</v>
      </c>
      <c r="V175" s="26">
        <v>0</v>
      </c>
      <c r="W175" s="26">
        <v>0</v>
      </c>
      <c r="X175" s="26">
        <v>0</v>
      </c>
      <c r="Y175" s="26">
        <v>0</v>
      </c>
      <c r="Z175" s="26">
        <v>0</v>
      </c>
      <c r="AA175" s="26">
        <f t="shared" si="19"/>
        <v>0</v>
      </c>
      <c r="AB175" s="107"/>
      <c r="AC175" s="107"/>
      <c r="AD175" s="107"/>
      <c r="AE175" s="107"/>
      <c r="AF175" s="107"/>
      <c r="AG175" s="107"/>
      <c r="AH175" s="107"/>
      <c r="AI175" s="107"/>
      <c r="AJ175" s="107"/>
      <c r="AK175" s="107"/>
      <c r="AL175" s="107"/>
      <c r="AM175" s="107"/>
      <c r="AN175" s="107"/>
      <c r="AO175" s="108"/>
      <c r="AP175" s="108"/>
      <c r="AQ175" s="108"/>
      <c r="AR175" s="108"/>
      <c r="AS175" s="108"/>
      <c r="AT175" s="108"/>
      <c r="AU175" s="108"/>
      <c r="AV175" s="108"/>
      <c r="AW175" s="108"/>
      <c r="AX175" s="108"/>
      <c r="AY175" s="108"/>
      <c r="AZ175" s="108"/>
      <c r="BA175" s="108"/>
      <c r="BB175" s="108"/>
    </row>
    <row r="176" spans="1:54" s="109" customFormat="1" ht="12" customHeight="1">
      <c r="A176" s="8">
        <v>1280102</v>
      </c>
      <c r="B176" s="8" t="s">
        <v>837</v>
      </c>
      <c r="C176" s="8" t="str">
        <f>+VLOOKUP(A176,Clasificaciones!$C$4:$H$887,6,0)</f>
        <v>Licencia</v>
      </c>
      <c r="D176" s="92">
        <f>+VLOOKUP(A176,Clasificaciones!C:I,5,FALSE)</f>
        <v>345173952</v>
      </c>
      <c r="E176" s="92">
        <v>0</v>
      </c>
      <c r="F176" s="92">
        <v>0</v>
      </c>
      <c r="G176" s="92">
        <f>+VLOOKUP(A176,Clasificaciones!C:M,9,FALSE)</f>
        <v>190189175</v>
      </c>
      <c r="H176" s="92">
        <f t="shared" si="17"/>
        <v>154984777</v>
      </c>
      <c r="I176" s="26">
        <v>0</v>
      </c>
      <c r="J176" s="26">
        <v>0</v>
      </c>
      <c r="K176" s="26"/>
      <c r="L176" s="26">
        <v>0</v>
      </c>
      <c r="M176" s="26">
        <f t="shared" ref="M176:M177" si="24">-H176</f>
        <v>-154984777</v>
      </c>
      <c r="N176" s="26">
        <v>0</v>
      </c>
      <c r="O176" s="26">
        <v>0</v>
      </c>
      <c r="P176" s="26">
        <v>0</v>
      </c>
      <c r="Q176" s="26">
        <v>0</v>
      </c>
      <c r="R176" s="26">
        <v>0</v>
      </c>
      <c r="S176" s="26">
        <v>0</v>
      </c>
      <c r="T176" s="26">
        <v>0</v>
      </c>
      <c r="U176" s="26">
        <v>0</v>
      </c>
      <c r="V176" s="26">
        <v>0</v>
      </c>
      <c r="W176" s="26">
        <v>0</v>
      </c>
      <c r="X176" s="26">
        <v>0</v>
      </c>
      <c r="Y176" s="26">
        <v>0</v>
      </c>
      <c r="Z176" s="26">
        <v>0</v>
      </c>
      <c r="AA176" s="26">
        <f t="shared" si="19"/>
        <v>0</v>
      </c>
      <c r="AB176" s="107"/>
      <c r="AC176" s="107"/>
      <c r="AD176" s="107"/>
      <c r="AE176" s="107"/>
      <c r="AF176" s="107"/>
      <c r="AG176" s="107"/>
      <c r="AH176" s="107"/>
      <c r="AI176" s="107"/>
      <c r="AJ176" s="107"/>
      <c r="AK176" s="107"/>
      <c r="AL176" s="107"/>
      <c r="AM176" s="107"/>
      <c r="AN176" s="107"/>
      <c r="AO176" s="108"/>
      <c r="AP176" s="108"/>
      <c r="AQ176" s="108"/>
      <c r="AR176" s="108"/>
      <c r="AS176" s="108"/>
      <c r="AT176" s="108"/>
      <c r="AU176" s="108"/>
      <c r="AV176" s="108"/>
      <c r="AW176" s="108"/>
      <c r="AX176" s="108"/>
      <c r="AY176" s="108"/>
      <c r="AZ176" s="108"/>
      <c r="BA176" s="108"/>
      <c r="BB176" s="108"/>
    </row>
    <row r="177" spans="1:54" s="109" customFormat="1" ht="12" customHeight="1">
      <c r="A177" s="8">
        <v>12802</v>
      </c>
      <c r="B177" s="8" t="s">
        <v>838</v>
      </c>
      <c r="C177" s="8" t="str">
        <f>+VLOOKUP(A177,Clasificaciones!$C$4:$H$887,6,0)</f>
        <v>Programas Informáticos</v>
      </c>
      <c r="D177" s="92">
        <f>+VLOOKUP(A177,Clasificaciones!C:I,5,FALSE)</f>
        <v>690611542</v>
      </c>
      <c r="E177" s="92">
        <v>0</v>
      </c>
      <c r="F177" s="92">
        <v>0</v>
      </c>
      <c r="G177" s="92">
        <f>+VLOOKUP(A177,Clasificaciones!C:M,9,FALSE)</f>
        <v>664927388</v>
      </c>
      <c r="H177" s="92">
        <f t="shared" si="17"/>
        <v>25684154</v>
      </c>
      <c r="I177" s="26">
        <v>0</v>
      </c>
      <c r="J177" s="26">
        <v>0</v>
      </c>
      <c r="K177" s="26"/>
      <c r="L177" s="26">
        <v>0</v>
      </c>
      <c r="M177" s="26">
        <f t="shared" si="24"/>
        <v>-25684154</v>
      </c>
      <c r="N177" s="26">
        <v>0</v>
      </c>
      <c r="O177" s="26">
        <v>0</v>
      </c>
      <c r="P177" s="26">
        <v>0</v>
      </c>
      <c r="Q177" s="26">
        <v>0</v>
      </c>
      <c r="R177" s="26">
        <v>0</v>
      </c>
      <c r="S177" s="26">
        <v>0</v>
      </c>
      <c r="T177" s="26">
        <v>0</v>
      </c>
      <c r="U177" s="26">
        <v>0</v>
      </c>
      <c r="V177" s="26">
        <v>0</v>
      </c>
      <c r="W177" s="26">
        <v>0</v>
      </c>
      <c r="X177" s="26">
        <v>0</v>
      </c>
      <c r="Y177" s="26">
        <v>0</v>
      </c>
      <c r="Z177" s="26">
        <v>0</v>
      </c>
      <c r="AA177" s="26">
        <f t="shared" si="19"/>
        <v>0</v>
      </c>
      <c r="AB177" s="107"/>
      <c r="AC177" s="107"/>
      <c r="AD177" s="107"/>
      <c r="AE177" s="107"/>
      <c r="AF177" s="107"/>
      <c r="AG177" s="107"/>
      <c r="AH177" s="107"/>
      <c r="AI177" s="107"/>
      <c r="AJ177" s="107"/>
      <c r="AK177" s="107"/>
      <c r="AL177" s="107"/>
      <c r="AM177" s="107"/>
      <c r="AN177" s="107"/>
      <c r="AO177" s="108"/>
      <c r="AP177" s="108"/>
      <c r="AQ177" s="108"/>
      <c r="AR177" s="108"/>
      <c r="AS177" s="108"/>
      <c r="AT177" s="108"/>
      <c r="AU177" s="108"/>
      <c r="AV177" s="108"/>
      <c r="AW177" s="108"/>
      <c r="AX177" s="108"/>
      <c r="AY177" s="108"/>
      <c r="AZ177" s="108"/>
      <c r="BA177" s="108"/>
      <c r="BB177" s="108"/>
    </row>
    <row r="178" spans="1:54" s="109" customFormat="1" ht="12" customHeight="1">
      <c r="A178" s="8">
        <v>12803</v>
      </c>
      <c r="B178" s="8" t="s">
        <v>97</v>
      </c>
      <c r="C178" s="8"/>
      <c r="D178" s="92">
        <f>+VLOOKUP(A178,Clasificaciones!C:I,5,FALSE)</f>
        <v>8000000</v>
      </c>
      <c r="E178" s="92">
        <v>0</v>
      </c>
      <c r="F178" s="92">
        <v>0</v>
      </c>
      <c r="G178" s="92">
        <f>+VLOOKUP(A178,Clasificaciones!C:M,9,FALSE)</f>
        <v>8000000</v>
      </c>
      <c r="H178" s="92">
        <f t="shared" si="17"/>
        <v>0</v>
      </c>
      <c r="I178" s="26">
        <v>0</v>
      </c>
      <c r="J178" s="26">
        <v>0</v>
      </c>
      <c r="K178" s="26">
        <f t="shared" ref="K178:K179" si="25">-H178</f>
        <v>0</v>
      </c>
      <c r="L178" s="26">
        <v>0</v>
      </c>
      <c r="M178" s="26">
        <v>0</v>
      </c>
      <c r="N178" s="26">
        <v>0</v>
      </c>
      <c r="O178" s="26">
        <v>0</v>
      </c>
      <c r="P178" s="26">
        <v>0</v>
      </c>
      <c r="Q178" s="26">
        <v>0</v>
      </c>
      <c r="R178" s="26">
        <v>0</v>
      </c>
      <c r="S178" s="26">
        <v>0</v>
      </c>
      <c r="T178" s="26">
        <v>0</v>
      </c>
      <c r="U178" s="26">
        <v>0</v>
      </c>
      <c r="V178" s="26">
        <v>0</v>
      </c>
      <c r="W178" s="26">
        <v>0</v>
      </c>
      <c r="X178" s="26">
        <v>0</v>
      </c>
      <c r="Y178" s="26">
        <v>0</v>
      </c>
      <c r="Z178" s="26">
        <v>0</v>
      </c>
      <c r="AA178" s="26">
        <f t="shared" si="19"/>
        <v>0</v>
      </c>
      <c r="AB178" s="107"/>
      <c r="AC178" s="107"/>
      <c r="AD178" s="107"/>
      <c r="AE178" s="107"/>
      <c r="AF178" s="107"/>
      <c r="AG178" s="107"/>
      <c r="AH178" s="107"/>
      <c r="AI178" s="107"/>
      <c r="AJ178" s="107"/>
      <c r="AK178" s="107"/>
      <c r="AL178" s="107"/>
      <c r="AM178" s="107"/>
      <c r="AN178" s="107"/>
      <c r="AO178" s="108"/>
      <c r="AP178" s="108"/>
      <c r="AQ178" s="108"/>
      <c r="AR178" s="108"/>
      <c r="AS178" s="108"/>
      <c r="AT178" s="108"/>
      <c r="AU178" s="108"/>
      <c r="AV178" s="108"/>
      <c r="AW178" s="108"/>
      <c r="AX178" s="108"/>
      <c r="AY178" s="108"/>
      <c r="AZ178" s="108"/>
      <c r="BA178" s="108"/>
      <c r="BB178" s="108"/>
    </row>
    <row r="179" spans="1:54" s="109" customFormat="1" ht="12" customHeight="1">
      <c r="A179" s="8">
        <v>12804</v>
      </c>
      <c r="B179" s="8" t="s">
        <v>331</v>
      </c>
      <c r="C179" s="8"/>
      <c r="D179" s="92">
        <f>+VLOOKUP(A179,Clasificaciones!C:I,5,FALSE)</f>
        <v>0</v>
      </c>
      <c r="E179" s="92">
        <v>0</v>
      </c>
      <c r="F179" s="92">
        <v>0</v>
      </c>
      <c r="G179" s="92">
        <f>+VLOOKUP(A179,Clasificaciones!C:M,9,FALSE)</f>
        <v>0</v>
      </c>
      <c r="H179" s="92">
        <f t="shared" si="17"/>
        <v>0</v>
      </c>
      <c r="I179" s="26">
        <v>0</v>
      </c>
      <c r="J179" s="26">
        <v>0</v>
      </c>
      <c r="K179" s="26">
        <f t="shared" si="25"/>
        <v>0</v>
      </c>
      <c r="L179" s="26">
        <v>0</v>
      </c>
      <c r="M179" s="26">
        <v>0</v>
      </c>
      <c r="N179" s="26">
        <v>0</v>
      </c>
      <c r="O179" s="26">
        <v>0</v>
      </c>
      <c r="P179" s="26">
        <v>0</v>
      </c>
      <c r="Q179" s="26">
        <v>0</v>
      </c>
      <c r="R179" s="26">
        <v>0</v>
      </c>
      <c r="S179" s="26">
        <v>0</v>
      </c>
      <c r="T179" s="26">
        <v>0</v>
      </c>
      <c r="U179" s="26">
        <v>0</v>
      </c>
      <c r="V179" s="26">
        <v>0</v>
      </c>
      <c r="W179" s="26">
        <v>0</v>
      </c>
      <c r="X179" s="26">
        <v>0</v>
      </c>
      <c r="Y179" s="26">
        <v>0</v>
      </c>
      <c r="Z179" s="26">
        <v>0</v>
      </c>
      <c r="AA179" s="26">
        <f t="shared" si="19"/>
        <v>0</v>
      </c>
      <c r="AB179" s="107"/>
      <c r="AC179" s="107"/>
      <c r="AD179" s="107"/>
      <c r="AE179" s="107"/>
      <c r="AF179" s="107"/>
      <c r="AG179" s="107"/>
      <c r="AH179" s="107"/>
      <c r="AI179" s="107"/>
      <c r="AJ179" s="107"/>
      <c r="AK179" s="107"/>
      <c r="AL179" s="107"/>
      <c r="AM179" s="107"/>
      <c r="AN179" s="107"/>
      <c r="AO179" s="108"/>
      <c r="AP179" s="108"/>
      <c r="AQ179" s="108"/>
      <c r="AR179" s="108"/>
      <c r="AS179" s="108"/>
      <c r="AT179" s="108"/>
      <c r="AU179" s="108"/>
      <c r="AV179" s="108"/>
      <c r="AW179" s="108"/>
      <c r="AX179" s="108"/>
      <c r="AY179" s="108"/>
      <c r="AZ179" s="108"/>
      <c r="BA179" s="108"/>
      <c r="BB179" s="108"/>
    </row>
    <row r="180" spans="1:54" s="109" customFormat="1" ht="12" customHeight="1">
      <c r="A180" s="8">
        <v>1280401</v>
      </c>
      <c r="B180" s="8" t="s">
        <v>170</v>
      </c>
      <c r="C180" s="8"/>
      <c r="D180" s="92">
        <f>+VLOOKUP(A180,Clasificaciones!C:I,5,FALSE)</f>
        <v>57764419</v>
      </c>
      <c r="E180" s="92">
        <v>0</v>
      </c>
      <c r="F180" s="92">
        <v>0</v>
      </c>
      <c r="G180" s="92">
        <f>+VLOOKUP(A180,Clasificaciones!C:M,9,FALSE)</f>
        <v>57764419</v>
      </c>
      <c r="H180" s="92">
        <f t="shared" si="17"/>
        <v>0</v>
      </c>
      <c r="I180" s="26">
        <v>0</v>
      </c>
      <c r="J180" s="26">
        <v>0</v>
      </c>
      <c r="K180" s="26">
        <v>0</v>
      </c>
      <c r="L180" s="26">
        <v>0</v>
      </c>
      <c r="M180" s="26">
        <v>0</v>
      </c>
      <c r="N180" s="26">
        <v>0</v>
      </c>
      <c r="O180" s="26">
        <v>0</v>
      </c>
      <c r="P180" s="26">
        <v>0</v>
      </c>
      <c r="Q180" s="26">
        <v>0</v>
      </c>
      <c r="R180" s="26">
        <v>0</v>
      </c>
      <c r="S180" s="26">
        <v>0</v>
      </c>
      <c r="T180" s="26">
        <v>0</v>
      </c>
      <c r="U180" s="26">
        <v>0</v>
      </c>
      <c r="V180" s="26">
        <v>0</v>
      </c>
      <c r="W180" s="26">
        <v>0</v>
      </c>
      <c r="X180" s="26">
        <v>0</v>
      </c>
      <c r="Y180" s="26">
        <v>0</v>
      </c>
      <c r="Z180" s="26">
        <v>0</v>
      </c>
      <c r="AA180" s="26">
        <f t="shared" si="19"/>
        <v>0</v>
      </c>
      <c r="AB180" s="107"/>
      <c r="AC180" s="107"/>
      <c r="AD180" s="107"/>
      <c r="AE180" s="107"/>
      <c r="AF180" s="107"/>
      <c r="AG180" s="107"/>
      <c r="AH180" s="107"/>
      <c r="AI180" s="107"/>
      <c r="AJ180" s="107"/>
      <c r="AK180" s="107"/>
      <c r="AL180" s="107"/>
      <c r="AM180" s="107"/>
      <c r="AN180" s="107"/>
      <c r="AO180" s="108"/>
      <c r="AP180" s="108"/>
      <c r="AQ180" s="108"/>
      <c r="AR180" s="108"/>
      <c r="AS180" s="108"/>
      <c r="AT180" s="108"/>
      <c r="AU180" s="108"/>
      <c r="AV180" s="108"/>
      <c r="AW180" s="108"/>
      <c r="AX180" s="108"/>
      <c r="AY180" s="108"/>
      <c r="AZ180" s="108"/>
      <c r="BA180" s="108"/>
      <c r="BB180" s="108"/>
    </row>
    <row r="181" spans="1:54" s="109" customFormat="1" ht="12" customHeight="1">
      <c r="A181" s="8">
        <v>12808</v>
      </c>
      <c r="B181" s="8" t="s">
        <v>1416</v>
      </c>
      <c r="C181" s="8" t="str">
        <f>+VLOOKUP(A181,Clasificaciones!$C$4:$H$887,6,0)</f>
        <v>Programas Informáticos</v>
      </c>
      <c r="D181" s="92">
        <f>+VLOOKUP(A181,Clasificaciones!C:I,5,FALSE)</f>
        <v>45425205</v>
      </c>
      <c r="E181" s="92">
        <v>0</v>
      </c>
      <c r="F181" s="92">
        <v>0</v>
      </c>
      <c r="G181" s="92">
        <f>+VLOOKUP(A181,Clasificaciones!C:M,9,FALSE)</f>
        <v>0</v>
      </c>
      <c r="H181" s="92">
        <f t="shared" ref="H181" si="26">+D181-G181+E181-F181</f>
        <v>45425205</v>
      </c>
      <c r="I181" s="26">
        <v>0</v>
      </c>
      <c r="J181" s="26">
        <v>0</v>
      </c>
      <c r="K181" s="26"/>
      <c r="L181" s="26">
        <v>0</v>
      </c>
      <c r="M181" s="26">
        <f>-H181</f>
        <v>-45425205</v>
      </c>
      <c r="N181" s="26">
        <v>0</v>
      </c>
      <c r="O181" s="26">
        <v>0</v>
      </c>
      <c r="P181" s="26">
        <v>0</v>
      </c>
      <c r="Q181" s="26">
        <v>0</v>
      </c>
      <c r="R181" s="26">
        <v>0</v>
      </c>
      <c r="S181" s="26">
        <v>0</v>
      </c>
      <c r="T181" s="26">
        <v>0</v>
      </c>
      <c r="U181" s="26">
        <v>0</v>
      </c>
      <c r="V181" s="26">
        <v>0</v>
      </c>
      <c r="W181" s="26">
        <v>0</v>
      </c>
      <c r="X181" s="26">
        <v>0</v>
      </c>
      <c r="Y181" s="26">
        <v>0</v>
      </c>
      <c r="Z181" s="26">
        <v>0</v>
      </c>
      <c r="AA181" s="26">
        <f t="shared" si="19"/>
        <v>0</v>
      </c>
      <c r="AB181" s="107"/>
      <c r="AC181" s="107"/>
      <c r="AD181" s="107"/>
      <c r="AE181" s="107"/>
      <c r="AF181" s="107"/>
      <c r="AG181" s="107"/>
      <c r="AH181" s="107"/>
      <c r="AI181" s="107"/>
      <c r="AJ181" s="107"/>
      <c r="AK181" s="107"/>
      <c r="AL181" s="107"/>
      <c r="AM181" s="107"/>
      <c r="AN181" s="107"/>
      <c r="AO181" s="108"/>
      <c r="AP181" s="108"/>
      <c r="AQ181" s="108"/>
      <c r="AR181" s="108"/>
      <c r="AS181" s="108"/>
      <c r="AT181" s="108"/>
      <c r="AU181" s="108"/>
      <c r="AV181" s="108"/>
      <c r="AW181" s="108"/>
      <c r="AX181" s="108"/>
      <c r="AY181" s="108"/>
      <c r="AZ181" s="108"/>
      <c r="BA181" s="108"/>
      <c r="BB181" s="108"/>
    </row>
    <row r="182" spans="1:54" s="106" customFormat="1" ht="12" customHeight="1">
      <c r="A182" s="8">
        <v>12820</v>
      </c>
      <c r="B182" s="8" t="s">
        <v>840</v>
      </c>
      <c r="C182" s="8"/>
      <c r="D182" s="92">
        <f>+VLOOKUP(A182,Clasificaciones!C:I,5,FALSE)</f>
        <v>0</v>
      </c>
      <c r="E182" s="92">
        <v>0</v>
      </c>
      <c r="F182" s="92">
        <v>0</v>
      </c>
      <c r="G182" s="92">
        <f>+VLOOKUP(A182,Clasificaciones!C:M,9,FALSE)</f>
        <v>0</v>
      </c>
      <c r="H182" s="92">
        <f t="shared" si="17"/>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c r="Z182" s="26">
        <v>0</v>
      </c>
      <c r="AA182" s="26">
        <f t="shared" si="19"/>
        <v>0</v>
      </c>
      <c r="AB182" s="110"/>
      <c r="AC182" s="110"/>
      <c r="AD182" s="110"/>
      <c r="AE182" s="110"/>
      <c r="AF182" s="110"/>
      <c r="AG182" s="110"/>
      <c r="AH182" s="110"/>
      <c r="AI182" s="110"/>
      <c r="AJ182" s="110"/>
      <c r="AK182" s="110"/>
      <c r="AL182" s="110"/>
      <c r="AM182" s="110"/>
      <c r="AN182" s="110"/>
      <c r="AO182" s="105"/>
      <c r="AP182" s="105"/>
      <c r="AQ182" s="105"/>
      <c r="AR182" s="105"/>
      <c r="AS182" s="105"/>
      <c r="AT182" s="105"/>
      <c r="AU182" s="105"/>
      <c r="AV182" s="105"/>
      <c r="AW182" s="105"/>
      <c r="AX182" s="105"/>
      <c r="AY182" s="105"/>
      <c r="AZ182" s="105"/>
      <c r="BA182" s="105"/>
      <c r="BB182" s="105"/>
    </row>
    <row r="183" spans="1:54" s="109" customFormat="1" ht="12" customHeight="1">
      <c r="A183" s="8">
        <v>1282001</v>
      </c>
      <c r="B183" s="8" t="s">
        <v>96</v>
      </c>
      <c r="C183" s="8"/>
      <c r="D183" s="92">
        <f>+VLOOKUP(A183,Clasificaciones!C:I,5,FALSE)</f>
        <v>-39032934</v>
      </c>
      <c r="E183" s="177">
        <f>+F438</f>
        <v>38037943</v>
      </c>
      <c r="F183" s="92">
        <v>0</v>
      </c>
      <c r="G183" s="92">
        <f>+VLOOKUP(A183,Clasificaciones!C:M,9,FALSE)</f>
        <v>-994992</v>
      </c>
      <c r="H183" s="92">
        <f t="shared" si="17"/>
        <v>1</v>
      </c>
      <c r="I183" s="26">
        <v>0</v>
      </c>
      <c r="J183" s="26">
        <v>0</v>
      </c>
      <c r="K183" s="26">
        <v>0</v>
      </c>
      <c r="L183" s="26">
        <v>0</v>
      </c>
      <c r="M183" s="26">
        <v>0</v>
      </c>
      <c r="N183" s="26">
        <v>0</v>
      </c>
      <c r="O183" s="26">
        <v>0</v>
      </c>
      <c r="P183" s="26">
        <v>0</v>
      </c>
      <c r="Q183" s="26">
        <v>0</v>
      </c>
      <c r="R183" s="26">
        <f t="shared" ref="R183:R185" si="27">-H183</f>
        <v>-1</v>
      </c>
      <c r="S183" s="26">
        <v>0</v>
      </c>
      <c r="T183" s="26">
        <v>0</v>
      </c>
      <c r="U183" s="26">
        <v>0</v>
      </c>
      <c r="V183" s="26">
        <v>0</v>
      </c>
      <c r="W183" s="26">
        <v>0</v>
      </c>
      <c r="X183" s="26">
        <v>0</v>
      </c>
      <c r="Y183" s="26">
        <v>0</v>
      </c>
      <c r="Z183" s="26">
        <v>0</v>
      </c>
      <c r="AA183" s="26">
        <f t="shared" si="19"/>
        <v>0</v>
      </c>
      <c r="AB183" s="107"/>
      <c r="AC183" s="107"/>
      <c r="AD183" s="107"/>
      <c r="AE183" s="107"/>
      <c r="AF183" s="107"/>
      <c r="AG183" s="107"/>
      <c r="AH183" s="107"/>
      <c r="AI183" s="107"/>
      <c r="AJ183" s="107"/>
      <c r="AK183" s="107"/>
      <c r="AL183" s="107"/>
      <c r="AM183" s="107"/>
      <c r="AN183" s="107"/>
      <c r="AO183" s="108"/>
      <c r="AP183" s="108"/>
      <c r="AQ183" s="108"/>
      <c r="AR183" s="108"/>
      <c r="AS183" s="108"/>
      <c r="AT183" s="108"/>
      <c r="AU183" s="108"/>
      <c r="AV183" s="108"/>
      <c r="AW183" s="108"/>
      <c r="AX183" s="108"/>
      <c r="AY183" s="108"/>
      <c r="AZ183" s="108"/>
      <c r="BA183" s="108"/>
      <c r="BB183" s="108"/>
    </row>
    <row r="184" spans="1:54" s="109" customFormat="1" ht="12" customHeight="1">
      <c r="A184" s="8">
        <v>1282002</v>
      </c>
      <c r="B184" s="8" t="s">
        <v>97</v>
      </c>
      <c r="C184" s="8"/>
      <c r="D184" s="92">
        <f>+VLOOKUP(A184,Clasificaciones!C:I,5,FALSE)</f>
        <v>-3200012</v>
      </c>
      <c r="E184" s="177">
        <f>+F439</f>
        <v>1600009</v>
      </c>
      <c r="F184" s="92">
        <v>0</v>
      </c>
      <c r="G184" s="92">
        <f>+VLOOKUP(A184,Clasificaciones!C:M,9,FALSE)</f>
        <v>-1600008</v>
      </c>
      <c r="H184" s="92">
        <f t="shared" si="17"/>
        <v>5</v>
      </c>
      <c r="I184" s="26">
        <v>0</v>
      </c>
      <c r="J184" s="26">
        <v>0</v>
      </c>
      <c r="K184" s="26">
        <v>0</v>
      </c>
      <c r="L184" s="26">
        <v>0</v>
      </c>
      <c r="M184" s="26">
        <v>0</v>
      </c>
      <c r="N184" s="26">
        <v>0</v>
      </c>
      <c r="O184" s="26">
        <v>0</v>
      </c>
      <c r="P184" s="26">
        <v>0</v>
      </c>
      <c r="Q184" s="26">
        <v>0</v>
      </c>
      <c r="R184" s="26">
        <f t="shared" si="27"/>
        <v>-5</v>
      </c>
      <c r="S184" s="26">
        <v>0</v>
      </c>
      <c r="T184" s="26">
        <v>0</v>
      </c>
      <c r="U184" s="26">
        <v>0</v>
      </c>
      <c r="V184" s="26">
        <v>0</v>
      </c>
      <c r="W184" s="26">
        <v>0</v>
      </c>
      <c r="X184" s="26">
        <v>0</v>
      </c>
      <c r="Y184" s="26">
        <v>0</v>
      </c>
      <c r="Z184" s="26">
        <v>0</v>
      </c>
      <c r="AA184" s="26">
        <f t="shared" si="19"/>
        <v>0</v>
      </c>
      <c r="AB184" s="107"/>
      <c r="AC184" s="107"/>
      <c r="AD184" s="107"/>
      <c r="AE184" s="107"/>
      <c r="AF184" s="107"/>
      <c r="AG184" s="107"/>
      <c r="AH184" s="107"/>
      <c r="AI184" s="107"/>
      <c r="AJ184" s="107"/>
      <c r="AK184" s="107"/>
      <c r="AL184" s="107"/>
      <c r="AM184" s="107"/>
      <c r="AN184" s="107"/>
      <c r="AO184" s="108"/>
      <c r="AP184" s="108"/>
      <c r="AQ184" s="108"/>
      <c r="AR184" s="108"/>
      <c r="AS184" s="108"/>
      <c r="AT184" s="108"/>
      <c r="AU184" s="108"/>
      <c r="AV184" s="108"/>
      <c r="AW184" s="108"/>
      <c r="AX184" s="108"/>
      <c r="AY184" s="108"/>
      <c r="AZ184" s="108"/>
      <c r="BA184" s="108"/>
      <c r="BB184" s="108"/>
    </row>
    <row r="185" spans="1:54" s="109" customFormat="1" ht="12" customHeight="1">
      <c r="A185" s="8">
        <v>1282003</v>
      </c>
      <c r="B185" s="8" t="s">
        <v>170</v>
      </c>
      <c r="C185" s="8"/>
      <c r="D185" s="92">
        <f>+VLOOKUP(A185,Clasificaciones!C:I,5,FALSE)</f>
        <v>-43292732</v>
      </c>
      <c r="E185" s="177">
        <f>+F436</f>
        <v>7235861</v>
      </c>
      <c r="F185" s="92">
        <v>0</v>
      </c>
      <c r="G185" s="92">
        <f>+VLOOKUP(A185,Clasificaciones!C:M,9,FALSE)</f>
        <v>-36056876</v>
      </c>
      <c r="H185" s="92">
        <f>+D185-G185+E185-F185</f>
        <v>5</v>
      </c>
      <c r="I185" s="26">
        <v>0</v>
      </c>
      <c r="J185" s="26">
        <v>0</v>
      </c>
      <c r="K185" s="26">
        <v>0</v>
      </c>
      <c r="L185" s="26">
        <v>0</v>
      </c>
      <c r="M185" s="26">
        <v>0</v>
      </c>
      <c r="N185" s="26">
        <v>0</v>
      </c>
      <c r="O185" s="26">
        <v>0</v>
      </c>
      <c r="P185" s="26">
        <v>0</v>
      </c>
      <c r="Q185" s="26">
        <v>0</v>
      </c>
      <c r="R185" s="26">
        <f t="shared" si="27"/>
        <v>-5</v>
      </c>
      <c r="S185" s="26">
        <v>0</v>
      </c>
      <c r="T185" s="26">
        <v>0</v>
      </c>
      <c r="U185" s="26">
        <v>0</v>
      </c>
      <c r="V185" s="26">
        <v>0</v>
      </c>
      <c r="W185" s="26">
        <v>0</v>
      </c>
      <c r="X185" s="26">
        <v>0</v>
      </c>
      <c r="Y185" s="26">
        <v>0</v>
      </c>
      <c r="Z185" s="26">
        <v>0</v>
      </c>
      <c r="AA185" s="26">
        <f t="shared" si="19"/>
        <v>0</v>
      </c>
      <c r="AB185" s="107"/>
      <c r="AC185" s="107"/>
      <c r="AD185" s="107"/>
      <c r="AE185" s="107"/>
      <c r="AF185" s="107"/>
      <c r="AG185" s="107"/>
      <c r="AH185" s="107"/>
      <c r="AI185" s="107"/>
      <c r="AJ185" s="107"/>
      <c r="AK185" s="107"/>
      <c r="AL185" s="107"/>
      <c r="AM185" s="107"/>
      <c r="AN185" s="107"/>
      <c r="AO185" s="108"/>
      <c r="AP185" s="108"/>
      <c r="AQ185" s="108"/>
      <c r="AR185" s="108"/>
      <c r="AS185" s="108"/>
      <c r="AT185" s="108"/>
      <c r="AU185" s="108"/>
      <c r="AV185" s="108"/>
      <c r="AW185" s="108"/>
      <c r="AX185" s="108"/>
      <c r="AY185" s="108"/>
      <c r="AZ185" s="108"/>
      <c r="BA185" s="108"/>
      <c r="BB185" s="108"/>
    </row>
    <row r="186" spans="1:54" s="109" customFormat="1" ht="12" customHeight="1">
      <c r="A186" s="8">
        <v>1282004</v>
      </c>
      <c r="B186" s="8" t="s">
        <v>841</v>
      </c>
      <c r="C186" s="8"/>
      <c r="D186" s="92">
        <f>+VLOOKUP(A186,Clasificaciones!C:I,5,FALSE)</f>
        <v>-254552247</v>
      </c>
      <c r="E186" s="177">
        <f>+F437</f>
        <v>130145465</v>
      </c>
      <c r="F186" s="177">
        <f>1634426+181620</f>
        <v>1816046</v>
      </c>
      <c r="G186" s="92">
        <f>+VLOOKUP(A186,Clasificaciones!C:M,9,FALSE)</f>
        <v>-126222828</v>
      </c>
      <c r="H186" s="92">
        <f t="shared" ref="H186:H188" si="28">+D186-G186+E186-F186</f>
        <v>0</v>
      </c>
      <c r="I186" s="26">
        <v>0</v>
      </c>
      <c r="J186" s="26">
        <v>0</v>
      </c>
      <c r="K186" s="26">
        <v>0</v>
      </c>
      <c r="L186" s="26">
        <v>0</v>
      </c>
      <c r="M186" s="26">
        <v>0</v>
      </c>
      <c r="N186" s="26">
        <v>0</v>
      </c>
      <c r="O186" s="26">
        <v>0</v>
      </c>
      <c r="P186" s="26">
        <v>0</v>
      </c>
      <c r="Q186" s="26">
        <v>0</v>
      </c>
      <c r="R186" s="26">
        <v>0</v>
      </c>
      <c r="S186" s="26">
        <v>0</v>
      </c>
      <c r="T186" s="26">
        <v>0</v>
      </c>
      <c r="U186" s="26">
        <v>0</v>
      </c>
      <c r="V186" s="26">
        <v>0</v>
      </c>
      <c r="W186" s="26">
        <v>0</v>
      </c>
      <c r="X186" s="26">
        <v>0</v>
      </c>
      <c r="Y186" s="26">
        <v>0</v>
      </c>
      <c r="Z186" s="26">
        <v>0</v>
      </c>
      <c r="AA186" s="26">
        <f t="shared" si="19"/>
        <v>0</v>
      </c>
      <c r="AB186" s="107"/>
      <c r="AC186" s="107"/>
      <c r="AD186" s="107"/>
      <c r="AE186" s="107"/>
      <c r="AF186" s="107"/>
      <c r="AG186" s="107"/>
      <c r="AH186" s="107"/>
      <c r="AI186" s="107"/>
      <c r="AJ186" s="107"/>
      <c r="AK186" s="107"/>
      <c r="AL186" s="107"/>
      <c r="AM186" s="107"/>
      <c r="AN186" s="107"/>
      <c r="AO186" s="108"/>
      <c r="AP186" s="108"/>
      <c r="AQ186" s="108"/>
      <c r="AR186" s="108"/>
      <c r="AS186" s="108"/>
      <c r="AT186" s="108"/>
      <c r="AU186" s="108"/>
      <c r="AV186" s="108"/>
      <c r="AW186" s="108"/>
      <c r="AX186" s="108"/>
      <c r="AY186" s="108"/>
      <c r="AZ186" s="108"/>
      <c r="BA186" s="108"/>
      <c r="BB186" s="108"/>
    </row>
    <row r="187" spans="1:54" s="106" customFormat="1" ht="12" customHeight="1">
      <c r="A187" s="8">
        <v>129</v>
      </c>
      <c r="B187" s="8" t="s">
        <v>1317</v>
      </c>
      <c r="C187" s="8"/>
      <c r="D187" s="92">
        <f>+VLOOKUP(A187,Clasificaciones!C:I,5,FALSE)</f>
        <v>0</v>
      </c>
      <c r="E187" s="92">
        <v>0</v>
      </c>
      <c r="F187" s="92">
        <v>0</v>
      </c>
      <c r="G187" s="92">
        <f>+VLOOKUP(A187,Clasificaciones!C:M,9,FALSE)</f>
        <v>0</v>
      </c>
      <c r="H187" s="92">
        <f t="shared" si="28"/>
        <v>0</v>
      </c>
      <c r="I187" s="26">
        <v>0</v>
      </c>
      <c r="J187" s="26">
        <v>0</v>
      </c>
      <c r="K187" s="26">
        <f>-H187</f>
        <v>0</v>
      </c>
      <c r="L187" s="26">
        <v>0</v>
      </c>
      <c r="M187" s="26">
        <v>0</v>
      </c>
      <c r="N187" s="26">
        <v>0</v>
      </c>
      <c r="O187" s="26">
        <v>0</v>
      </c>
      <c r="P187" s="26">
        <v>0</v>
      </c>
      <c r="Q187" s="26">
        <v>0</v>
      </c>
      <c r="R187" s="26">
        <v>0</v>
      </c>
      <c r="S187" s="26">
        <v>0</v>
      </c>
      <c r="T187" s="26">
        <v>0</v>
      </c>
      <c r="U187" s="26">
        <v>0</v>
      </c>
      <c r="V187" s="26">
        <v>0</v>
      </c>
      <c r="W187" s="26">
        <v>0</v>
      </c>
      <c r="X187" s="26">
        <v>0</v>
      </c>
      <c r="Y187" s="26">
        <v>0</v>
      </c>
      <c r="Z187" s="26">
        <v>0</v>
      </c>
      <c r="AA187" s="26">
        <f t="shared" si="19"/>
        <v>0</v>
      </c>
      <c r="AB187" s="110"/>
      <c r="AC187" s="110"/>
      <c r="AD187" s="110"/>
      <c r="AE187" s="110"/>
      <c r="AF187" s="110"/>
      <c r="AG187" s="110"/>
      <c r="AH187" s="110"/>
      <c r="AI187" s="110"/>
      <c r="AJ187" s="110"/>
      <c r="AK187" s="110"/>
      <c r="AL187" s="110"/>
      <c r="AM187" s="110"/>
      <c r="AN187" s="110"/>
      <c r="AO187" s="105"/>
      <c r="AP187" s="105"/>
      <c r="AQ187" s="105"/>
      <c r="AR187" s="105"/>
      <c r="AS187" s="105"/>
      <c r="AT187" s="105"/>
      <c r="AU187" s="105"/>
      <c r="AV187" s="105"/>
      <c r="AW187" s="105"/>
      <c r="AX187" s="105"/>
      <c r="AY187" s="105"/>
      <c r="AZ187" s="105"/>
      <c r="BA187" s="105"/>
      <c r="BB187" s="105"/>
    </row>
    <row r="188" spans="1:54" s="109" customFormat="1" ht="12" customHeight="1">
      <c r="A188" s="8">
        <v>12901</v>
      </c>
      <c r="B188" s="8" t="s">
        <v>1318</v>
      </c>
      <c r="C188" s="8" t="str">
        <f>+VLOOKUP(A188,Clasificaciones!$C$4:$H$887,6,0)</f>
        <v>Garantía de Alquiler</v>
      </c>
      <c r="D188" s="92">
        <f>+VLOOKUP(A188,Clasificaciones!C:I,5,FALSE)</f>
        <v>12374918</v>
      </c>
      <c r="E188" s="92">
        <v>0</v>
      </c>
      <c r="F188" s="92">
        <v>0</v>
      </c>
      <c r="G188" s="92">
        <f>+VLOOKUP(A188,Clasificaciones!C:M,9,FALSE)</f>
        <v>0</v>
      </c>
      <c r="H188" s="92">
        <f t="shared" si="28"/>
        <v>12374918</v>
      </c>
      <c r="I188" s="26">
        <v>0</v>
      </c>
      <c r="J188" s="26">
        <v>0</v>
      </c>
      <c r="K188" s="26"/>
      <c r="L188" s="26">
        <v>0</v>
      </c>
      <c r="M188" s="26">
        <f>-H188</f>
        <v>-12374918</v>
      </c>
      <c r="N188" s="26">
        <v>0</v>
      </c>
      <c r="O188" s="26">
        <v>0</v>
      </c>
      <c r="P188" s="26">
        <v>0</v>
      </c>
      <c r="Q188" s="26">
        <v>0</v>
      </c>
      <c r="R188" s="26">
        <v>0</v>
      </c>
      <c r="S188" s="26">
        <v>0</v>
      </c>
      <c r="T188" s="26">
        <v>0</v>
      </c>
      <c r="U188" s="26">
        <v>0</v>
      </c>
      <c r="V188" s="26">
        <v>0</v>
      </c>
      <c r="W188" s="26">
        <v>0</v>
      </c>
      <c r="X188" s="26">
        <v>0</v>
      </c>
      <c r="Y188" s="26">
        <v>0</v>
      </c>
      <c r="Z188" s="26">
        <v>0</v>
      </c>
      <c r="AA188" s="26">
        <f t="shared" si="19"/>
        <v>0</v>
      </c>
      <c r="AB188" s="107"/>
      <c r="AC188" s="107"/>
      <c r="AD188" s="107"/>
      <c r="AE188" s="107"/>
      <c r="AF188" s="107"/>
      <c r="AG188" s="107"/>
      <c r="AH188" s="107"/>
      <c r="AI188" s="107"/>
      <c r="AJ188" s="107"/>
      <c r="AK188" s="107"/>
      <c r="AL188" s="107"/>
      <c r="AM188" s="107"/>
      <c r="AN188" s="107"/>
      <c r="AO188" s="108"/>
      <c r="AP188" s="108"/>
      <c r="AQ188" s="108"/>
      <c r="AR188" s="108"/>
      <c r="AS188" s="108"/>
      <c r="AT188" s="108"/>
      <c r="AU188" s="108"/>
      <c r="AV188" s="108"/>
      <c r="AW188" s="108"/>
      <c r="AX188" s="108"/>
      <c r="AY188" s="108"/>
      <c r="AZ188" s="108"/>
      <c r="BA188" s="108"/>
      <c r="BB188" s="108"/>
    </row>
    <row r="189" spans="1:54" s="109" customFormat="1" ht="12" customHeight="1">
      <c r="A189" s="8"/>
      <c r="B189" s="8"/>
      <c r="C189" s="8"/>
      <c r="D189" s="92"/>
      <c r="E189" s="92">
        <v>0</v>
      </c>
      <c r="F189" s="92">
        <v>0</v>
      </c>
      <c r="G189" s="92"/>
      <c r="H189" s="92">
        <f t="shared" ref="H189:H194" si="29">+D189-G189+E189-F189</f>
        <v>0</v>
      </c>
      <c r="I189" s="26"/>
      <c r="J189" s="26"/>
      <c r="K189" s="26"/>
      <c r="L189" s="26"/>
      <c r="M189" s="26"/>
      <c r="N189" s="26"/>
      <c r="O189" s="26"/>
      <c r="P189" s="26"/>
      <c r="Q189" s="26"/>
      <c r="R189" s="26"/>
      <c r="S189" s="26"/>
      <c r="T189" s="26"/>
      <c r="U189" s="26"/>
      <c r="V189" s="26"/>
      <c r="W189" s="26"/>
      <c r="X189" s="26"/>
      <c r="Y189" s="26"/>
      <c r="Z189" s="26"/>
      <c r="AA189" s="26">
        <f t="shared" si="19"/>
        <v>0</v>
      </c>
      <c r="AB189" s="107"/>
      <c r="AC189" s="107"/>
      <c r="AD189" s="107"/>
      <c r="AE189" s="107"/>
      <c r="AF189" s="107"/>
      <c r="AG189" s="107"/>
      <c r="AH189" s="107"/>
      <c r="AI189" s="107"/>
      <c r="AJ189" s="107"/>
      <c r="AK189" s="107"/>
      <c r="AL189" s="107"/>
      <c r="AM189" s="107"/>
      <c r="AN189" s="107"/>
      <c r="AO189" s="108"/>
      <c r="AP189" s="108"/>
      <c r="AQ189" s="108"/>
      <c r="AR189" s="108"/>
      <c r="AS189" s="108"/>
      <c r="AT189" s="108"/>
      <c r="AU189" s="108"/>
      <c r="AV189" s="108"/>
      <c r="AW189" s="108"/>
      <c r="AX189" s="108"/>
      <c r="AY189" s="108"/>
      <c r="AZ189" s="108"/>
      <c r="BA189" s="108"/>
      <c r="BB189" s="108"/>
    </row>
    <row r="190" spans="1:54" s="109" customFormat="1" ht="12" customHeight="1">
      <c r="A190" s="8">
        <v>2</v>
      </c>
      <c r="B190" s="8" t="s">
        <v>8</v>
      </c>
      <c r="C190" s="8"/>
      <c r="D190" s="92">
        <f>+SUM(D191:D258)+'BG 2021'!C167</f>
        <v>0</v>
      </c>
      <c r="E190" s="92">
        <v>0</v>
      </c>
      <c r="F190" s="92">
        <v>0</v>
      </c>
      <c r="G190" s="92">
        <f>+SUM(G191:G254)+'BG 2020'!D105-'BG 2020'!D114-'BG 2020'!D112</f>
        <v>0</v>
      </c>
      <c r="H190" s="92">
        <f t="shared" si="29"/>
        <v>0</v>
      </c>
      <c r="I190" s="26">
        <v>0</v>
      </c>
      <c r="J190" s="26">
        <v>0</v>
      </c>
      <c r="K190" s="26">
        <v>0</v>
      </c>
      <c r="L190" s="26">
        <v>0</v>
      </c>
      <c r="M190" s="26">
        <v>0</v>
      </c>
      <c r="N190" s="26">
        <v>0</v>
      </c>
      <c r="O190" s="26">
        <v>0</v>
      </c>
      <c r="P190" s="26">
        <v>0</v>
      </c>
      <c r="Q190" s="26">
        <v>0</v>
      </c>
      <c r="R190" s="26">
        <v>0</v>
      </c>
      <c r="S190" s="26">
        <v>0</v>
      </c>
      <c r="T190" s="26">
        <v>0</v>
      </c>
      <c r="U190" s="26">
        <v>0</v>
      </c>
      <c r="V190" s="26">
        <v>0</v>
      </c>
      <c r="W190" s="26">
        <v>0</v>
      </c>
      <c r="X190" s="26">
        <v>0</v>
      </c>
      <c r="Y190" s="26">
        <v>0</v>
      </c>
      <c r="Z190" s="26">
        <v>0</v>
      </c>
      <c r="AA190" s="26">
        <f t="shared" si="19"/>
        <v>0</v>
      </c>
      <c r="AB190" s="107"/>
      <c r="AC190" s="107"/>
      <c r="AD190" s="107"/>
      <c r="AE190" s="107"/>
      <c r="AF190" s="107"/>
      <c r="AG190" s="107"/>
      <c r="AH190" s="107"/>
      <c r="AI190" s="107"/>
      <c r="AJ190" s="107"/>
      <c r="AK190" s="107"/>
      <c r="AL190" s="107"/>
      <c r="AM190" s="107"/>
      <c r="AN190" s="107"/>
      <c r="AO190" s="108"/>
      <c r="AP190" s="108"/>
      <c r="AQ190" s="108"/>
      <c r="AR190" s="108"/>
      <c r="AS190" s="108"/>
      <c r="AT190" s="108"/>
      <c r="AU190" s="108"/>
      <c r="AV190" s="108"/>
      <c r="AW190" s="108"/>
      <c r="AX190" s="108"/>
      <c r="AY190" s="108"/>
      <c r="AZ190" s="108"/>
      <c r="BA190" s="108"/>
      <c r="BB190" s="108"/>
    </row>
    <row r="191" spans="1:54" s="109" customFormat="1" ht="12" customHeight="1">
      <c r="A191" s="8">
        <v>21</v>
      </c>
      <c r="B191" s="8" t="s">
        <v>9</v>
      </c>
      <c r="C191" s="8"/>
      <c r="D191" s="92">
        <f>+VLOOKUP(A191,Clasificaciones!C:I,5,FALSE)</f>
        <v>0</v>
      </c>
      <c r="E191" s="92">
        <v>0</v>
      </c>
      <c r="F191" s="92">
        <v>0</v>
      </c>
      <c r="G191" s="92">
        <f>VLOOKUP(A191,Clasificaciones!C:M,9,FALSE)</f>
        <v>0</v>
      </c>
      <c r="H191" s="92">
        <f t="shared" si="29"/>
        <v>0</v>
      </c>
      <c r="I191" s="26">
        <v>0</v>
      </c>
      <c r="J191" s="26">
        <v>0</v>
      </c>
      <c r="K191" s="26">
        <f>-H191</f>
        <v>0</v>
      </c>
      <c r="L191" s="26">
        <v>0</v>
      </c>
      <c r="M191" s="26">
        <v>0</v>
      </c>
      <c r="N191" s="26">
        <v>0</v>
      </c>
      <c r="O191" s="26">
        <v>0</v>
      </c>
      <c r="P191" s="26">
        <v>0</v>
      </c>
      <c r="Q191" s="26">
        <v>0</v>
      </c>
      <c r="R191" s="26">
        <v>0</v>
      </c>
      <c r="S191" s="26">
        <v>0</v>
      </c>
      <c r="T191" s="26">
        <v>0</v>
      </c>
      <c r="U191" s="26">
        <v>0</v>
      </c>
      <c r="V191" s="26">
        <v>0</v>
      </c>
      <c r="W191" s="26">
        <v>0</v>
      </c>
      <c r="X191" s="26">
        <v>0</v>
      </c>
      <c r="Y191" s="26">
        <v>0</v>
      </c>
      <c r="Z191" s="26">
        <v>0</v>
      </c>
      <c r="AA191" s="26">
        <f t="shared" si="19"/>
        <v>0</v>
      </c>
      <c r="AB191" s="107"/>
      <c r="AC191" s="107"/>
      <c r="AD191" s="107"/>
      <c r="AE191" s="107"/>
      <c r="AF191" s="107"/>
      <c r="AG191" s="107"/>
      <c r="AH191" s="107"/>
      <c r="AI191" s="107"/>
      <c r="AJ191" s="107"/>
      <c r="AK191" s="107"/>
      <c r="AL191" s="107"/>
      <c r="AM191" s="107"/>
      <c r="AN191" s="107"/>
      <c r="AO191" s="108"/>
      <c r="AP191" s="108"/>
      <c r="AQ191" s="108"/>
      <c r="AR191" s="108"/>
      <c r="AS191" s="108"/>
      <c r="AT191" s="108"/>
      <c r="AU191" s="108"/>
      <c r="AV191" s="108"/>
      <c r="AW191" s="108"/>
      <c r="AX191" s="108"/>
      <c r="AY191" s="108"/>
      <c r="AZ191" s="108"/>
      <c r="BA191" s="108"/>
      <c r="BB191" s="108"/>
    </row>
    <row r="192" spans="1:54" s="109" customFormat="1" ht="12" customHeight="1">
      <c r="A192" s="8">
        <v>211</v>
      </c>
      <c r="B192" s="8" t="s">
        <v>842</v>
      </c>
      <c r="C192" s="8"/>
      <c r="D192" s="92">
        <f>+VLOOKUP(A192,Clasificaciones!C:I,5,FALSE)</f>
        <v>0</v>
      </c>
      <c r="E192" s="92">
        <v>0</v>
      </c>
      <c r="F192" s="92">
        <v>0</v>
      </c>
      <c r="G192" s="92">
        <f>VLOOKUP(A192,Clasificaciones!C:M,9,FALSE)</f>
        <v>0</v>
      </c>
      <c r="H192" s="92">
        <f t="shared" si="29"/>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c r="Z192" s="26">
        <v>0</v>
      </c>
      <c r="AA192" s="26">
        <f t="shared" si="19"/>
        <v>0</v>
      </c>
      <c r="AB192" s="107"/>
      <c r="AC192" s="107"/>
      <c r="AD192" s="107"/>
      <c r="AE192" s="107"/>
      <c r="AF192" s="107"/>
      <c r="AG192" s="107"/>
      <c r="AH192" s="107"/>
      <c r="AI192" s="107"/>
      <c r="AJ192" s="107"/>
      <c r="AK192" s="107"/>
      <c r="AL192" s="107"/>
      <c r="AM192" s="107"/>
      <c r="AN192" s="107"/>
      <c r="AO192" s="108"/>
      <c r="AP192" s="108"/>
      <c r="AQ192" s="108"/>
      <c r="AR192" s="108"/>
      <c r="AS192" s="108"/>
      <c r="AT192" s="108"/>
      <c r="AU192" s="108"/>
      <c r="AV192" s="108"/>
      <c r="AW192" s="108"/>
      <c r="AX192" s="108"/>
      <c r="AY192" s="108"/>
      <c r="AZ192" s="108"/>
      <c r="BA192" s="108"/>
      <c r="BB192" s="108"/>
    </row>
    <row r="193" spans="1:54" s="106" customFormat="1" ht="12" customHeight="1">
      <c r="A193" s="8">
        <v>21101</v>
      </c>
      <c r="B193" s="8" t="s">
        <v>843</v>
      </c>
      <c r="C193" s="8"/>
      <c r="D193" s="92">
        <f>+VLOOKUP(A193,Clasificaciones!C:I,5,FALSE)</f>
        <v>0</v>
      </c>
      <c r="E193" s="92">
        <v>0</v>
      </c>
      <c r="F193" s="92">
        <v>0</v>
      </c>
      <c r="G193" s="92">
        <f>VLOOKUP(A193,Clasificaciones!C:M,9,FALSE)</f>
        <v>0</v>
      </c>
      <c r="H193" s="92">
        <f t="shared" si="29"/>
        <v>0</v>
      </c>
      <c r="I193" s="26">
        <f>-H193</f>
        <v>0</v>
      </c>
      <c r="J193" s="26">
        <v>0</v>
      </c>
      <c r="K193" s="26">
        <v>0</v>
      </c>
      <c r="L193" s="26">
        <v>0</v>
      </c>
      <c r="M193" s="26">
        <v>0</v>
      </c>
      <c r="N193" s="26">
        <v>0</v>
      </c>
      <c r="O193" s="26">
        <v>0</v>
      </c>
      <c r="P193" s="26">
        <v>0</v>
      </c>
      <c r="Q193" s="26">
        <v>0</v>
      </c>
      <c r="R193" s="26">
        <v>0</v>
      </c>
      <c r="S193" s="26">
        <v>0</v>
      </c>
      <c r="T193" s="26">
        <v>0</v>
      </c>
      <c r="U193" s="26">
        <v>0</v>
      </c>
      <c r="V193" s="26">
        <v>0</v>
      </c>
      <c r="W193" s="26">
        <v>0</v>
      </c>
      <c r="X193" s="26">
        <v>0</v>
      </c>
      <c r="Y193" s="26">
        <v>0</v>
      </c>
      <c r="Z193" s="26">
        <v>0</v>
      </c>
      <c r="AA193" s="26">
        <f t="shared" si="19"/>
        <v>0</v>
      </c>
      <c r="AB193" s="110"/>
      <c r="AC193" s="110"/>
      <c r="AD193" s="110"/>
      <c r="AE193" s="110"/>
      <c r="AF193" s="110"/>
      <c r="AG193" s="110"/>
      <c r="AH193" s="110"/>
      <c r="AI193" s="110"/>
      <c r="AJ193" s="110"/>
      <c r="AK193" s="110"/>
      <c r="AL193" s="110"/>
      <c r="AM193" s="110"/>
      <c r="AN193" s="110"/>
      <c r="AO193" s="105"/>
      <c r="AP193" s="105"/>
      <c r="AQ193" s="105"/>
      <c r="AR193" s="105"/>
      <c r="AS193" s="105"/>
      <c r="AT193" s="105"/>
      <c r="AU193" s="105"/>
      <c r="AV193" s="105"/>
      <c r="AW193" s="105"/>
      <c r="AX193" s="105"/>
      <c r="AY193" s="105"/>
      <c r="AZ193" s="105"/>
      <c r="BA193" s="105"/>
      <c r="BB193" s="105"/>
    </row>
    <row r="194" spans="1:54" s="106" customFormat="1" ht="12" customHeight="1">
      <c r="A194" s="8">
        <v>2110101</v>
      </c>
      <c r="B194" s="8" t="s">
        <v>623</v>
      </c>
      <c r="C194" s="8"/>
      <c r="D194" s="92">
        <f>+VLOOKUP(A194,Clasificaciones!C:I,5,FALSE)</f>
        <v>0</v>
      </c>
      <c r="E194" s="92">
        <v>0</v>
      </c>
      <c r="F194" s="92">
        <v>0</v>
      </c>
      <c r="G194" s="92">
        <f>VLOOKUP(A194,Clasificaciones!C:M,9,FALSE)</f>
        <v>0</v>
      </c>
      <c r="H194" s="92">
        <f t="shared" si="29"/>
        <v>0</v>
      </c>
      <c r="I194" s="26">
        <f>-H194</f>
        <v>0</v>
      </c>
      <c r="J194" s="26">
        <v>0</v>
      </c>
      <c r="K194" s="26">
        <v>0</v>
      </c>
      <c r="L194" s="26">
        <v>0</v>
      </c>
      <c r="M194" s="26">
        <v>0</v>
      </c>
      <c r="N194" s="26">
        <v>0</v>
      </c>
      <c r="O194" s="26">
        <v>0</v>
      </c>
      <c r="P194" s="26">
        <v>0</v>
      </c>
      <c r="Q194" s="26">
        <v>0</v>
      </c>
      <c r="R194" s="26">
        <v>0</v>
      </c>
      <c r="S194" s="26">
        <v>0</v>
      </c>
      <c r="T194" s="26">
        <v>0</v>
      </c>
      <c r="U194" s="26">
        <v>0</v>
      </c>
      <c r="V194" s="26">
        <v>0</v>
      </c>
      <c r="W194" s="26">
        <v>0</v>
      </c>
      <c r="X194" s="26">
        <v>0</v>
      </c>
      <c r="Y194" s="26">
        <v>0</v>
      </c>
      <c r="Z194" s="26">
        <v>0</v>
      </c>
      <c r="AA194" s="26">
        <f t="shared" si="19"/>
        <v>0</v>
      </c>
      <c r="AB194" s="110"/>
      <c r="AC194" s="110"/>
      <c r="AD194" s="110"/>
      <c r="AE194" s="110"/>
      <c r="AF194" s="110"/>
      <c r="AG194" s="110"/>
      <c r="AH194" s="110"/>
      <c r="AI194" s="110"/>
      <c r="AJ194" s="110"/>
      <c r="AK194" s="110"/>
      <c r="AL194" s="110"/>
      <c r="AM194" s="110"/>
      <c r="AN194" s="110"/>
      <c r="AO194" s="105"/>
      <c r="AP194" s="105"/>
      <c r="AQ194" s="105"/>
      <c r="AR194" s="105"/>
      <c r="AS194" s="105"/>
      <c r="AT194" s="105"/>
      <c r="AU194" s="105"/>
      <c r="AV194" s="105"/>
      <c r="AW194" s="105"/>
      <c r="AX194" s="105"/>
      <c r="AY194" s="105"/>
      <c r="AZ194" s="105"/>
      <c r="BA194" s="105"/>
      <c r="BB194" s="105"/>
    </row>
    <row r="195" spans="1:54" s="106" customFormat="1" ht="12" customHeight="1">
      <c r="A195" s="8">
        <v>211010101</v>
      </c>
      <c r="B195" s="8" t="s">
        <v>504</v>
      </c>
      <c r="C195" s="8" t="str">
        <f>+VLOOKUP(A195,Clasificaciones!$C$4:$H$887,6,0)</f>
        <v>Acreedores por Intermediación</v>
      </c>
      <c r="D195" s="92">
        <f>+VLOOKUP(A195,Clasificaciones!C:I,5,FALSE)</f>
        <v>-121171240</v>
      </c>
      <c r="E195" s="92">
        <v>0</v>
      </c>
      <c r="F195" s="92">
        <v>0</v>
      </c>
      <c r="G195" s="92">
        <f>VLOOKUP(A195,Clasificaciones!C:M,9,FALSE)</f>
        <v>-20367047</v>
      </c>
      <c r="H195" s="92">
        <f>+D195-G195+E195-F195</f>
        <v>-100804193</v>
      </c>
      <c r="I195" s="26">
        <v>0</v>
      </c>
      <c r="J195" s="26">
        <v>0</v>
      </c>
      <c r="K195" s="26"/>
      <c r="L195" s="26">
        <v>0</v>
      </c>
      <c r="M195" s="26">
        <v>0</v>
      </c>
      <c r="N195" s="26">
        <v>0</v>
      </c>
      <c r="O195" s="26">
        <v>0</v>
      </c>
      <c r="P195" s="26">
        <v>0</v>
      </c>
      <c r="Q195" s="26">
        <v>0</v>
      </c>
      <c r="R195" s="26">
        <v>0</v>
      </c>
      <c r="S195" s="26">
        <f>-H195</f>
        <v>100804193</v>
      </c>
      <c r="T195" s="26">
        <v>0</v>
      </c>
      <c r="U195" s="26">
        <v>0</v>
      </c>
      <c r="V195" s="26">
        <v>0</v>
      </c>
      <c r="W195" s="26">
        <v>0</v>
      </c>
      <c r="X195" s="26">
        <v>0</v>
      </c>
      <c r="Y195" s="26">
        <v>0</v>
      </c>
      <c r="Z195" s="26">
        <v>0</v>
      </c>
      <c r="AA195" s="26">
        <f t="shared" si="19"/>
        <v>0</v>
      </c>
      <c r="AB195" s="110"/>
      <c r="AC195" s="110"/>
      <c r="AD195" s="110"/>
      <c r="AE195" s="110"/>
      <c r="AF195" s="110"/>
      <c r="AG195" s="110"/>
      <c r="AH195" s="110"/>
      <c r="AI195" s="110"/>
      <c r="AJ195" s="110"/>
      <c r="AK195" s="110"/>
      <c r="AL195" s="110"/>
      <c r="AM195" s="110"/>
      <c r="AN195" s="110"/>
      <c r="AO195" s="105"/>
      <c r="AP195" s="105"/>
      <c r="AQ195" s="105"/>
      <c r="AR195" s="105"/>
      <c r="AS195" s="105"/>
      <c r="AT195" s="105"/>
      <c r="AU195" s="105"/>
      <c r="AV195" s="105"/>
      <c r="AW195" s="105"/>
      <c r="AX195" s="105"/>
      <c r="AY195" s="105"/>
      <c r="AZ195" s="105"/>
      <c r="BA195" s="105"/>
      <c r="BB195" s="105"/>
    </row>
    <row r="196" spans="1:54" s="106" customFormat="1" ht="12" customHeight="1">
      <c r="A196" s="8">
        <v>211010102</v>
      </c>
      <c r="B196" s="8" t="s">
        <v>844</v>
      </c>
      <c r="C196" s="8" t="str">
        <f>+VLOOKUP(A196,Clasificaciones!$C$4:$H$887,6,0)</f>
        <v>Acreedores por Intermediación</v>
      </c>
      <c r="D196" s="92">
        <f>+VLOOKUP(A196,Clasificaciones!C:I,5,FALSE)</f>
        <v>-1073195</v>
      </c>
      <c r="E196" s="92">
        <v>0</v>
      </c>
      <c r="F196" s="92">
        <v>0</v>
      </c>
      <c r="G196" s="92">
        <f>VLOOKUP(A196,Clasificaciones!C:M,9,FALSE)</f>
        <v>0</v>
      </c>
      <c r="H196" s="92">
        <f t="shared" ref="H196:H254" si="30">+D196-G196+E196-F196</f>
        <v>-1073195</v>
      </c>
      <c r="I196" s="26">
        <v>0</v>
      </c>
      <c r="J196" s="26">
        <v>0</v>
      </c>
      <c r="K196" s="26"/>
      <c r="L196" s="26">
        <v>0</v>
      </c>
      <c r="M196" s="26">
        <v>0</v>
      </c>
      <c r="N196" s="26">
        <v>0</v>
      </c>
      <c r="O196" s="26">
        <v>0</v>
      </c>
      <c r="P196" s="26">
        <v>0</v>
      </c>
      <c r="Q196" s="26">
        <v>0</v>
      </c>
      <c r="R196" s="26">
        <v>0</v>
      </c>
      <c r="S196" s="26">
        <f t="shared" ref="S196:S198" si="31">-H196</f>
        <v>1073195</v>
      </c>
      <c r="T196" s="26">
        <v>0</v>
      </c>
      <c r="U196" s="26">
        <v>0</v>
      </c>
      <c r="V196" s="26">
        <v>0</v>
      </c>
      <c r="W196" s="26">
        <v>0</v>
      </c>
      <c r="X196" s="26">
        <v>0</v>
      </c>
      <c r="Y196" s="26">
        <v>0</v>
      </c>
      <c r="Z196" s="26">
        <v>0</v>
      </c>
      <c r="AA196" s="26">
        <f t="shared" si="19"/>
        <v>0</v>
      </c>
      <c r="AB196" s="110"/>
      <c r="AC196" s="110"/>
      <c r="AD196" s="110"/>
      <c r="AE196" s="110"/>
      <c r="AF196" s="110"/>
      <c r="AG196" s="110"/>
      <c r="AH196" s="110"/>
      <c r="AI196" s="110"/>
      <c r="AJ196" s="110"/>
      <c r="AK196" s="110"/>
      <c r="AL196" s="110"/>
      <c r="AM196" s="110"/>
      <c r="AN196" s="110"/>
      <c r="AO196" s="105"/>
      <c r="AP196" s="105"/>
      <c r="AQ196" s="105"/>
      <c r="AR196" s="105"/>
      <c r="AS196" s="105"/>
      <c r="AT196" s="105"/>
      <c r="AU196" s="105"/>
      <c r="AV196" s="105"/>
      <c r="AW196" s="105"/>
      <c r="AX196" s="105"/>
      <c r="AY196" s="105"/>
      <c r="AZ196" s="105"/>
      <c r="BA196" s="105"/>
      <c r="BB196" s="105"/>
    </row>
    <row r="197" spans="1:54" s="109" customFormat="1" ht="12" customHeight="1">
      <c r="A197" s="8">
        <v>211010103</v>
      </c>
      <c r="B197" s="8" t="s">
        <v>1319</v>
      </c>
      <c r="C197" s="8" t="str">
        <f>+VLOOKUP(A197,Clasificaciones!$C$4:$H$887,6,0)</f>
        <v>Acreedores por Intermediación</v>
      </c>
      <c r="D197" s="92">
        <f>+VLOOKUP(A197,Clasificaciones!C:I,5,FALSE)</f>
        <v>-18310822</v>
      </c>
      <c r="E197" s="92">
        <v>0</v>
      </c>
      <c r="F197" s="92">
        <v>0</v>
      </c>
      <c r="G197" s="92">
        <f>VLOOKUP(A197,Clasificaciones!C:M,9,FALSE)</f>
        <v>-8975342</v>
      </c>
      <c r="H197" s="92">
        <f t="shared" si="30"/>
        <v>-9335480</v>
      </c>
      <c r="I197" s="26">
        <v>0</v>
      </c>
      <c r="J197" s="26">
        <v>0</v>
      </c>
      <c r="K197" s="26"/>
      <c r="L197" s="26">
        <v>0</v>
      </c>
      <c r="M197" s="26">
        <v>0</v>
      </c>
      <c r="N197" s="26">
        <v>0</v>
      </c>
      <c r="O197" s="26">
        <v>0</v>
      </c>
      <c r="P197" s="26">
        <v>0</v>
      </c>
      <c r="Q197" s="26">
        <v>0</v>
      </c>
      <c r="R197" s="26">
        <v>0</v>
      </c>
      <c r="S197" s="26">
        <f t="shared" si="31"/>
        <v>9335480</v>
      </c>
      <c r="T197" s="26">
        <v>0</v>
      </c>
      <c r="U197" s="26">
        <v>0</v>
      </c>
      <c r="V197" s="26">
        <v>0</v>
      </c>
      <c r="W197" s="26">
        <v>0</v>
      </c>
      <c r="X197" s="26">
        <v>0</v>
      </c>
      <c r="Y197" s="26">
        <v>0</v>
      </c>
      <c r="Z197" s="26">
        <v>0</v>
      </c>
      <c r="AA197" s="26">
        <f t="shared" si="19"/>
        <v>0</v>
      </c>
      <c r="AB197" s="107"/>
      <c r="AC197" s="107"/>
      <c r="AD197" s="107"/>
      <c r="AE197" s="107"/>
      <c r="AF197" s="107"/>
      <c r="AG197" s="107"/>
      <c r="AH197" s="107"/>
      <c r="AI197" s="107"/>
      <c r="AJ197" s="107"/>
      <c r="AK197" s="107"/>
      <c r="AL197" s="107"/>
      <c r="AM197" s="107"/>
      <c r="AN197" s="107"/>
      <c r="AO197" s="108"/>
      <c r="AP197" s="108"/>
      <c r="AQ197" s="108"/>
      <c r="AR197" s="108"/>
      <c r="AS197" s="108"/>
      <c r="AT197" s="108"/>
      <c r="AU197" s="108"/>
      <c r="AV197" s="108"/>
      <c r="AW197" s="108"/>
      <c r="AX197" s="108"/>
      <c r="AY197" s="108"/>
      <c r="AZ197" s="108"/>
      <c r="BA197" s="108"/>
      <c r="BB197" s="108"/>
    </row>
    <row r="198" spans="1:54" s="109" customFormat="1" ht="12" customHeight="1">
      <c r="A198" s="8">
        <v>211010104</v>
      </c>
      <c r="B198" s="8" t="s">
        <v>1320</v>
      </c>
      <c r="C198" s="8" t="str">
        <f>+VLOOKUP(A198,Clasificaciones!$C$4:$H$887,6,0)</f>
        <v>Acreedores por Intermediación</v>
      </c>
      <c r="D198" s="92">
        <f>+VLOOKUP(A198,Clasificaciones!C:I,5,FALSE)</f>
        <v>-4507528</v>
      </c>
      <c r="E198" s="92">
        <v>0</v>
      </c>
      <c r="F198" s="92">
        <v>0</v>
      </c>
      <c r="G198" s="92">
        <f>VLOOKUP(A198,Clasificaciones!C:M,9,FALSE)</f>
        <v>0</v>
      </c>
      <c r="H198" s="92">
        <f t="shared" si="30"/>
        <v>-4507528</v>
      </c>
      <c r="I198" s="26">
        <v>0</v>
      </c>
      <c r="J198" s="26">
        <v>0</v>
      </c>
      <c r="K198" s="26"/>
      <c r="L198" s="26">
        <v>0</v>
      </c>
      <c r="M198" s="26">
        <v>0</v>
      </c>
      <c r="N198" s="26">
        <v>0</v>
      </c>
      <c r="O198" s="26">
        <v>0</v>
      </c>
      <c r="P198" s="26">
        <v>0</v>
      </c>
      <c r="Q198" s="26">
        <v>0</v>
      </c>
      <c r="R198" s="26">
        <v>0</v>
      </c>
      <c r="S198" s="26">
        <f t="shared" si="31"/>
        <v>4507528</v>
      </c>
      <c r="T198" s="26">
        <v>0</v>
      </c>
      <c r="U198" s="26">
        <v>0</v>
      </c>
      <c r="V198" s="26">
        <v>0</v>
      </c>
      <c r="W198" s="26">
        <v>0</v>
      </c>
      <c r="X198" s="26">
        <v>0</v>
      </c>
      <c r="Y198" s="26">
        <v>0</v>
      </c>
      <c r="Z198" s="26">
        <v>0</v>
      </c>
      <c r="AA198" s="26">
        <f t="shared" ref="AA198:AA261" si="32">SUM(H198:Z198)</f>
        <v>0</v>
      </c>
      <c r="AB198" s="107"/>
      <c r="AC198" s="107"/>
      <c r="AD198" s="107"/>
      <c r="AE198" s="107"/>
      <c r="AF198" s="107"/>
      <c r="AG198" s="107"/>
      <c r="AH198" s="107"/>
      <c r="AI198" s="107"/>
      <c r="AJ198" s="107"/>
      <c r="AK198" s="107"/>
      <c r="AL198" s="107"/>
      <c r="AM198" s="107"/>
      <c r="AN198" s="107"/>
      <c r="AO198" s="108"/>
      <c r="AP198" s="108"/>
      <c r="AQ198" s="108"/>
      <c r="AR198" s="108"/>
      <c r="AS198" s="108"/>
      <c r="AT198" s="108"/>
      <c r="AU198" s="108"/>
      <c r="AV198" s="108"/>
      <c r="AW198" s="108"/>
      <c r="AX198" s="108"/>
      <c r="AY198" s="108"/>
      <c r="AZ198" s="108"/>
      <c r="BA198" s="108"/>
      <c r="BB198" s="108"/>
    </row>
    <row r="199" spans="1:54" s="109" customFormat="1" ht="12" customHeight="1">
      <c r="A199" s="8">
        <v>2110103</v>
      </c>
      <c r="B199" s="8" t="s">
        <v>845</v>
      </c>
      <c r="C199" s="8"/>
      <c r="D199" s="92">
        <f>+VLOOKUP(A199,Clasificaciones!C:I,5,FALSE)</f>
        <v>0</v>
      </c>
      <c r="E199" s="92">
        <v>0</v>
      </c>
      <c r="F199" s="92">
        <v>0</v>
      </c>
      <c r="G199" s="92">
        <f>VLOOKUP(A199,Clasificaciones!C:M,9,FALSE)</f>
        <v>0</v>
      </c>
      <c r="H199" s="92">
        <f t="shared" si="30"/>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c r="Z199" s="26">
        <v>0</v>
      </c>
      <c r="AA199" s="26">
        <f t="shared" si="32"/>
        <v>0</v>
      </c>
      <c r="AB199" s="107"/>
      <c r="AC199" s="107"/>
      <c r="AD199" s="107"/>
      <c r="AE199" s="107"/>
      <c r="AF199" s="107"/>
      <c r="AG199" s="107"/>
      <c r="AH199" s="107"/>
      <c r="AI199" s="107"/>
      <c r="AJ199" s="107"/>
      <c r="AK199" s="107"/>
      <c r="AL199" s="107"/>
      <c r="AM199" s="107"/>
      <c r="AN199" s="107"/>
      <c r="AO199" s="108"/>
      <c r="AP199" s="108"/>
      <c r="AQ199" s="108"/>
      <c r="AR199" s="108"/>
      <c r="AS199" s="108"/>
      <c r="AT199" s="108"/>
      <c r="AU199" s="108"/>
      <c r="AV199" s="108"/>
      <c r="AW199" s="108"/>
      <c r="AX199" s="108"/>
      <c r="AY199" s="108"/>
      <c r="AZ199" s="108"/>
      <c r="BA199" s="108"/>
      <c r="BB199" s="108"/>
    </row>
    <row r="200" spans="1:54" s="109" customFormat="1" ht="12" customHeight="1">
      <c r="A200" s="8">
        <v>211010301</v>
      </c>
      <c r="B200" s="8" t="s">
        <v>846</v>
      </c>
      <c r="C200" s="8"/>
      <c r="D200" s="92">
        <f>+VLOOKUP(A200,Clasificaciones!C:I,5,FALSE)</f>
        <v>-2895175</v>
      </c>
      <c r="E200" s="92">
        <v>0</v>
      </c>
      <c r="F200" s="92">
        <v>0</v>
      </c>
      <c r="G200" s="92">
        <f>VLOOKUP(A200,Clasificaciones!C:M,9,FALSE)</f>
        <v>-8705788</v>
      </c>
      <c r="H200" s="92">
        <f t="shared" si="30"/>
        <v>5810613</v>
      </c>
      <c r="I200" s="26">
        <f>-H200</f>
        <v>-5810613</v>
      </c>
      <c r="J200" s="26">
        <v>0</v>
      </c>
      <c r="K200" s="26">
        <v>0</v>
      </c>
      <c r="L200" s="26">
        <v>0</v>
      </c>
      <c r="M200" s="26">
        <v>0</v>
      </c>
      <c r="N200" s="26">
        <v>0</v>
      </c>
      <c r="O200" s="26">
        <v>0</v>
      </c>
      <c r="P200" s="26">
        <v>0</v>
      </c>
      <c r="Q200" s="26">
        <v>0</v>
      </c>
      <c r="R200" s="26">
        <v>0</v>
      </c>
      <c r="S200" s="26">
        <v>0</v>
      </c>
      <c r="T200" s="26">
        <v>0</v>
      </c>
      <c r="U200" s="26">
        <v>0</v>
      </c>
      <c r="V200" s="26">
        <v>0</v>
      </c>
      <c r="W200" s="26">
        <v>0</v>
      </c>
      <c r="X200" s="26">
        <v>0</v>
      </c>
      <c r="Y200" s="26">
        <v>0</v>
      </c>
      <c r="Z200" s="26">
        <v>0</v>
      </c>
      <c r="AA200" s="26">
        <f t="shared" si="32"/>
        <v>0</v>
      </c>
      <c r="AB200" s="107"/>
      <c r="AC200" s="107"/>
      <c r="AD200" s="107"/>
      <c r="AE200" s="107"/>
      <c r="AF200" s="107"/>
      <c r="AG200" s="107"/>
      <c r="AH200" s="107"/>
      <c r="AI200" s="107"/>
      <c r="AJ200" s="107"/>
      <c r="AK200" s="107"/>
      <c r="AL200" s="107"/>
      <c r="AM200" s="107"/>
      <c r="AN200" s="107"/>
      <c r="AO200" s="108"/>
      <c r="AP200" s="108"/>
      <c r="AQ200" s="108"/>
      <c r="AR200" s="108"/>
      <c r="AS200" s="108"/>
      <c r="AT200" s="108"/>
      <c r="AU200" s="108"/>
      <c r="AV200" s="108"/>
      <c r="AW200" s="108"/>
      <c r="AX200" s="108"/>
      <c r="AY200" s="108"/>
      <c r="AZ200" s="108"/>
      <c r="BA200" s="108"/>
      <c r="BB200" s="108"/>
    </row>
    <row r="201" spans="1:54" s="109" customFormat="1" ht="12" customHeight="1">
      <c r="A201" s="8">
        <v>211010302</v>
      </c>
      <c r="B201" s="8" t="s">
        <v>1334</v>
      </c>
      <c r="C201" s="8"/>
      <c r="D201" s="92">
        <f>+VLOOKUP(A201,Clasificaciones!C:I,5,FALSE)</f>
        <v>0</v>
      </c>
      <c r="E201" s="92">
        <v>0</v>
      </c>
      <c r="F201" s="92">
        <v>0</v>
      </c>
      <c r="G201" s="92">
        <f>VLOOKUP(A201,Clasificaciones!C:M,9,FALSE)</f>
        <v>-1068598</v>
      </c>
      <c r="H201" s="92">
        <f t="shared" si="30"/>
        <v>1068598</v>
      </c>
      <c r="I201" s="26">
        <f>-H201</f>
        <v>-1068598</v>
      </c>
      <c r="J201" s="26">
        <v>0</v>
      </c>
      <c r="K201" s="26">
        <v>0</v>
      </c>
      <c r="L201" s="26">
        <v>0</v>
      </c>
      <c r="M201" s="26">
        <v>0</v>
      </c>
      <c r="N201" s="26">
        <v>0</v>
      </c>
      <c r="O201" s="26">
        <v>0</v>
      </c>
      <c r="P201" s="26">
        <v>0</v>
      </c>
      <c r="Q201" s="26">
        <v>0</v>
      </c>
      <c r="R201" s="26">
        <v>0</v>
      </c>
      <c r="S201" s="26">
        <v>0</v>
      </c>
      <c r="T201" s="26">
        <v>0</v>
      </c>
      <c r="U201" s="26">
        <v>0</v>
      </c>
      <c r="V201" s="26">
        <v>0</v>
      </c>
      <c r="W201" s="26">
        <v>0</v>
      </c>
      <c r="X201" s="26">
        <v>0</v>
      </c>
      <c r="Y201" s="26">
        <v>0</v>
      </c>
      <c r="Z201" s="26">
        <v>0</v>
      </c>
      <c r="AA201" s="26">
        <f t="shared" si="32"/>
        <v>0</v>
      </c>
      <c r="AB201" s="107"/>
      <c r="AC201" s="107"/>
      <c r="AD201" s="107"/>
      <c r="AE201" s="107"/>
      <c r="AF201" s="107"/>
      <c r="AG201" s="107"/>
      <c r="AH201" s="107"/>
      <c r="AI201" s="107"/>
      <c r="AJ201" s="107"/>
      <c r="AK201" s="107"/>
      <c r="AL201" s="107"/>
      <c r="AM201" s="107"/>
      <c r="AN201" s="107"/>
      <c r="AO201" s="108"/>
      <c r="AP201" s="108"/>
      <c r="AQ201" s="108"/>
      <c r="AR201" s="108"/>
      <c r="AS201" s="108"/>
      <c r="AT201" s="108"/>
      <c r="AU201" s="108"/>
      <c r="AV201" s="108"/>
      <c r="AW201" s="108"/>
      <c r="AX201" s="108"/>
      <c r="AY201" s="108"/>
      <c r="AZ201" s="108"/>
      <c r="BA201" s="108"/>
      <c r="BB201" s="108"/>
    </row>
    <row r="202" spans="1:54" s="109" customFormat="1" ht="12" customHeight="1">
      <c r="A202" s="8">
        <v>21103</v>
      </c>
      <c r="B202" s="8" t="s">
        <v>1126</v>
      </c>
      <c r="C202" s="8"/>
      <c r="D202" s="92">
        <f>+VLOOKUP(A202,Clasificaciones!C:I,5,FALSE)</f>
        <v>0</v>
      </c>
      <c r="E202" s="92">
        <v>0</v>
      </c>
      <c r="F202" s="92">
        <v>0</v>
      </c>
      <c r="G202" s="92">
        <f>VLOOKUP(A202,Clasificaciones!C:M,9,FALSE)</f>
        <v>0</v>
      </c>
      <c r="H202" s="92">
        <f t="shared" si="30"/>
        <v>0</v>
      </c>
      <c r="I202" s="26">
        <v>0</v>
      </c>
      <c r="J202" s="26">
        <v>0</v>
      </c>
      <c r="K202" s="26">
        <v>0</v>
      </c>
      <c r="L202" s="26">
        <v>0</v>
      </c>
      <c r="M202" s="26">
        <v>0</v>
      </c>
      <c r="N202" s="26">
        <v>0</v>
      </c>
      <c r="O202" s="26">
        <v>0</v>
      </c>
      <c r="P202" s="26">
        <v>0</v>
      </c>
      <c r="Q202" s="26">
        <v>0</v>
      </c>
      <c r="R202" s="26">
        <v>0</v>
      </c>
      <c r="S202" s="26">
        <v>0</v>
      </c>
      <c r="T202" s="26">
        <v>0</v>
      </c>
      <c r="U202" s="26">
        <v>0</v>
      </c>
      <c r="V202" s="26">
        <v>0</v>
      </c>
      <c r="W202" s="26">
        <f>-H202</f>
        <v>0</v>
      </c>
      <c r="X202" s="26">
        <v>0</v>
      </c>
      <c r="Y202" s="26">
        <v>0</v>
      </c>
      <c r="Z202" s="26">
        <v>0</v>
      </c>
      <c r="AA202" s="26">
        <f t="shared" si="32"/>
        <v>0</v>
      </c>
      <c r="AB202" s="107"/>
      <c r="AC202" s="107"/>
      <c r="AD202" s="107"/>
      <c r="AE202" s="107"/>
      <c r="AF202" s="107"/>
      <c r="AG202" s="107"/>
      <c r="AH202" s="107"/>
      <c r="AI202" s="107"/>
      <c r="AJ202" s="107"/>
      <c r="AK202" s="107"/>
      <c r="AL202" s="107"/>
      <c r="AM202" s="107"/>
      <c r="AN202" s="107"/>
      <c r="AO202" s="108"/>
      <c r="AP202" s="108"/>
      <c r="AQ202" s="108"/>
      <c r="AR202" s="108"/>
      <c r="AS202" s="108"/>
      <c r="AT202" s="108"/>
      <c r="AU202" s="108"/>
      <c r="AV202" s="108"/>
      <c r="AW202" s="108"/>
      <c r="AX202" s="108"/>
      <c r="AY202" s="108"/>
      <c r="AZ202" s="108"/>
      <c r="BA202" s="108"/>
      <c r="BB202" s="108"/>
    </row>
    <row r="203" spans="1:54" s="109" customFormat="1" ht="12" customHeight="1">
      <c r="A203" s="8">
        <v>211030101</v>
      </c>
      <c r="B203" s="8" t="s">
        <v>1126</v>
      </c>
      <c r="C203" s="8"/>
      <c r="D203" s="92">
        <f>+VLOOKUP(A203,Clasificaciones!C:I,5,FALSE)</f>
        <v>0</v>
      </c>
      <c r="E203" s="92">
        <v>0</v>
      </c>
      <c r="F203" s="92">
        <v>0</v>
      </c>
      <c r="G203" s="92">
        <f>VLOOKUP(A203,Clasificaciones!C:M,9,FALSE)</f>
        <v>0</v>
      </c>
      <c r="H203" s="92">
        <f t="shared" si="30"/>
        <v>0</v>
      </c>
      <c r="I203" s="26">
        <v>0</v>
      </c>
      <c r="J203" s="26">
        <v>0</v>
      </c>
      <c r="K203" s="26">
        <f>-H203</f>
        <v>0</v>
      </c>
      <c r="L203" s="26">
        <v>0</v>
      </c>
      <c r="M203" s="26">
        <v>0</v>
      </c>
      <c r="N203" s="26">
        <v>0</v>
      </c>
      <c r="O203" s="26">
        <v>0</v>
      </c>
      <c r="P203" s="26">
        <v>0</v>
      </c>
      <c r="Q203" s="26">
        <v>0</v>
      </c>
      <c r="R203" s="26">
        <v>0</v>
      </c>
      <c r="S203" s="26">
        <v>0</v>
      </c>
      <c r="T203" s="26">
        <v>0</v>
      </c>
      <c r="U203" s="26">
        <v>0</v>
      </c>
      <c r="V203" s="26">
        <v>0</v>
      </c>
      <c r="W203" s="26">
        <v>0</v>
      </c>
      <c r="X203" s="26">
        <v>0</v>
      </c>
      <c r="Y203" s="26">
        <v>0</v>
      </c>
      <c r="Z203" s="26">
        <v>0</v>
      </c>
      <c r="AA203" s="26">
        <f t="shared" si="32"/>
        <v>0</v>
      </c>
      <c r="AB203" s="107"/>
      <c r="AC203" s="107"/>
      <c r="AD203" s="107"/>
      <c r="AE203" s="107"/>
      <c r="AF203" s="107"/>
      <c r="AG203" s="107"/>
      <c r="AH203" s="107"/>
      <c r="AI203" s="107"/>
      <c r="AJ203" s="107"/>
      <c r="AK203" s="107"/>
      <c r="AL203" s="107"/>
      <c r="AM203" s="107"/>
      <c r="AN203" s="107"/>
      <c r="AO203" s="108"/>
      <c r="AP203" s="108"/>
      <c r="AQ203" s="108"/>
      <c r="AR203" s="108"/>
      <c r="AS203" s="108"/>
      <c r="AT203" s="108"/>
      <c r="AU203" s="108"/>
      <c r="AV203" s="108"/>
      <c r="AW203" s="108"/>
      <c r="AX203" s="108"/>
      <c r="AY203" s="108"/>
      <c r="AZ203" s="108"/>
      <c r="BA203" s="108"/>
      <c r="BB203" s="108"/>
    </row>
    <row r="204" spans="1:54" s="109" customFormat="1" ht="12" customHeight="1">
      <c r="A204" s="8">
        <v>211030103</v>
      </c>
      <c r="B204" s="8" t="s">
        <v>1366</v>
      </c>
      <c r="C204" s="8"/>
      <c r="D204" s="92">
        <f>+VLOOKUP(A204,Clasificaciones!C:I,5,FALSE)</f>
        <v>-4059103</v>
      </c>
      <c r="E204" s="92">
        <v>0</v>
      </c>
      <c r="F204" s="92">
        <v>0</v>
      </c>
      <c r="G204" s="92">
        <f>VLOOKUP(A204,Clasificaciones!C:M,9,FALSE)</f>
        <v>0</v>
      </c>
      <c r="H204" s="92">
        <f t="shared" si="30"/>
        <v>-4059103</v>
      </c>
      <c r="I204" s="26">
        <v>0</v>
      </c>
      <c r="J204" s="26">
        <v>0</v>
      </c>
      <c r="K204" s="26">
        <v>0</v>
      </c>
      <c r="L204" s="26">
        <v>0</v>
      </c>
      <c r="M204" s="26">
        <v>0</v>
      </c>
      <c r="N204" s="26">
        <v>0</v>
      </c>
      <c r="O204" s="26">
        <v>0</v>
      </c>
      <c r="P204" s="26">
        <v>0</v>
      </c>
      <c r="Q204" s="26">
        <v>0</v>
      </c>
      <c r="R204" s="26">
        <v>0</v>
      </c>
      <c r="S204" s="26">
        <v>0</v>
      </c>
      <c r="T204" s="26">
        <v>0</v>
      </c>
      <c r="U204" s="26">
        <v>0</v>
      </c>
      <c r="V204" s="26">
        <v>0</v>
      </c>
      <c r="W204" s="26">
        <f>-H204</f>
        <v>4059103</v>
      </c>
      <c r="X204" s="26">
        <v>0</v>
      </c>
      <c r="Y204" s="26">
        <v>0</v>
      </c>
      <c r="Z204" s="26">
        <v>0</v>
      </c>
      <c r="AA204" s="26">
        <f t="shared" si="32"/>
        <v>0</v>
      </c>
      <c r="AB204" s="107"/>
      <c r="AC204" s="107"/>
      <c r="AD204" s="107"/>
      <c r="AE204" s="107"/>
      <c r="AF204" s="107"/>
      <c r="AG204" s="107"/>
      <c r="AH204" s="107"/>
      <c r="AI204" s="107"/>
      <c r="AJ204" s="107"/>
      <c r="AK204" s="107"/>
      <c r="AL204" s="107"/>
      <c r="AM204" s="107"/>
      <c r="AN204" s="107"/>
      <c r="AO204" s="108"/>
      <c r="AP204" s="108"/>
      <c r="AQ204" s="108"/>
      <c r="AR204" s="108"/>
      <c r="AS204" s="108"/>
      <c r="AT204" s="108"/>
      <c r="AU204" s="108"/>
      <c r="AV204" s="108"/>
      <c r="AW204" s="108"/>
      <c r="AX204" s="108"/>
      <c r="AY204" s="108"/>
      <c r="AZ204" s="108"/>
      <c r="BA204" s="108"/>
      <c r="BB204" s="108"/>
    </row>
    <row r="205" spans="1:54" s="109" customFormat="1" ht="12" customHeight="1">
      <c r="A205" s="8">
        <v>21107</v>
      </c>
      <c r="B205" s="8" t="s">
        <v>847</v>
      </c>
      <c r="C205" s="8"/>
      <c r="D205" s="92">
        <f>+VLOOKUP(A205,Clasificaciones!C:I,5,FALSE)</f>
        <v>0</v>
      </c>
      <c r="E205" s="92">
        <v>0</v>
      </c>
      <c r="F205" s="92">
        <v>0</v>
      </c>
      <c r="G205" s="92">
        <f>VLOOKUP(A205,Clasificaciones!C:M,9,FALSE)</f>
        <v>0</v>
      </c>
      <c r="H205" s="92">
        <f t="shared" si="30"/>
        <v>0</v>
      </c>
      <c r="I205" s="26">
        <v>0</v>
      </c>
      <c r="J205" s="26">
        <v>0</v>
      </c>
      <c r="K205" s="26">
        <v>0</v>
      </c>
      <c r="L205" s="26">
        <v>0</v>
      </c>
      <c r="M205" s="26">
        <v>0</v>
      </c>
      <c r="N205" s="26">
        <v>0</v>
      </c>
      <c r="O205" s="26">
        <v>0</v>
      </c>
      <c r="P205" s="26"/>
      <c r="Q205" s="26">
        <v>0</v>
      </c>
      <c r="R205" s="26">
        <v>0</v>
      </c>
      <c r="S205" s="26">
        <v>0</v>
      </c>
      <c r="T205" s="26">
        <v>0</v>
      </c>
      <c r="U205" s="26">
        <v>0</v>
      </c>
      <c r="V205" s="26">
        <v>0</v>
      </c>
      <c r="W205" s="26">
        <f>-H205</f>
        <v>0</v>
      </c>
      <c r="X205" s="26">
        <v>0</v>
      </c>
      <c r="Y205" s="26">
        <v>0</v>
      </c>
      <c r="Z205" s="26">
        <v>0</v>
      </c>
      <c r="AA205" s="26">
        <f t="shared" si="32"/>
        <v>0</v>
      </c>
      <c r="AB205" s="107"/>
      <c r="AC205" s="107"/>
      <c r="AD205" s="107"/>
      <c r="AE205" s="107"/>
      <c r="AF205" s="107"/>
      <c r="AG205" s="107"/>
      <c r="AH205" s="107"/>
      <c r="AI205" s="107"/>
      <c r="AJ205" s="107"/>
      <c r="AK205" s="107"/>
      <c r="AL205" s="107"/>
      <c r="AM205" s="107"/>
      <c r="AN205" s="107"/>
      <c r="AO205" s="108"/>
      <c r="AP205" s="108"/>
      <c r="AQ205" s="108"/>
      <c r="AR205" s="108"/>
      <c r="AS205" s="108"/>
      <c r="AT205" s="108"/>
      <c r="AU205" s="108"/>
      <c r="AV205" s="108"/>
      <c r="AW205" s="108"/>
      <c r="AX205" s="108"/>
      <c r="AY205" s="108"/>
      <c r="AZ205" s="108"/>
      <c r="BA205" s="108"/>
      <c r="BB205" s="108"/>
    </row>
    <row r="206" spans="1:54" s="109" customFormat="1" ht="12" customHeight="1">
      <c r="A206" s="8">
        <v>2110701</v>
      </c>
      <c r="B206" s="8" t="s">
        <v>848</v>
      </c>
      <c r="C206" s="8"/>
      <c r="D206" s="92">
        <f>+VLOOKUP(A206,Clasificaciones!C:I,5,FALSE)</f>
        <v>-136664966</v>
      </c>
      <c r="E206" s="92">
        <v>0</v>
      </c>
      <c r="F206" s="92">
        <v>0</v>
      </c>
      <c r="G206" s="92">
        <f>VLOOKUP(A206,Clasificaciones!C:M,9,FALSE)</f>
        <v>-72104042</v>
      </c>
      <c r="H206" s="92">
        <f t="shared" si="30"/>
        <v>-64560924</v>
      </c>
      <c r="I206" s="26">
        <v>0</v>
      </c>
      <c r="J206" s="26">
        <v>0</v>
      </c>
      <c r="K206" s="26">
        <v>0</v>
      </c>
      <c r="L206" s="26">
        <v>0</v>
      </c>
      <c r="M206" s="26">
        <f>-H206</f>
        <v>64560924</v>
      </c>
      <c r="N206" s="26">
        <v>0</v>
      </c>
      <c r="O206" s="26">
        <v>0</v>
      </c>
      <c r="P206" s="26">
        <v>0</v>
      </c>
      <c r="Q206" s="26">
        <v>0</v>
      </c>
      <c r="R206" s="26">
        <v>0</v>
      </c>
      <c r="S206" s="26">
        <v>0</v>
      </c>
      <c r="T206" s="26">
        <v>0</v>
      </c>
      <c r="U206" s="26">
        <v>0</v>
      </c>
      <c r="V206" s="26">
        <v>0</v>
      </c>
      <c r="W206" s="26">
        <v>0</v>
      </c>
      <c r="X206" s="26">
        <v>0</v>
      </c>
      <c r="Y206" s="26">
        <v>0</v>
      </c>
      <c r="Z206" s="26">
        <v>0</v>
      </c>
      <c r="AA206" s="26">
        <f t="shared" si="32"/>
        <v>0</v>
      </c>
      <c r="AB206" s="107"/>
      <c r="AC206" s="107"/>
      <c r="AD206" s="107"/>
      <c r="AE206" s="107"/>
      <c r="AF206" s="107"/>
      <c r="AG206" s="107"/>
      <c r="AH206" s="107"/>
      <c r="AI206" s="107"/>
      <c r="AJ206" s="107"/>
      <c r="AK206" s="107"/>
      <c r="AL206" s="107"/>
      <c r="AM206" s="107"/>
      <c r="AN206" s="107"/>
      <c r="AO206" s="108"/>
      <c r="AP206" s="108"/>
      <c r="AQ206" s="108"/>
      <c r="AR206" s="108"/>
      <c r="AS206" s="108"/>
      <c r="AT206" s="108"/>
      <c r="AU206" s="108"/>
      <c r="AV206" s="108"/>
      <c r="AW206" s="108"/>
      <c r="AX206" s="108"/>
      <c r="AY206" s="108"/>
      <c r="AZ206" s="108"/>
      <c r="BA206" s="108"/>
      <c r="BB206" s="108"/>
    </row>
    <row r="207" spans="1:54" s="109" customFormat="1" ht="12" customHeight="1">
      <c r="A207" s="8">
        <v>2110702</v>
      </c>
      <c r="B207" s="8" t="s">
        <v>849</v>
      </c>
      <c r="C207" s="8"/>
      <c r="D207" s="92">
        <f>+VLOOKUP(A207,Clasificaciones!C:I,5,FALSE)</f>
        <v>-18833871</v>
      </c>
      <c r="E207" s="92">
        <v>0</v>
      </c>
      <c r="F207" s="92">
        <v>0</v>
      </c>
      <c r="G207" s="92">
        <f>VLOOKUP(A207,Clasificaciones!C:M,9,FALSE)</f>
        <v>-3566689</v>
      </c>
      <c r="H207" s="92">
        <f t="shared" si="30"/>
        <v>-15267182</v>
      </c>
      <c r="I207" s="26">
        <v>0</v>
      </c>
      <c r="J207" s="26">
        <v>0</v>
      </c>
      <c r="K207" s="26">
        <v>0</v>
      </c>
      <c r="L207" s="26">
        <v>0</v>
      </c>
      <c r="M207" s="26">
        <f>-H207</f>
        <v>15267182</v>
      </c>
      <c r="N207" s="26">
        <v>0</v>
      </c>
      <c r="O207" s="26">
        <v>0</v>
      </c>
      <c r="P207" s="26">
        <v>0</v>
      </c>
      <c r="Q207" s="26">
        <v>0</v>
      </c>
      <c r="R207" s="26">
        <v>0</v>
      </c>
      <c r="S207" s="26">
        <v>0</v>
      </c>
      <c r="T207" s="26">
        <v>0</v>
      </c>
      <c r="U207" s="26">
        <v>0</v>
      </c>
      <c r="V207" s="26">
        <v>0</v>
      </c>
      <c r="W207" s="26">
        <v>0</v>
      </c>
      <c r="X207" s="26">
        <v>0</v>
      </c>
      <c r="Y207" s="26">
        <v>0</v>
      </c>
      <c r="Z207" s="26">
        <v>0</v>
      </c>
      <c r="AA207" s="26">
        <f t="shared" si="32"/>
        <v>0</v>
      </c>
      <c r="AB207" s="107"/>
      <c r="AC207" s="107"/>
      <c r="AD207" s="107"/>
      <c r="AE207" s="107"/>
      <c r="AF207" s="107"/>
      <c r="AG207" s="107"/>
      <c r="AH207" s="107"/>
      <c r="AI207" s="107"/>
      <c r="AJ207" s="107"/>
      <c r="AK207" s="107"/>
      <c r="AL207" s="107"/>
      <c r="AM207" s="107"/>
      <c r="AN207" s="107"/>
      <c r="AO207" s="108"/>
      <c r="AP207" s="108"/>
      <c r="AQ207" s="108"/>
      <c r="AR207" s="108"/>
      <c r="AS207" s="108"/>
      <c r="AT207" s="108"/>
      <c r="AU207" s="108"/>
      <c r="AV207" s="108"/>
      <c r="AW207" s="108"/>
      <c r="AX207" s="108"/>
      <c r="AY207" s="108"/>
      <c r="AZ207" s="108"/>
      <c r="BA207" s="108"/>
      <c r="BB207" s="108"/>
    </row>
    <row r="208" spans="1:54" s="109" customFormat="1" ht="12" customHeight="1">
      <c r="A208" s="8">
        <v>2110703</v>
      </c>
      <c r="B208" s="8" t="s">
        <v>1130</v>
      </c>
      <c r="C208" s="8"/>
      <c r="D208" s="92">
        <f>+VLOOKUP(A208,Clasificaciones!C:I,5,FALSE)</f>
        <v>-92979900</v>
      </c>
      <c r="E208" s="92">
        <v>0</v>
      </c>
      <c r="F208" s="92">
        <v>0</v>
      </c>
      <c r="G208" s="92">
        <f>VLOOKUP(A208,Clasificaciones!C:M,9,FALSE)</f>
        <v>0</v>
      </c>
      <c r="H208" s="92">
        <f t="shared" si="30"/>
        <v>-92979900</v>
      </c>
      <c r="I208" s="26">
        <v>0</v>
      </c>
      <c r="J208" s="26">
        <v>0</v>
      </c>
      <c r="K208" s="26">
        <v>0</v>
      </c>
      <c r="L208" s="26">
        <v>0</v>
      </c>
      <c r="M208" s="26">
        <f>-H208</f>
        <v>92979900</v>
      </c>
      <c r="N208" s="26">
        <v>0</v>
      </c>
      <c r="O208" s="26">
        <v>0</v>
      </c>
      <c r="P208" s="26">
        <v>0</v>
      </c>
      <c r="Q208" s="26">
        <v>0</v>
      </c>
      <c r="R208" s="26">
        <v>0</v>
      </c>
      <c r="S208" s="26">
        <v>0</v>
      </c>
      <c r="T208" s="26">
        <v>0</v>
      </c>
      <c r="U208" s="26">
        <v>0</v>
      </c>
      <c r="V208" s="26">
        <v>0</v>
      </c>
      <c r="W208" s="26">
        <v>0</v>
      </c>
      <c r="X208" s="26">
        <v>0</v>
      </c>
      <c r="Y208" s="26">
        <v>0</v>
      </c>
      <c r="Z208" s="26">
        <v>0</v>
      </c>
      <c r="AA208" s="26">
        <f t="shared" si="32"/>
        <v>0</v>
      </c>
      <c r="AB208" s="107"/>
      <c r="AC208" s="107"/>
      <c r="AD208" s="107"/>
      <c r="AE208" s="107"/>
      <c r="AF208" s="107"/>
      <c r="AG208" s="107"/>
      <c r="AH208" s="107"/>
      <c r="AI208" s="107"/>
      <c r="AJ208" s="107"/>
      <c r="AK208" s="107"/>
      <c r="AL208" s="107"/>
      <c r="AM208" s="107"/>
      <c r="AN208" s="107"/>
      <c r="AO208" s="108"/>
      <c r="AP208" s="108"/>
      <c r="AQ208" s="108"/>
      <c r="AR208" s="108"/>
      <c r="AS208" s="108"/>
      <c r="AT208" s="108"/>
      <c r="AU208" s="108"/>
      <c r="AV208" s="108"/>
      <c r="AW208" s="108"/>
      <c r="AX208" s="108"/>
      <c r="AY208" s="108"/>
      <c r="AZ208" s="108"/>
      <c r="BA208" s="108"/>
      <c r="BB208" s="108"/>
    </row>
    <row r="209" spans="1:54" s="109" customFormat="1" ht="12" customHeight="1">
      <c r="A209" s="8">
        <v>213</v>
      </c>
      <c r="B209" s="8" t="s">
        <v>850</v>
      </c>
      <c r="C209" s="8"/>
      <c r="D209" s="92">
        <f>+VLOOKUP(A209,Clasificaciones!C:I,5,FALSE)</f>
        <v>0</v>
      </c>
      <c r="E209" s="92">
        <v>0</v>
      </c>
      <c r="F209" s="92">
        <v>0</v>
      </c>
      <c r="G209" s="92">
        <f>VLOOKUP(A209,Clasificaciones!C:M,9,FALSE)</f>
        <v>0</v>
      </c>
      <c r="H209" s="92">
        <f t="shared" si="30"/>
        <v>0</v>
      </c>
      <c r="I209" s="26">
        <v>0</v>
      </c>
      <c r="J209" s="26">
        <v>0</v>
      </c>
      <c r="K209" s="26">
        <v>0</v>
      </c>
      <c r="L209" s="26">
        <v>0</v>
      </c>
      <c r="M209" s="26">
        <v>0</v>
      </c>
      <c r="N209" s="26">
        <v>0</v>
      </c>
      <c r="O209" s="26">
        <v>0</v>
      </c>
      <c r="P209" s="26">
        <v>0</v>
      </c>
      <c r="Q209" s="26">
        <v>0</v>
      </c>
      <c r="R209" s="26">
        <v>0</v>
      </c>
      <c r="S209" s="26">
        <v>0</v>
      </c>
      <c r="T209" s="26">
        <v>0</v>
      </c>
      <c r="U209" s="26">
        <v>0</v>
      </c>
      <c r="V209" s="26">
        <v>0</v>
      </c>
      <c r="W209" s="26">
        <v>0</v>
      </c>
      <c r="X209" s="26">
        <v>0</v>
      </c>
      <c r="Y209" s="26">
        <v>0</v>
      </c>
      <c r="Z209" s="26">
        <v>0</v>
      </c>
      <c r="AA209" s="26">
        <f t="shared" si="32"/>
        <v>0</v>
      </c>
      <c r="AB209" s="107"/>
      <c r="AC209" s="107"/>
      <c r="AD209" s="107"/>
      <c r="AE209" s="107"/>
      <c r="AF209" s="107"/>
      <c r="AG209" s="107"/>
      <c r="AH209" s="107"/>
      <c r="AI209" s="107"/>
      <c r="AJ209" s="107"/>
      <c r="AK209" s="107"/>
      <c r="AL209" s="107"/>
      <c r="AM209" s="107"/>
      <c r="AN209" s="107"/>
      <c r="AO209" s="108"/>
      <c r="AP209" s="108"/>
      <c r="AQ209" s="108"/>
      <c r="AR209" s="108"/>
      <c r="AS209" s="108"/>
      <c r="AT209" s="108"/>
      <c r="AU209" s="108"/>
      <c r="AV209" s="108"/>
      <c r="AW209" s="108"/>
      <c r="AX209" s="108"/>
      <c r="AY209" s="108"/>
      <c r="AZ209" s="108"/>
      <c r="BA209" s="108"/>
      <c r="BB209" s="108"/>
    </row>
    <row r="210" spans="1:54" s="109" customFormat="1" ht="12" customHeight="1">
      <c r="A210" s="8">
        <v>21301</v>
      </c>
      <c r="B210" s="8" t="s">
        <v>726</v>
      </c>
      <c r="C210" s="8"/>
      <c r="D210" s="92">
        <f>+VLOOKUP(A210,Clasificaciones!C:I,5,FALSE)</f>
        <v>0</v>
      </c>
      <c r="E210" s="92">
        <v>0</v>
      </c>
      <c r="F210" s="92">
        <v>0</v>
      </c>
      <c r="G210" s="92">
        <f>VLOOKUP(A210,Clasificaciones!C:M,9,FALSE)</f>
        <v>0</v>
      </c>
      <c r="H210" s="92">
        <f t="shared" si="30"/>
        <v>0</v>
      </c>
      <c r="I210" s="26">
        <v>0</v>
      </c>
      <c r="J210" s="26">
        <v>0</v>
      </c>
      <c r="K210" s="26">
        <v>0</v>
      </c>
      <c r="L210" s="26">
        <v>0</v>
      </c>
      <c r="M210" s="26">
        <v>0</v>
      </c>
      <c r="N210" s="26">
        <v>0</v>
      </c>
      <c r="O210" s="26">
        <v>0</v>
      </c>
      <c r="P210" s="26">
        <f>-H210</f>
        <v>0</v>
      </c>
      <c r="Q210" s="26">
        <v>0</v>
      </c>
      <c r="R210" s="26">
        <v>0</v>
      </c>
      <c r="S210" s="26">
        <v>0</v>
      </c>
      <c r="T210" s="26">
        <v>0</v>
      </c>
      <c r="U210" s="26">
        <v>0</v>
      </c>
      <c r="V210" s="26">
        <v>0</v>
      </c>
      <c r="W210" s="26">
        <v>0</v>
      </c>
      <c r="X210" s="26">
        <v>0</v>
      </c>
      <c r="Y210" s="26">
        <v>0</v>
      </c>
      <c r="Z210" s="26">
        <v>0</v>
      </c>
      <c r="AA210" s="26">
        <f t="shared" si="32"/>
        <v>0</v>
      </c>
      <c r="AB210" s="107"/>
      <c r="AC210" s="107"/>
      <c r="AD210" s="107"/>
      <c r="AE210" s="107"/>
      <c r="AF210" s="107"/>
      <c r="AG210" s="107"/>
      <c r="AH210" s="107"/>
      <c r="AI210" s="107"/>
      <c r="AJ210" s="107"/>
      <c r="AK210" s="107"/>
      <c r="AL210" s="107"/>
      <c r="AM210" s="107"/>
      <c r="AN210" s="107"/>
      <c r="AO210" s="108"/>
      <c r="AP210" s="108"/>
      <c r="AQ210" s="108"/>
      <c r="AR210" s="108"/>
      <c r="AS210" s="108"/>
      <c r="AT210" s="108"/>
      <c r="AU210" s="108"/>
      <c r="AV210" s="108"/>
      <c r="AW210" s="108"/>
      <c r="AX210" s="108"/>
      <c r="AY210" s="108"/>
      <c r="AZ210" s="108"/>
      <c r="BA210" s="108"/>
      <c r="BB210" s="108"/>
    </row>
    <row r="211" spans="1:54" s="109" customFormat="1" ht="12" customHeight="1">
      <c r="A211" s="8">
        <v>2130101</v>
      </c>
      <c r="B211" s="8" t="s">
        <v>851</v>
      </c>
      <c r="C211" s="8"/>
      <c r="D211" s="92">
        <f>+VLOOKUP(A211,Clasificaciones!C:I,5,FALSE)</f>
        <v>0</v>
      </c>
      <c r="E211" s="92">
        <v>0</v>
      </c>
      <c r="F211" s="92">
        <v>0</v>
      </c>
      <c r="G211" s="92">
        <f>VLOOKUP(A211,Clasificaciones!C:M,9,FALSE)</f>
        <v>0</v>
      </c>
      <c r="H211" s="92">
        <f t="shared" si="30"/>
        <v>0</v>
      </c>
      <c r="I211" s="26">
        <v>0</v>
      </c>
      <c r="J211" s="26">
        <v>0</v>
      </c>
      <c r="K211" s="26">
        <v>0</v>
      </c>
      <c r="L211" s="26">
        <v>0</v>
      </c>
      <c r="M211" s="26">
        <v>0</v>
      </c>
      <c r="N211" s="26">
        <v>0</v>
      </c>
      <c r="O211" s="26">
        <v>0</v>
      </c>
      <c r="P211" s="26">
        <f>-H211</f>
        <v>0</v>
      </c>
      <c r="Q211" s="26">
        <v>0</v>
      </c>
      <c r="R211" s="26">
        <v>0</v>
      </c>
      <c r="S211" s="26">
        <v>0</v>
      </c>
      <c r="T211" s="26">
        <v>0</v>
      </c>
      <c r="U211" s="26">
        <v>0</v>
      </c>
      <c r="V211" s="26">
        <v>0</v>
      </c>
      <c r="W211" s="26">
        <v>0</v>
      </c>
      <c r="X211" s="26">
        <v>0</v>
      </c>
      <c r="Y211" s="26">
        <v>0</v>
      </c>
      <c r="Z211" s="26">
        <v>0</v>
      </c>
      <c r="AA211" s="26">
        <f t="shared" si="32"/>
        <v>0</v>
      </c>
      <c r="AB211" s="107"/>
      <c r="AC211" s="107"/>
      <c r="AD211" s="107"/>
      <c r="AE211" s="107"/>
      <c r="AF211" s="107"/>
      <c r="AG211" s="107"/>
      <c r="AH211" s="107"/>
      <c r="AI211" s="107"/>
      <c r="AJ211" s="107"/>
      <c r="AK211" s="107"/>
      <c r="AL211" s="107"/>
      <c r="AM211" s="107"/>
      <c r="AN211" s="107"/>
      <c r="AO211" s="108"/>
      <c r="AP211" s="108"/>
      <c r="AQ211" s="108"/>
      <c r="AR211" s="108"/>
      <c r="AS211" s="108"/>
      <c r="AT211" s="108"/>
      <c r="AU211" s="108"/>
      <c r="AV211" s="108"/>
      <c r="AW211" s="108"/>
      <c r="AX211" s="108"/>
      <c r="AY211" s="108"/>
      <c r="AZ211" s="108"/>
      <c r="BA211" s="108"/>
      <c r="BB211" s="108"/>
    </row>
    <row r="212" spans="1:54" s="109" customFormat="1" ht="12" customHeight="1">
      <c r="A212" s="8">
        <v>213010101</v>
      </c>
      <c r="B212" s="8" t="s">
        <v>852</v>
      </c>
      <c r="C212" s="8"/>
      <c r="D212" s="92">
        <f>+VLOOKUP(A212,Clasificaciones!C:I,5,FALSE)</f>
        <v>0</v>
      </c>
      <c r="E212" s="92">
        <v>0</v>
      </c>
      <c r="F212" s="92">
        <v>0</v>
      </c>
      <c r="G212" s="92">
        <f>VLOOKUP(A212,Clasificaciones!C:M,9,FALSE)</f>
        <v>0</v>
      </c>
      <c r="H212" s="92">
        <f t="shared" si="30"/>
        <v>0</v>
      </c>
      <c r="I212" s="26">
        <v>0</v>
      </c>
      <c r="J212" s="26">
        <v>0</v>
      </c>
      <c r="K212" s="26">
        <v>0</v>
      </c>
      <c r="L212" s="26">
        <v>0</v>
      </c>
      <c r="M212" s="26">
        <v>0</v>
      </c>
      <c r="N212" s="26">
        <v>0</v>
      </c>
      <c r="O212" s="26">
        <v>0</v>
      </c>
      <c r="P212" s="26">
        <v>0</v>
      </c>
      <c r="Q212" s="26">
        <v>0</v>
      </c>
      <c r="R212" s="26">
        <v>0</v>
      </c>
      <c r="S212" s="26">
        <v>0</v>
      </c>
      <c r="T212" s="26">
        <v>0</v>
      </c>
      <c r="U212" s="26">
        <v>0</v>
      </c>
      <c r="V212" s="26">
        <v>0</v>
      </c>
      <c r="W212" s="26">
        <f>-H212</f>
        <v>0</v>
      </c>
      <c r="X212" s="26">
        <v>0</v>
      </c>
      <c r="Y212" s="26">
        <v>0</v>
      </c>
      <c r="Z212" s="26">
        <v>0</v>
      </c>
      <c r="AA212" s="26">
        <f t="shared" si="32"/>
        <v>0</v>
      </c>
      <c r="AB212" s="107"/>
      <c r="AC212" s="107"/>
      <c r="AD212" s="107"/>
      <c r="AE212" s="107"/>
      <c r="AF212" s="107"/>
      <c r="AG212" s="107"/>
      <c r="AH212" s="107"/>
      <c r="AI212" s="107"/>
      <c r="AJ212" s="107"/>
      <c r="AK212" s="107"/>
      <c r="AL212" s="107"/>
      <c r="AM212" s="107"/>
      <c r="AN212" s="107"/>
      <c r="AO212" s="108"/>
      <c r="AP212" s="108"/>
      <c r="AQ212" s="108"/>
      <c r="AR212" s="108"/>
      <c r="AS212" s="108"/>
      <c r="AT212" s="108"/>
      <c r="AU212" s="108"/>
      <c r="AV212" s="108"/>
      <c r="AW212" s="108"/>
      <c r="AX212" s="108"/>
      <c r="AY212" s="108"/>
      <c r="AZ212" s="108"/>
      <c r="BA212" s="108"/>
      <c r="BB212" s="108"/>
    </row>
    <row r="213" spans="1:54" s="109" customFormat="1" ht="12" customHeight="1">
      <c r="A213" s="8">
        <v>2130102</v>
      </c>
      <c r="B213" s="8" t="s">
        <v>853</v>
      </c>
      <c r="C213" s="8"/>
      <c r="D213" s="92">
        <f>+VLOOKUP(A213,Clasificaciones!C:I,5,FALSE)</f>
        <v>0</v>
      </c>
      <c r="E213" s="92">
        <v>0</v>
      </c>
      <c r="F213" s="92">
        <v>0</v>
      </c>
      <c r="G213" s="92">
        <f>VLOOKUP(A213,Clasificaciones!C:M,9,FALSE)</f>
        <v>0</v>
      </c>
      <c r="H213" s="92">
        <f t="shared" ref="H213" si="33">+D213-G213+E213-F213</f>
        <v>0</v>
      </c>
      <c r="I213" s="26">
        <v>0</v>
      </c>
      <c r="J213" s="26">
        <v>0</v>
      </c>
      <c r="K213" s="26">
        <v>0</v>
      </c>
      <c r="L213" s="26">
        <v>0</v>
      </c>
      <c r="M213" s="26">
        <v>0</v>
      </c>
      <c r="N213" s="26">
        <v>0</v>
      </c>
      <c r="O213" s="26">
        <v>0</v>
      </c>
      <c r="P213" s="26">
        <f>-H213</f>
        <v>0</v>
      </c>
      <c r="Q213" s="26">
        <v>0</v>
      </c>
      <c r="R213" s="26">
        <v>0</v>
      </c>
      <c r="S213" s="26">
        <v>0</v>
      </c>
      <c r="T213" s="26">
        <v>0</v>
      </c>
      <c r="U213" s="26">
        <v>0</v>
      </c>
      <c r="V213" s="26">
        <v>0</v>
      </c>
      <c r="W213" s="26">
        <v>0</v>
      </c>
      <c r="X213" s="26">
        <v>0</v>
      </c>
      <c r="Y213" s="26">
        <v>0</v>
      </c>
      <c r="Z213" s="26">
        <v>0</v>
      </c>
      <c r="AA213" s="26">
        <f t="shared" si="32"/>
        <v>0</v>
      </c>
      <c r="AB213" s="107"/>
      <c r="AC213" s="107"/>
      <c r="AD213" s="107"/>
      <c r="AE213" s="107"/>
      <c r="AF213" s="107"/>
      <c r="AG213" s="107"/>
      <c r="AH213" s="107"/>
      <c r="AI213" s="107"/>
      <c r="AJ213" s="107"/>
      <c r="AK213" s="107"/>
      <c r="AL213" s="107"/>
      <c r="AM213" s="107"/>
      <c r="AN213" s="107"/>
      <c r="AO213" s="108"/>
      <c r="AP213" s="108"/>
      <c r="AQ213" s="108"/>
      <c r="AR213" s="108"/>
      <c r="AS213" s="108"/>
      <c r="AT213" s="108"/>
      <c r="AU213" s="108"/>
      <c r="AV213" s="108"/>
      <c r="AW213" s="108"/>
      <c r="AX213" s="108"/>
      <c r="AY213" s="108"/>
      <c r="AZ213" s="108"/>
      <c r="BA213" s="108"/>
      <c r="BB213" s="108"/>
    </row>
    <row r="214" spans="1:54" s="109" customFormat="1" ht="12" customHeight="1">
      <c r="A214" s="8">
        <v>213010201</v>
      </c>
      <c r="B214" s="8" t="s">
        <v>852</v>
      </c>
      <c r="C214" s="8"/>
      <c r="D214" s="92">
        <f>+VLOOKUP(A214,Clasificaciones!C:I,5,FALSE)</f>
        <v>-1848050034</v>
      </c>
      <c r="E214" s="92">
        <v>0</v>
      </c>
      <c r="F214" s="92">
        <v>0</v>
      </c>
      <c r="G214" s="92">
        <f>VLOOKUP(A214,Clasificaciones!C:M,9,FALSE)</f>
        <v>-1047146584</v>
      </c>
      <c r="H214" s="92">
        <f t="shared" si="30"/>
        <v>-800903450</v>
      </c>
      <c r="I214" s="26">
        <v>0</v>
      </c>
      <c r="J214" s="26">
        <v>0</v>
      </c>
      <c r="K214" s="26">
        <v>0</v>
      </c>
      <c r="L214" s="26">
        <v>0</v>
      </c>
      <c r="M214" s="26">
        <v>0</v>
      </c>
      <c r="N214" s="26">
        <v>0</v>
      </c>
      <c r="O214" s="26">
        <v>0</v>
      </c>
      <c r="P214" s="26">
        <v>0</v>
      </c>
      <c r="Q214" s="26">
        <v>0</v>
      </c>
      <c r="R214" s="26">
        <v>0</v>
      </c>
      <c r="S214" s="26">
        <v>0</v>
      </c>
      <c r="T214" s="26">
        <v>0</v>
      </c>
      <c r="U214" s="26">
        <v>0</v>
      </c>
      <c r="V214" s="26">
        <v>0</v>
      </c>
      <c r="W214" s="26">
        <f>-H214</f>
        <v>800903450</v>
      </c>
      <c r="X214" s="26">
        <v>0</v>
      </c>
      <c r="Y214" s="26">
        <v>0</v>
      </c>
      <c r="Z214" s="26">
        <v>0</v>
      </c>
      <c r="AA214" s="26">
        <f t="shared" si="32"/>
        <v>0</v>
      </c>
      <c r="AB214" s="107"/>
      <c r="AC214" s="107"/>
      <c r="AD214" s="107"/>
      <c r="AE214" s="107"/>
      <c r="AF214" s="107"/>
      <c r="AG214" s="107"/>
      <c r="AH214" s="107"/>
      <c r="AI214" s="107"/>
      <c r="AJ214" s="107"/>
      <c r="AK214" s="107"/>
      <c r="AL214" s="107"/>
      <c r="AM214" s="107"/>
      <c r="AN214" s="107"/>
      <c r="AO214" s="108"/>
      <c r="AP214" s="108"/>
      <c r="AQ214" s="108"/>
      <c r="AR214" s="108"/>
      <c r="AS214" s="108"/>
      <c r="AT214" s="108"/>
      <c r="AU214" s="108"/>
      <c r="AV214" s="108"/>
      <c r="AW214" s="108"/>
      <c r="AX214" s="108"/>
      <c r="AY214" s="108"/>
      <c r="AZ214" s="108"/>
      <c r="BA214" s="108"/>
      <c r="BB214" s="108"/>
    </row>
    <row r="215" spans="1:54" s="109" customFormat="1" ht="12" customHeight="1">
      <c r="A215" s="8">
        <v>21303</v>
      </c>
      <c r="B215" s="8" t="s">
        <v>855</v>
      </c>
      <c r="C215" s="8"/>
      <c r="D215" s="92">
        <f>+VLOOKUP(A215,Clasificaciones!C:I,5,FALSE)</f>
        <v>0</v>
      </c>
      <c r="E215" s="92">
        <v>0</v>
      </c>
      <c r="F215" s="92">
        <v>0</v>
      </c>
      <c r="G215" s="92">
        <f>VLOOKUP(A215,Clasificaciones!C:M,9,FALSE)</f>
        <v>0</v>
      </c>
      <c r="H215" s="92">
        <f t="shared" si="30"/>
        <v>0</v>
      </c>
      <c r="I215" s="26">
        <v>0</v>
      </c>
      <c r="J215" s="26">
        <v>0</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26">
        <v>0</v>
      </c>
      <c r="AA215" s="26">
        <f t="shared" si="32"/>
        <v>0</v>
      </c>
      <c r="AB215" s="107"/>
      <c r="AC215" s="107"/>
      <c r="AD215" s="107"/>
      <c r="AE215" s="107"/>
      <c r="AF215" s="107"/>
      <c r="AG215" s="107"/>
      <c r="AH215" s="107"/>
      <c r="AI215" s="107"/>
      <c r="AJ215" s="107"/>
      <c r="AK215" s="107"/>
      <c r="AL215" s="107"/>
      <c r="AM215" s="107"/>
      <c r="AN215" s="107"/>
      <c r="AO215" s="108"/>
      <c r="AP215" s="108"/>
      <c r="AQ215" s="108"/>
      <c r="AR215" s="108"/>
      <c r="AS215" s="108"/>
      <c r="AT215" s="108"/>
      <c r="AU215" s="108"/>
      <c r="AV215" s="108"/>
      <c r="AW215" s="108"/>
      <c r="AX215" s="108"/>
      <c r="AY215" s="108"/>
      <c r="AZ215" s="108"/>
      <c r="BA215" s="108"/>
      <c r="BB215" s="108"/>
    </row>
    <row r="216" spans="1:54" s="109" customFormat="1" ht="12" customHeight="1">
      <c r="A216" s="8">
        <v>2130301</v>
      </c>
      <c r="B216" s="8" t="s">
        <v>856</v>
      </c>
      <c r="C216" s="8"/>
      <c r="D216" s="92">
        <f>+VLOOKUP(A216,Clasificaciones!C:I,5,FALSE)</f>
        <v>0</v>
      </c>
      <c r="E216" s="92">
        <v>0</v>
      </c>
      <c r="F216" s="92">
        <v>0</v>
      </c>
      <c r="G216" s="92">
        <f>VLOOKUP(A216,Clasificaciones!C:M,9,FALSE)</f>
        <v>0</v>
      </c>
      <c r="H216" s="92">
        <f t="shared" si="30"/>
        <v>0</v>
      </c>
      <c r="I216" s="26">
        <v>0</v>
      </c>
      <c r="J216" s="26">
        <f>-H216</f>
        <v>0</v>
      </c>
      <c r="K216" s="26">
        <v>0</v>
      </c>
      <c r="L216" s="26">
        <v>0</v>
      </c>
      <c r="M216" s="26">
        <v>0</v>
      </c>
      <c r="N216" s="26">
        <v>0</v>
      </c>
      <c r="O216" s="26">
        <v>0</v>
      </c>
      <c r="P216" s="26">
        <v>0</v>
      </c>
      <c r="Q216" s="26">
        <v>0</v>
      </c>
      <c r="R216" s="26">
        <v>0</v>
      </c>
      <c r="S216" s="26">
        <v>0</v>
      </c>
      <c r="T216" s="26">
        <v>0</v>
      </c>
      <c r="U216" s="26">
        <v>0</v>
      </c>
      <c r="V216" s="26">
        <v>0</v>
      </c>
      <c r="W216" s="26">
        <v>0</v>
      </c>
      <c r="X216" s="26">
        <v>0</v>
      </c>
      <c r="Y216" s="26">
        <v>0</v>
      </c>
      <c r="Z216" s="26">
        <v>0</v>
      </c>
      <c r="AA216" s="26">
        <f t="shared" si="32"/>
        <v>0</v>
      </c>
      <c r="AB216" s="107"/>
      <c r="AC216" s="107"/>
      <c r="AD216" s="107"/>
      <c r="AE216" s="107"/>
      <c r="AF216" s="107"/>
      <c r="AG216" s="107"/>
      <c r="AH216" s="107"/>
      <c r="AI216" s="107"/>
      <c r="AJ216" s="107"/>
      <c r="AK216" s="107"/>
      <c r="AL216" s="107"/>
      <c r="AM216" s="107"/>
      <c r="AN216" s="107"/>
      <c r="AO216" s="108"/>
      <c r="AP216" s="108"/>
      <c r="AQ216" s="108"/>
      <c r="AR216" s="108"/>
      <c r="AS216" s="108"/>
      <c r="AT216" s="108"/>
      <c r="AU216" s="108"/>
      <c r="AV216" s="108"/>
      <c r="AW216" s="108"/>
      <c r="AX216" s="108"/>
      <c r="AY216" s="108"/>
      <c r="AZ216" s="108"/>
      <c r="BA216" s="108"/>
      <c r="BB216" s="108"/>
    </row>
    <row r="217" spans="1:54" s="109" customFormat="1" ht="12" customHeight="1">
      <c r="A217" s="8">
        <v>213030101</v>
      </c>
      <c r="B217" s="8" t="s">
        <v>857</v>
      </c>
      <c r="C217" s="8" t="str">
        <f>+VLOOKUP(A217,Clasificaciones!$C$4:$H$887,6,0)</f>
        <v>Deudas con terceros por operaciones de reporto</v>
      </c>
      <c r="D217" s="92">
        <f>+VLOOKUP(A217,Clasificaciones!C:I,5,FALSE)</f>
        <v>-648860354</v>
      </c>
      <c r="E217" s="92">
        <v>0</v>
      </c>
      <c r="F217" s="92">
        <v>0</v>
      </c>
      <c r="G217" s="92">
        <f>VLOOKUP(A217,Clasificaciones!C:M,9,FALSE)</f>
        <v>-36332893</v>
      </c>
      <c r="H217" s="92">
        <f t="shared" si="30"/>
        <v>-612527461</v>
      </c>
      <c r="I217" s="26">
        <v>0</v>
      </c>
      <c r="J217" s="26">
        <v>0</v>
      </c>
      <c r="K217" s="26">
        <v>0</v>
      </c>
      <c r="L217" s="26">
        <v>0</v>
      </c>
      <c r="M217" s="26">
        <v>0</v>
      </c>
      <c r="N217" s="26">
        <v>0</v>
      </c>
      <c r="O217" s="26">
        <v>0</v>
      </c>
      <c r="P217" s="26">
        <v>0</v>
      </c>
      <c r="Q217" s="26">
        <v>0</v>
      </c>
      <c r="R217" s="26">
        <v>0</v>
      </c>
      <c r="S217" s="26">
        <f>-H217</f>
        <v>612527461</v>
      </c>
      <c r="T217" s="26">
        <v>0</v>
      </c>
      <c r="U217" s="26">
        <v>0</v>
      </c>
      <c r="V217" s="26">
        <v>0</v>
      </c>
      <c r="W217" s="26">
        <v>0</v>
      </c>
      <c r="X217" s="26">
        <v>0</v>
      </c>
      <c r="Y217" s="26">
        <v>0</v>
      </c>
      <c r="Z217" s="26">
        <v>0</v>
      </c>
      <c r="AA217" s="26">
        <f t="shared" si="32"/>
        <v>0</v>
      </c>
      <c r="AB217" s="107"/>
      <c r="AC217" s="107"/>
      <c r="AD217" s="107"/>
      <c r="AE217" s="107"/>
      <c r="AF217" s="107"/>
      <c r="AG217" s="107"/>
      <c r="AH217" s="107"/>
      <c r="AI217" s="107"/>
      <c r="AJ217" s="107"/>
      <c r="AK217" s="107"/>
      <c r="AL217" s="107"/>
      <c r="AM217" s="107"/>
      <c r="AN217" s="107"/>
      <c r="AO217" s="108"/>
      <c r="AP217" s="108"/>
      <c r="AQ217" s="108"/>
      <c r="AR217" s="108"/>
      <c r="AS217" s="108"/>
      <c r="AT217" s="108"/>
      <c r="AU217" s="108"/>
      <c r="AV217" s="108"/>
      <c r="AW217" s="108"/>
      <c r="AX217" s="108"/>
      <c r="AY217" s="108"/>
      <c r="AZ217" s="108"/>
      <c r="BA217" s="108"/>
      <c r="BB217" s="108"/>
    </row>
    <row r="218" spans="1:54" s="106" customFormat="1" ht="12" customHeight="1">
      <c r="A218" s="8">
        <v>213030102</v>
      </c>
      <c r="B218" s="8" t="s">
        <v>1140</v>
      </c>
      <c r="C218" s="8" t="str">
        <f>+VLOOKUP(A218,Clasificaciones!$C$4:$H$887,6,0)</f>
        <v>Deudas con terceros por operaciones de reporto</v>
      </c>
      <c r="D218" s="92">
        <f>+VLOOKUP(A218,Clasificaciones!C:I,5,FALSE)</f>
        <v>-313652678</v>
      </c>
      <c r="E218" s="92">
        <v>0</v>
      </c>
      <c r="F218" s="92">
        <v>0</v>
      </c>
      <c r="G218" s="92">
        <f>VLOOKUP(A218,Clasificaciones!C:M,9,FALSE)</f>
        <v>0</v>
      </c>
      <c r="H218" s="92">
        <f t="shared" si="30"/>
        <v>-313652678</v>
      </c>
      <c r="I218" s="26">
        <v>0</v>
      </c>
      <c r="J218" s="26">
        <v>0</v>
      </c>
      <c r="K218" s="26">
        <v>0</v>
      </c>
      <c r="L218" s="26">
        <v>0</v>
      </c>
      <c r="M218" s="26">
        <v>0</v>
      </c>
      <c r="N218" s="26">
        <v>0</v>
      </c>
      <c r="O218" s="26">
        <v>0</v>
      </c>
      <c r="P218" s="26">
        <v>0</v>
      </c>
      <c r="Q218" s="26">
        <v>0</v>
      </c>
      <c r="R218" s="26">
        <v>0</v>
      </c>
      <c r="S218" s="26">
        <f t="shared" ref="S218:S225" si="34">-H218</f>
        <v>313652678</v>
      </c>
      <c r="T218" s="26">
        <v>0</v>
      </c>
      <c r="U218" s="26">
        <v>0</v>
      </c>
      <c r="V218" s="26">
        <v>0</v>
      </c>
      <c r="W218" s="26">
        <v>0</v>
      </c>
      <c r="X218" s="26">
        <v>0</v>
      </c>
      <c r="Y218" s="26">
        <v>0</v>
      </c>
      <c r="Z218" s="26">
        <v>0</v>
      </c>
      <c r="AA218" s="26">
        <f t="shared" si="32"/>
        <v>0</v>
      </c>
      <c r="AB218" s="110"/>
      <c r="AC218" s="110"/>
      <c r="AD218" s="110"/>
      <c r="AE218" s="110"/>
      <c r="AF218" s="110"/>
      <c r="AG218" s="110"/>
      <c r="AH218" s="110"/>
      <c r="AI218" s="110"/>
      <c r="AJ218" s="110"/>
      <c r="AK218" s="110"/>
      <c r="AL218" s="110"/>
      <c r="AM218" s="110"/>
      <c r="AN218" s="110"/>
      <c r="AO218" s="105"/>
      <c r="AP218" s="105"/>
      <c r="AQ218" s="105"/>
      <c r="AR218" s="105"/>
      <c r="AS218" s="105"/>
      <c r="AT218" s="105"/>
      <c r="AU218" s="105"/>
      <c r="AV218" s="105"/>
      <c r="AW218" s="105"/>
      <c r="AX218" s="105"/>
      <c r="AY218" s="105"/>
      <c r="AZ218" s="105"/>
      <c r="BA218" s="105"/>
      <c r="BB218" s="105"/>
    </row>
    <row r="219" spans="1:54" s="109" customFormat="1" ht="12" customHeight="1">
      <c r="A219" s="8">
        <v>213030103</v>
      </c>
      <c r="B219" s="8" t="s">
        <v>1321</v>
      </c>
      <c r="C219" s="8" t="str">
        <f>+VLOOKUP(A219,Clasificaciones!$C$4:$H$887,6,0)</f>
        <v>Deudas con terceros por operaciones de reporto</v>
      </c>
      <c r="D219" s="92">
        <f>+VLOOKUP(A219,Clasificaciones!C:I,5,FALSE)</f>
        <v>-222412925</v>
      </c>
      <c r="E219" s="92">
        <v>0</v>
      </c>
      <c r="F219" s="92">
        <v>0</v>
      </c>
      <c r="G219" s="92">
        <f>VLOOKUP(A219,Clasificaciones!C:M,9,FALSE)</f>
        <v>0</v>
      </c>
      <c r="H219" s="92">
        <f t="shared" si="30"/>
        <v>-222412925</v>
      </c>
      <c r="I219" s="26">
        <v>0</v>
      </c>
      <c r="J219" s="26">
        <v>0</v>
      </c>
      <c r="K219" s="26">
        <v>0</v>
      </c>
      <c r="L219" s="26">
        <v>0</v>
      </c>
      <c r="M219" s="26">
        <v>0</v>
      </c>
      <c r="N219" s="26">
        <v>0</v>
      </c>
      <c r="O219" s="26">
        <v>0</v>
      </c>
      <c r="P219" s="26">
        <v>0</v>
      </c>
      <c r="Q219" s="26">
        <v>0</v>
      </c>
      <c r="R219" s="26">
        <v>0</v>
      </c>
      <c r="S219" s="26">
        <f t="shared" si="34"/>
        <v>222412925</v>
      </c>
      <c r="T219" s="26">
        <v>0</v>
      </c>
      <c r="U219" s="26">
        <v>0</v>
      </c>
      <c r="V219" s="26">
        <v>0</v>
      </c>
      <c r="W219" s="26">
        <v>0</v>
      </c>
      <c r="X219" s="26">
        <v>0</v>
      </c>
      <c r="Y219" s="26">
        <v>0</v>
      </c>
      <c r="Z219" s="26">
        <v>0</v>
      </c>
      <c r="AA219" s="26">
        <f t="shared" si="32"/>
        <v>0</v>
      </c>
      <c r="AB219" s="107"/>
      <c r="AC219" s="107"/>
      <c r="AD219" s="107"/>
      <c r="AE219" s="107"/>
      <c r="AF219" s="107"/>
      <c r="AG219" s="107"/>
      <c r="AH219" s="107"/>
      <c r="AI219" s="107"/>
      <c r="AJ219" s="107"/>
      <c r="AK219" s="107"/>
      <c r="AL219" s="107"/>
      <c r="AM219" s="107"/>
      <c r="AN219" s="107"/>
      <c r="AO219" s="108"/>
      <c r="AP219" s="108"/>
      <c r="AQ219" s="108"/>
      <c r="AR219" s="108"/>
      <c r="AS219" s="108"/>
      <c r="AT219" s="108"/>
      <c r="AU219" s="108"/>
      <c r="AV219" s="108"/>
      <c r="AW219" s="108"/>
      <c r="AX219" s="108"/>
      <c r="AY219" s="108"/>
      <c r="AZ219" s="108"/>
      <c r="BA219" s="108"/>
      <c r="BB219" s="108"/>
    </row>
    <row r="220" spans="1:54" s="109" customFormat="1" ht="12" customHeight="1">
      <c r="A220" s="8">
        <v>2130302</v>
      </c>
      <c r="B220" s="8" t="s">
        <v>1141</v>
      </c>
      <c r="C220" s="8"/>
      <c r="D220" s="92">
        <f>+VLOOKUP(A220,Clasificaciones!C:I,5,FALSE)</f>
        <v>0</v>
      </c>
      <c r="E220" s="92">
        <v>0</v>
      </c>
      <c r="F220" s="92">
        <v>0</v>
      </c>
      <c r="G220" s="92">
        <f>VLOOKUP(A220,Clasificaciones!C:M,9,FALSE)</f>
        <v>0</v>
      </c>
      <c r="H220" s="92">
        <f t="shared" si="30"/>
        <v>0</v>
      </c>
      <c r="I220" s="26">
        <v>0</v>
      </c>
      <c r="J220" s="26">
        <v>0</v>
      </c>
      <c r="K220" s="26">
        <v>0</v>
      </c>
      <c r="L220" s="26">
        <v>0</v>
      </c>
      <c r="M220" s="26">
        <f>-H220</f>
        <v>0</v>
      </c>
      <c r="N220" s="26">
        <v>0</v>
      </c>
      <c r="O220" s="26">
        <v>0</v>
      </c>
      <c r="P220" s="26">
        <v>0</v>
      </c>
      <c r="Q220" s="26">
        <v>0</v>
      </c>
      <c r="R220" s="26">
        <v>0</v>
      </c>
      <c r="S220" s="26">
        <v>0</v>
      </c>
      <c r="T220" s="26">
        <v>0</v>
      </c>
      <c r="U220" s="26">
        <v>0</v>
      </c>
      <c r="V220" s="26">
        <v>0</v>
      </c>
      <c r="W220" s="26">
        <v>0</v>
      </c>
      <c r="X220" s="26">
        <v>0</v>
      </c>
      <c r="Y220" s="26">
        <v>0</v>
      </c>
      <c r="Z220" s="26">
        <v>0</v>
      </c>
      <c r="AA220" s="26">
        <f t="shared" si="32"/>
        <v>0</v>
      </c>
      <c r="AB220" s="107"/>
      <c r="AC220" s="107"/>
      <c r="AD220" s="107"/>
      <c r="AE220" s="107"/>
      <c r="AF220" s="107"/>
      <c r="AG220" s="107"/>
      <c r="AH220" s="107"/>
      <c r="AI220" s="107"/>
      <c r="AJ220" s="107"/>
      <c r="AK220" s="107"/>
      <c r="AL220" s="107"/>
      <c r="AM220" s="107"/>
      <c r="AN220" s="107"/>
      <c r="AO220" s="108"/>
      <c r="AP220" s="108"/>
      <c r="AQ220" s="108"/>
      <c r="AR220" s="108"/>
      <c r="AS220" s="108"/>
      <c r="AT220" s="108"/>
      <c r="AU220" s="108"/>
      <c r="AV220" s="108"/>
      <c r="AW220" s="108"/>
      <c r="AX220" s="108"/>
      <c r="AY220" s="108"/>
      <c r="AZ220" s="108"/>
      <c r="BA220" s="108"/>
      <c r="BB220" s="108"/>
    </row>
    <row r="221" spans="1:54" s="106" customFormat="1" ht="12" customHeight="1">
      <c r="A221" s="8">
        <v>213030201</v>
      </c>
      <c r="B221" s="8" t="s">
        <v>1142</v>
      </c>
      <c r="C221" s="8" t="str">
        <f>+VLOOKUP(A221,Clasificaciones!$C$4:$H$887,6,0)</f>
        <v>Deudas con terceros por operaciones de reporto</v>
      </c>
      <c r="D221" s="92">
        <f>+VLOOKUP(A221,Clasificaciones!C:I,5,FALSE)</f>
        <v>526765661</v>
      </c>
      <c r="E221" s="92">
        <v>0</v>
      </c>
      <c r="F221" s="92">
        <v>0</v>
      </c>
      <c r="G221" s="92">
        <f>VLOOKUP(A221,Clasificaciones!C:M,9,FALSE)</f>
        <v>0</v>
      </c>
      <c r="H221" s="92">
        <f t="shared" si="30"/>
        <v>526765661</v>
      </c>
      <c r="I221" s="26">
        <v>0</v>
      </c>
      <c r="J221" s="26">
        <v>0</v>
      </c>
      <c r="K221" s="26">
        <v>0</v>
      </c>
      <c r="L221" s="26">
        <v>0</v>
      </c>
      <c r="M221" s="26">
        <v>0</v>
      </c>
      <c r="N221" s="26">
        <v>0</v>
      </c>
      <c r="O221" s="26">
        <v>0</v>
      </c>
      <c r="P221" s="26">
        <v>0</v>
      </c>
      <c r="Q221" s="26">
        <v>0</v>
      </c>
      <c r="R221" s="26">
        <v>0</v>
      </c>
      <c r="S221" s="26">
        <f t="shared" si="34"/>
        <v>-526765661</v>
      </c>
      <c r="T221" s="26">
        <v>0</v>
      </c>
      <c r="U221" s="26">
        <v>0</v>
      </c>
      <c r="V221" s="26">
        <v>0</v>
      </c>
      <c r="W221" s="26">
        <v>0</v>
      </c>
      <c r="X221" s="26">
        <v>0</v>
      </c>
      <c r="Y221" s="26">
        <v>0</v>
      </c>
      <c r="Z221" s="26">
        <v>0</v>
      </c>
      <c r="AA221" s="26">
        <f t="shared" si="32"/>
        <v>0</v>
      </c>
      <c r="AB221" s="110"/>
      <c r="AC221" s="110"/>
      <c r="AD221" s="110"/>
      <c r="AE221" s="110"/>
      <c r="AF221" s="110"/>
      <c r="AG221" s="110"/>
      <c r="AH221" s="110"/>
      <c r="AI221" s="110"/>
      <c r="AJ221" s="110"/>
      <c r="AK221" s="110"/>
      <c r="AL221" s="110"/>
      <c r="AM221" s="110"/>
      <c r="AN221" s="110"/>
      <c r="AO221" s="105"/>
      <c r="AP221" s="105"/>
      <c r="AQ221" s="105"/>
      <c r="AR221" s="105"/>
      <c r="AS221" s="105"/>
      <c r="AT221" s="105"/>
      <c r="AU221" s="105"/>
      <c r="AV221" s="105"/>
      <c r="AW221" s="105"/>
      <c r="AX221" s="105"/>
      <c r="AY221" s="105"/>
      <c r="AZ221" s="105"/>
      <c r="BA221" s="105"/>
      <c r="BB221" s="105"/>
    </row>
    <row r="222" spans="1:54" s="109" customFormat="1" ht="12" customHeight="1">
      <c r="A222" s="8">
        <v>213030202</v>
      </c>
      <c r="B222" s="8" t="s">
        <v>1322</v>
      </c>
      <c r="C222" s="8" t="str">
        <f>+VLOOKUP(A222,Clasificaciones!$C$4:$H$887,6,0)</f>
        <v>Deudas con terceros por operaciones de reporto</v>
      </c>
      <c r="D222" s="92">
        <f>+VLOOKUP(A222,Clasificaciones!C:I,5,FALSE)</f>
        <v>253980245</v>
      </c>
      <c r="E222" s="92">
        <v>0</v>
      </c>
      <c r="F222" s="92">
        <v>0</v>
      </c>
      <c r="G222" s="92">
        <f>VLOOKUP(A222,Clasificaciones!C:M,9,FALSE)</f>
        <v>0</v>
      </c>
      <c r="H222" s="92">
        <f t="shared" si="30"/>
        <v>253980245</v>
      </c>
      <c r="I222" s="26">
        <v>0</v>
      </c>
      <c r="J222" s="26">
        <v>0</v>
      </c>
      <c r="K222" s="26">
        <v>0</v>
      </c>
      <c r="L222" s="26">
        <v>0</v>
      </c>
      <c r="M222" s="26">
        <v>0</v>
      </c>
      <c r="N222" s="26">
        <v>0</v>
      </c>
      <c r="O222" s="26">
        <v>0</v>
      </c>
      <c r="P222" s="26">
        <v>0</v>
      </c>
      <c r="Q222" s="26">
        <v>0</v>
      </c>
      <c r="R222" s="26">
        <v>0</v>
      </c>
      <c r="S222" s="26">
        <f t="shared" si="34"/>
        <v>-253980245</v>
      </c>
      <c r="T222" s="26">
        <v>0</v>
      </c>
      <c r="U222" s="26">
        <v>0</v>
      </c>
      <c r="V222" s="26">
        <v>0</v>
      </c>
      <c r="W222" s="26">
        <v>0</v>
      </c>
      <c r="X222" s="26">
        <v>0</v>
      </c>
      <c r="Y222" s="26">
        <v>0</v>
      </c>
      <c r="Z222" s="26">
        <v>0</v>
      </c>
      <c r="AA222" s="26">
        <f t="shared" si="32"/>
        <v>0</v>
      </c>
      <c r="AB222" s="107"/>
      <c r="AC222" s="107"/>
      <c r="AD222" s="107"/>
      <c r="AE222" s="107"/>
      <c r="AF222" s="107"/>
      <c r="AG222" s="107"/>
      <c r="AH222" s="107"/>
      <c r="AI222" s="107"/>
      <c r="AJ222" s="107"/>
      <c r="AK222" s="107"/>
      <c r="AL222" s="107"/>
      <c r="AM222" s="107"/>
      <c r="AN222" s="107"/>
      <c r="AO222" s="108"/>
      <c r="AP222" s="108"/>
      <c r="AQ222" s="108"/>
      <c r="AR222" s="108"/>
      <c r="AS222" s="108"/>
      <c r="AT222" s="108"/>
      <c r="AU222" s="108"/>
      <c r="AV222" s="108"/>
      <c r="AW222" s="108"/>
      <c r="AX222" s="108"/>
      <c r="AY222" s="108"/>
      <c r="AZ222" s="108"/>
      <c r="BA222" s="108"/>
      <c r="BB222" s="108"/>
    </row>
    <row r="223" spans="1:54" s="109" customFormat="1" ht="12" customHeight="1">
      <c r="A223" s="8">
        <v>213030203</v>
      </c>
      <c r="B223" s="8" t="s">
        <v>1323</v>
      </c>
      <c r="C223" s="8" t="str">
        <f>+VLOOKUP(A223,Clasificaciones!$C$4:$H$887,6,0)</f>
        <v>Deudas con terceros por operaciones de reporto</v>
      </c>
      <c r="D223" s="92">
        <f>+VLOOKUP(A223,Clasificaciones!C:I,5,FALSE)</f>
        <v>132229054</v>
      </c>
      <c r="E223" s="92">
        <v>0</v>
      </c>
      <c r="F223" s="92">
        <v>0</v>
      </c>
      <c r="G223" s="92">
        <f>VLOOKUP(A223,Clasificaciones!C:M,9,FALSE)</f>
        <v>0</v>
      </c>
      <c r="H223" s="92">
        <f t="shared" si="30"/>
        <v>132229054</v>
      </c>
      <c r="I223" s="26">
        <v>0</v>
      </c>
      <c r="J223" s="26">
        <v>0</v>
      </c>
      <c r="K223" s="26">
        <v>0</v>
      </c>
      <c r="L223" s="26">
        <v>0</v>
      </c>
      <c r="M223" s="26">
        <v>0</v>
      </c>
      <c r="N223" s="26">
        <v>0</v>
      </c>
      <c r="O223" s="26">
        <v>0</v>
      </c>
      <c r="P223" s="26">
        <v>0</v>
      </c>
      <c r="Q223" s="26">
        <v>0</v>
      </c>
      <c r="R223" s="26">
        <v>0</v>
      </c>
      <c r="S223" s="26">
        <f t="shared" si="34"/>
        <v>-132229054</v>
      </c>
      <c r="T223" s="26">
        <v>0</v>
      </c>
      <c r="U223" s="26">
        <v>0</v>
      </c>
      <c r="V223" s="26">
        <v>0</v>
      </c>
      <c r="W223" s="26">
        <v>0</v>
      </c>
      <c r="X223" s="26">
        <v>0</v>
      </c>
      <c r="Y223" s="26">
        <v>0</v>
      </c>
      <c r="Z223" s="26">
        <v>0</v>
      </c>
      <c r="AA223" s="26">
        <f t="shared" si="32"/>
        <v>0</v>
      </c>
      <c r="AB223" s="107"/>
      <c r="AC223" s="107"/>
      <c r="AD223" s="107"/>
      <c r="AE223" s="107"/>
      <c r="AF223" s="107"/>
      <c r="AG223" s="107"/>
      <c r="AH223" s="107"/>
      <c r="AI223" s="107"/>
      <c r="AJ223" s="107"/>
      <c r="AK223" s="107"/>
      <c r="AL223" s="107"/>
      <c r="AM223" s="107"/>
      <c r="AN223" s="107"/>
      <c r="AO223" s="108"/>
      <c r="AP223" s="108"/>
      <c r="AQ223" s="108"/>
      <c r="AR223" s="108"/>
      <c r="AS223" s="108"/>
      <c r="AT223" s="108"/>
      <c r="AU223" s="108"/>
      <c r="AV223" s="108"/>
      <c r="AW223" s="108"/>
      <c r="AX223" s="108"/>
      <c r="AY223" s="108"/>
      <c r="AZ223" s="108"/>
      <c r="BA223" s="108"/>
      <c r="BB223" s="108"/>
    </row>
    <row r="224" spans="1:54" s="109" customFormat="1" ht="12" customHeight="1">
      <c r="A224" s="8">
        <v>2130303</v>
      </c>
      <c r="B224" s="8" t="s">
        <v>858</v>
      </c>
      <c r="C224" s="8"/>
      <c r="D224" s="92">
        <f>+VLOOKUP(A224,Clasificaciones!C:I,5,FALSE)</f>
        <v>0</v>
      </c>
      <c r="E224" s="92">
        <v>0</v>
      </c>
      <c r="F224" s="92">
        <v>0</v>
      </c>
      <c r="G224" s="92">
        <f>VLOOKUP(A224,Clasificaciones!C:M,9,FALSE)</f>
        <v>0</v>
      </c>
      <c r="H224" s="92">
        <f t="shared" si="30"/>
        <v>0</v>
      </c>
      <c r="I224" s="26">
        <v>0</v>
      </c>
      <c r="J224" s="26">
        <v>0</v>
      </c>
      <c r="K224" s="26">
        <f>-H224</f>
        <v>0</v>
      </c>
      <c r="L224" s="26">
        <v>0</v>
      </c>
      <c r="M224" s="26">
        <v>0</v>
      </c>
      <c r="N224" s="26">
        <v>0</v>
      </c>
      <c r="O224" s="26">
        <v>0</v>
      </c>
      <c r="P224" s="26">
        <v>0</v>
      </c>
      <c r="Q224" s="26">
        <v>0</v>
      </c>
      <c r="R224" s="26">
        <v>0</v>
      </c>
      <c r="S224" s="26">
        <f t="shared" ref="S224:S227" si="35">-H224</f>
        <v>0</v>
      </c>
      <c r="T224" s="26">
        <v>0</v>
      </c>
      <c r="U224" s="26">
        <v>0</v>
      </c>
      <c r="V224" s="26">
        <v>0</v>
      </c>
      <c r="W224" s="26">
        <v>0</v>
      </c>
      <c r="X224" s="26">
        <v>0</v>
      </c>
      <c r="Y224" s="26">
        <v>0</v>
      </c>
      <c r="Z224" s="26">
        <v>0</v>
      </c>
      <c r="AA224" s="26">
        <f t="shared" si="32"/>
        <v>0</v>
      </c>
      <c r="AB224" s="107"/>
      <c r="AC224" s="107"/>
      <c r="AD224" s="107"/>
      <c r="AE224" s="107"/>
      <c r="AF224" s="107"/>
      <c r="AG224" s="107"/>
      <c r="AH224" s="107"/>
      <c r="AI224" s="107"/>
      <c r="AJ224" s="107"/>
      <c r="AK224" s="107"/>
      <c r="AL224" s="107"/>
      <c r="AM224" s="107"/>
      <c r="AN224" s="107"/>
      <c r="AO224" s="108"/>
      <c r="AP224" s="108"/>
      <c r="AQ224" s="108"/>
      <c r="AR224" s="108"/>
      <c r="AS224" s="108"/>
      <c r="AT224" s="108"/>
      <c r="AU224" s="108"/>
      <c r="AV224" s="108"/>
      <c r="AW224" s="108"/>
      <c r="AX224" s="108"/>
      <c r="AY224" s="108"/>
      <c r="AZ224" s="108"/>
      <c r="BA224" s="108"/>
      <c r="BB224" s="108"/>
    </row>
    <row r="225" spans="1:54" s="106" customFormat="1" ht="12" customHeight="1">
      <c r="A225" s="8">
        <v>213030301</v>
      </c>
      <c r="B225" s="8" t="s">
        <v>859</v>
      </c>
      <c r="C225" s="8" t="str">
        <f>+VLOOKUP(A225,Clasificaciones!$C$4:$H$887,6,0)</f>
        <v>Deudas con terceros por operaciones de reporto</v>
      </c>
      <c r="D225" s="92">
        <f>+VLOOKUP(A225,Clasificaciones!C:I,5,FALSE)</f>
        <v>-41634795848</v>
      </c>
      <c r="E225" s="92">
        <v>0</v>
      </c>
      <c r="F225" s="92">
        <v>0</v>
      </c>
      <c r="G225" s="92">
        <f>VLOOKUP(A225,Clasificaciones!C:M,9,FALSE)</f>
        <v>-15184256164</v>
      </c>
      <c r="H225" s="92">
        <f t="shared" si="30"/>
        <v>-26450539684</v>
      </c>
      <c r="I225" s="26">
        <v>0</v>
      </c>
      <c r="J225" s="26">
        <v>0</v>
      </c>
      <c r="K225" s="26">
        <v>0</v>
      </c>
      <c r="L225" s="26">
        <v>0</v>
      </c>
      <c r="M225" s="26">
        <v>0</v>
      </c>
      <c r="N225" s="26">
        <v>0</v>
      </c>
      <c r="O225" s="26">
        <v>0</v>
      </c>
      <c r="P225" s="26">
        <v>0</v>
      </c>
      <c r="Q225" s="26">
        <v>0</v>
      </c>
      <c r="R225" s="26">
        <v>0</v>
      </c>
      <c r="S225" s="26">
        <f t="shared" si="34"/>
        <v>26450539684</v>
      </c>
      <c r="T225" s="26">
        <v>0</v>
      </c>
      <c r="U225" s="26">
        <v>0</v>
      </c>
      <c r="V225" s="26">
        <v>0</v>
      </c>
      <c r="W225" s="26">
        <v>0</v>
      </c>
      <c r="X225" s="26">
        <v>0</v>
      </c>
      <c r="Y225" s="26">
        <v>0</v>
      </c>
      <c r="Z225" s="26">
        <v>0</v>
      </c>
      <c r="AA225" s="26">
        <f t="shared" si="32"/>
        <v>0</v>
      </c>
      <c r="AB225" s="110"/>
      <c r="AC225" s="110"/>
      <c r="AD225" s="110"/>
      <c r="AE225" s="110"/>
      <c r="AF225" s="110"/>
      <c r="AG225" s="110"/>
      <c r="AH225" s="110"/>
      <c r="AI225" s="110"/>
      <c r="AJ225" s="110"/>
      <c r="AK225" s="110"/>
      <c r="AL225" s="110"/>
      <c r="AM225" s="110"/>
      <c r="AN225" s="110"/>
      <c r="AO225" s="105"/>
      <c r="AP225" s="105"/>
      <c r="AQ225" s="105"/>
      <c r="AR225" s="105"/>
      <c r="AS225" s="105"/>
      <c r="AT225" s="105"/>
      <c r="AU225" s="105"/>
      <c r="AV225" s="105"/>
      <c r="AW225" s="105"/>
      <c r="AX225" s="105"/>
      <c r="AY225" s="105"/>
      <c r="AZ225" s="105"/>
      <c r="BA225" s="105"/>
      <c r="BB225" s="105"/>
    </row>
    <row r="226" spans="1:54" s="106" customFormat="1" ht="12" customHeight="1">
      <c r="A226" s="8">
        <v>213030302</v>
      </c>
      <c r="B226" s="8" t="s">
        <v>860</v>
      </c>
      <c r="C226" s="8" t="str">
        <f>+VLOOKUP(A226,Clasificaciones!$C$4:$H$887,6,0)</f>
        <v>Deudas con terceros por operaciones de reporto</v>
      </c>
      <c r="D226" s="92">
        <f>+VLOOKUP(A226,Clasificaciones!C:I,5,FALSE)</f>
        <v>-22910175411</v>
      </c>
      <c r="E226" s="92">
        <v>0</v>
      </c>
      <c r="F226" s="92">
        <v>0</v>
      </c>
      <c r="G226" s="92">
        <f>VLOOKUP(A226,Clasificaciones!C:M,9,FALSE)</f>
        <v>-5275654000</v>
      </c>
      <c r="H226" s="92">
        <f t="shared" si="30"/>
        <v>-17634521411</v>
      </c>
      <c r="I226" s="26">
        <v>0</v>
      </c>
      <c r="J226" s="26">
        <v>0</v>
      </c>
      <c r="K226" s="26">
        <v>0</v>
      </c>
      <c r="L226" s="26">
        <v>0</v>
      </c>
      <c r="M226" s="26">
        <v>0</v>
      </c>
      <c r="N226" s="26">
        <v>0</v>
      </c>
      <c r="O226" s="26">
        <v>0</v>
      </c>
      <c r="P226" s="26">
        <v>0</v>
      </c>
      <c r="Q226" s="26">
        <v>0</v>
      </c>
      <c r="R226" s="26">
        <v>0</v>
      </c>
      <c r="S226" s="26">
        <f t="shared" si="35"/>
        <v>17634521411</v>
      </c>
      <c r="T226" s="26">
        <v>0</v>
      </c>
      <c r="U226" s="26">
        <v>0</v>
      </c>
      <c r="V226" s="26">
        <v>0</v>
      </c>
      <c r="W226" s="26">
        <v>0</v>
      </c>
      <c r="X226" s="26">
        <v>0</v>
      </c>
      <c r="Y226" s="26">
        <v>0</v>
      </c>
      <c r="Z226" s="26">
        <v>0</v>
      </c>
      <c r="AA226" s="26">
        <f t="shared" si="32"/>
        <v>0</v>
      </c>
      <c r="AB226" s="110"/>
      <c r="AC226" s="110"/>
      <c r="AD226" s="110"/>
      <c r="AE226" s="110"/>
      <c r="AF226" s="110"/>
      <c r="AG226" s="110"/>
      <c r="AH226" s="110"/>
      <c r="AI226" s="110"/>
      <c r="AJ226" s="110"/>
      <c r="AK226" s="110"/>
      <c r="AL226" s="110"/>
      <c r="AM226" s="110"/>
      <c r="AN226" s="110"/>
      <c r="AO226" s="105"/>
      <c r="AP226" s="105"/>
      <c r="AQ226" s="105"/>
      <c r="AR226" s="105"/>
      <c r="AS226" s="105"/>
      <c r="AT226" s="105"/>
      <c r="AU226" s="105"/>
      <c r="AV226" s="105"/>
      <c r="AW226" s="105"/>
      <c r="AX226" s="105"/>
      <c r="AY226" s="105"/>
      <c r="AZ226" s="105"/>
      <c r="BA226" s="105"/>
      <c r="BB226" s="105"/>
    </row>
    <row r="227" spans="1:54" s="106" customFormat="1" ht="12" customHeight="1">
      <c r="A227" s="8">
        <v>213030303</v>
      </c>
      <c r="B227" s="8" t="s">
        <v>1324</v>
      </c>
      <c r="C227" s="8" t="str">
        <f>+VLOOKUP(A227,Clasificaciones!$C$4:$H$887,6,0)</f>
        <v>Deudas con terceros por operaciones de reporto</v>
      </c>
      <c r="D227" s="92">
        <f>+VLOOKUP(A227,Clasificaciones!C:I,5,FALSE)</f>
        <v>-3287513797</v>
      </c>
      <c r="E227" s="92">
        <v>0</v>
      </c>
      <c r="F227" s="92">
        <v>0</v>
      </c>
      <c r="G227" s="92">
        <f>VLOOKUP(A227,Clasificaciones!C:M,9,FALSE)</f>
        <v>0</v>
      </c>
      <c r="H227" s="92">
        <f t="shared" si="30"/>
        <v>-3287513797</v>
      </c>
      <c r="I227" s="26">
        <v>0</v>
      </c>
      <c r="J227" s="26">
        <v>0</v>
      </c>
      <c r="K227" s="26">
        <v>0</v>
      </c>
      <c r="L227" s="26">
        <v>0</v>
      </c>
      <c r="M227" s="26">
        <v>0</v>
      </c>
      <c r="N227" s="26">
        <v>0</v>
      </c>
      <c r="O227" s="26">
        <v>0</v>
      </c>
      <c r="P227" s="26">
        <v>0</v>
      </c>
      <c r="Q227" s="26">
        <v>0</v>
      </c>
      <c r="R227" s="26">
        <v>0</v>
      </c>
      <c r="S227" s="26">
        <f t="shared" si="35"/>
        <v>3287513797</v>
      </c>
      <c r="T227" s="26">
        <v>0</v>
      </c>
      <c r="U227" s="26">
        <v>0</v>
      </c>
      <c r="V227" s="26">
        <v>0</v>
      </c>
      <c r="W227" s="26">
        <v>0</v>
      </c>
      <c r="X227" s="26">
        <v>0</v>
      </c>
      <c r="Y227" s="26">
        <v>0</v>
      </c>
      <c r="Z227" s="26">
        <v>0</v>
      </c>
      <c r="AA227" s="26">
        <f t="shared" si="32"/>
        <v>0</v>
      </c>
      <c r="AB227" s="110"/>
      <c r="AC227" s="110"/>
      <c r="AD227" s="110"/>
      <c r="AE227" s="110"/>
      <c r="AF227" s="110"/>
      <c r="AG227" s="110"/>
      <c r="AH227" s="110"/>
      <c r="AI227" s="110"/>
      <c r="AJ227" s="110"/>
      <c r="AK227" s="110"/>
      <c r="AL227" s="110"/>
      <c r="AM227" s="110"/>
      <c r="AN227" s="110"/>
      <c r="AO227" s="105"/>
      <c r="AP227" s="105"/>
      <c r="AQ227" s="105"/>
      <c r="AR227" s="105"/>
      <c r="AS227" s="105"/>
      <c r="AT227" s="105"/>
      <c r="AU227" s="105"/>
      <c r="AV227" s="105"/>
      <c r="AW227" s="105"/>
      <c r="AX227" s="105"/>
      <c r="AY227" s="105"/>
      <c r="AZ227" s="105"/>
      <c r="BA227" s="105"/>
      <c r="BB227" s="105"/>
    </row>
    <row r="228" spans="1:54" s="109" customFormat="1" ht="12" customHeight="1">
      <c r="A228" s="8">
        <v>214</v>
      </c>
      <c r="B228" s="8" t="s">
        <v>10</v>
      </c>
      <c r="C228" s="8"/>
      <c r="D228" s="92">
        <f>+VLOOKUP(A228,Clasificaciones!C:I,5,FALSE)</f>
        <v>0</v>
      </c>
      <c r="E228" s="92">
        <v>0</v>
      </c>
      <c r="F228" s="92">
        <v>0</v>
      </c>
      <c r="G228" s="92">
        <f>VLOOKUP(A228,Clasificaciones!C:M,9,FALSE)</f>
        <v>0</v>
      </c>
      <c r="H228" s="92">
        <f t="shared" si="30"/>
        <v>0</v>
      </c>
      <c r="I228" s="26">
        <v>0</v>
      </c>
      <c r="J228" s="26">
        <v>0</v>
      </c>
      <c r="K228" s="26">
        <f t="shared" ref="K228:K236" si="36">-H228</f>
        <v>0</v>
      </c>
      <c r="L228" s="26">
        <v>0</v>
      </c>
      <c r="M228" s="26">
        <v>0</v>
      </c>
      <c r="N228" s="26">
        <v>0</v>
      </c>
      <c r="O228" s="26">
        <v>0</v>
      </c>
      <c r="P228" s="26">
        <v>0</v>
      </c>
      <c r="Q228" s="26">
        <v>0</v>
      </c>
      <c r="R228" s="26">
        <v>0</v>
      </c>
      <c r="S228" s="26">
        <v>0</v>
      </c>
      <c r="T228" s="26">
        <v>0</v>
      </c>
      <c r="U228" s="26">
        <v>0</v>
      </c>
      <c r="V228" s="26">
        <v>0</v>
      </c>
      <c r="W228" s="26">
        <v>0</v>
      </c>
      <c r="X228" s="26">
        <v>0</v>
      </c>
      <c r="Y228" s="26">
        <v>0</v>
      </c>
      <c r="Z228" s="26">
        <v>0</v>
      </c>
      <c r="AA228" s="26">
        <f t="shared" si="32"/>
        <v>0</v>
      </c>
      <c r="AB228" s="107"/>
      <c r="AC228" s="107"/>
      <c r="AD228" s="107"/>
      <c r="AE228" s="107"/>
      <c r="AF228" s="107"/>
      <c r="AG228" s="107"/>
      <c r="AH228" s="107"/>
      <c r="AI228" s="107"/>
      <c r="AJ228" s="107"/>
      <c r="AK228" s="107"/>
      <c r="AL228" s="107"/>
      <c r="AM228" s="107"/>
      <c r="AN228" s="107"/>
      <c r="AO228" s="108"/>
      <c r="AP228" s="108"/>
      <c r="AQ228" s="108"/>
      <c r="AR228" s="108"/>
      <c r="AS228" s="108"/>
      <c r="AT228" s="108"/>
      <c r="AU228" s="108"/>
      <c r="AV228" s="108"/>
      <c r="AW228" s="108"/>
      <c r="AX228" s="108"/>
      <c r="AY228" s="108"/>
      <c r="AZ228" s="108"/>
      <c r="BA228" s="108"/>
      <c r="BB228" s="108"/>
    </row>
    <row r="229" spans="1:54" s="109" customFormat="1" ht="12" customHeight="1">
      <c r="A229" s="8">
        <v>21401</v>
      </c>
      <c r="B229" s="8" t="s">
        <v>861</v>
      </c>
      <c r="C229" s="8"/>
      <c r="D229" s="92">
        <f>+VLOOKUP(A229,Clasificaciones!C:I,5,FALSE)</f>
        <v>0</v>
      </c>
      <c r="E229" s="92">
        <v>0</v>
      </c>
      <c r="F229" s="92">
        <v>0</v>
      </c>
      <c r="G229" s="92">
        <f>VLOOKUP(A229,Clasificaciones!C:M,9,FALSE)</f>
        <v>0</v>
      </c>
      <c r="H229" s="92">
        <f t="shared" si="30"/>
        <v>0</v>
      </c>
      <c r="I229" s="26">
        <v>0</v>
      </c>
      <c r="J229" s="26">
        <v>0</v>
      </c>
      <c r="K229" s="26">
        <f t="shared" si="36"/>
        <v>0</v>
      </c>
      <c r="L229" s="26">
        <v>0</v>
      </c>
      <c r="M229" s="26">
        <v>0</v>
      </c>
      <c r="N229" s="26">
        <v>0</v>
      </c>
      <c r="O229" s="26">
        <v>0</v>
      </c>
      <c r="P229" s="26">
        <v>0</v>
      </c>
      <c r="Q229" s="26">
        <v>0</v>
      </c>
      <c r="R229" s="26">
        <v>0</v>
      </c>
      <c r="S229" s="26">
        <v>0</v>
      </c>
      <c r="T229" s="26">
        <v>0</v>
      </c>
      <c r="U229" s="26">
        <v>0</v>
      </c>
      <c r="V229" s="26">
        <v>0</v>
      </c>
      <c r="W229" s="26">
        <v>0</v>
      </c>
      <c r="X229" s="26">
        <v>0</v>
      </c>
      <c r="Y229" s="26">
        <v>0</v>
      </c>
      <c r="Z229" s="26">
        <v>0</v>
      </c>
      <c r="AA229" s="26">
        <f t="shared" si="32"/>
        <v>0</v>
      </c>
      <c r="AB229" s="107"/>
      <c r="AC229" s="107"/>
      <c r="AD229" s="107"/>
      <c r="AE229" s="107"/>
      <c r="AF229" s="107"/>
      <c r="AG229" s="107"/>
      <c r="AH229" s="107"/>
      <c r="AI229" s="107"/>
      <c r="AJ229" s="107"/>
      <c r="AK229" s="107"/>
      <c r="AL229" s="107"/>
      <c r="AM229" s="107"/>
      <c r="AN229" s="107"/>
      <c r="AO229" s="108"/>
      <c r="AP229" s="108"/>
      <c r="AQ229" s="108"/>
      <c r="AR229" s="108"/>
      <c r="AS229" s="108"/>
      <c r="AT229" s="108"/>
      <c r="AU229" s="108"/>
      <c r="AV229" s="108"/>
      <c r="AW229" s="108"/>
      <c r="AX229" s="108"/>
      <c r="AY229" s="108"/>
      <c r="AZ229" s="108"/>
      <c r="BA229" s="108"/>
      <c r="BB229" s="108"/>
    </row>
    <row r="230" spans="1:54" s="109" customFormat="1" ht="12" customHeight="1">
      <c r="A230" s="8">
        <v>2140101</v>
      </c>
      <c r="B230" s="8" t="s">
        <v>1145</v>
      </c>
      <c r="C230" s="8"/>
      <c r="D230" s="92">
        <f>+VLOOKUP(A230,Clasificaciones!C:I,5,FALSE)</f>
        <v>0</v>
      </c>
      <c r="E230" s="92">
        <v>0</v>
      </c>
      <c r="F230" s="92">
        <v>0</v>
      </c>
      <c r="G230" s="92">
        <f>VLOOKUP(A230,Clasificaciones!C:M,9,FALSE)</f>
        <v>0</v>
      </c>
      <c r="H230" s="92">
        <f t="shared" si="30"/>
        <v>0</v>
      </c>
      <c r="I230" s="26">
        <v>0</v>
      </c>
      <c r="J230" s="26">
        <v>0</v>
      </c>
      <c r="K230" s="26">
        <f t="shared" si="36"/>
        <v>0</v>
      </c>
      <c r="L230" s="26">
        <v>0</v>
      </c>
      <c r="M230" s="26">
        <v>0</v>
      </c>
      <c r="N230" s="26">
        <v>0</v>
      </c>
      <c r="O230" s="26">
        <v>0</v>
      </c>
      <c r="P230" s="26">
        <v>0</v>
      </c>
      <c r="Q230" s="26">
        <v>0</v>
      </c>
      <c r="R230" s="26">
        <v>0</v>
      </c>
      <c r="S230" s="26">
        <v>0</v>
      </c>
      <c r="T230" s="26">
        <v>0</v>
      </c>
      <c r="U230" s="26">
        <v>0</v>
      </c>
      <c r="V230" s="26">
        <v>0</v>
      </c>
      <c r="W230" s="26">
        <v>0</v>
      </c>
      <c r="X230" s="26">
        <v>0</v>
      </c>
      <c r="Y230" s="26">
        <v>0</v>
      </c>
      <c r="Z230" s="26">
        <v>0</v>
      </c>
      <c r="AA230" s="26">
        <f t="shared" si="32"/>
        <v>0</v>
      </c>
      <c r="AB230" s="107"/>
      <c r="AC230" s="107"/>
      <c r="AD230" s="107"/>
      <c r="AE230" s="107"/>
      <c r="AF230" s="107"/>
      <c r="AG230" s="107"/>
      <c r="AH230" s="107"/>
      <c r="AI230" s="107"/>
      <c r="AJ230" s="107"/>
      <c r="AK230" s="107"/>
      <c r="AL230" s="107"/>
      <c r="AM230" s="107"/>
      <c r="AN230" s="107"/>
      <c r="AO230" s="108"/>
      <c r="AP230" s="108"/>
      <c r="AQ230" s="108"/>
      <c r="AR230" s="108"/>
      <c r="AS230" s="108"/>
      <c r="AT230" s="108"/>
      <c r="AU230" s="108"/>
      <c r="AV230" s="108"/>
      <c r="AW230" s="108"/>
      <c r="AX230" s="108"/>
      <c r="AY230" s="108"/>
      <c r="AZ230" s="108"/>
      <c r="BA230" s="108"/>
      <c r="BB230" s="108"/>
    </row>
    <row r="231" spans="1:54" s="109" customFormat="1" ht="11.4" customHeight="1">
      <c r="A231" s="8">
        <v>2140104</v>
      </c>
      <c r="B231" s="8" t="s">
        <v>631</v>
      </c>
      <c r="C231" s="8"/>
      <c r="D231" s="92">
        <f>+VLOOKUP(A231,Clasificaciones!C:I,5,FALSE)</f>
        <v>-526231282</v>
      </c>
      <c r="E231" s="177">
        <f>-D231</f>
        <v>526231282</v>
      </c>
      <c r="F231" s="92">
        <v>0</v>
      </c>
      <c r="G231" s="92">
        <f>VLOOKUP(A231,Clasificaciones!C:M,9,FALSE)</f>
        <v>-285000000</v>
      </c>
      <c r="H231" s="92">
        <f t="shared" si="30"/>
        <v>285000000</v>
      </c>
      <c r="I231" s="26">
        <v>0</v>
      </c>
      <c r="J231" s="26">
        <f>-H231</f>
        <v>-285000000</v>
      </c>
      <c r="K231" s="26">
        <v>0</v>
      </c>
      <c r="L231" s="26">
        <v>0</v>
      </c>
      <c r="M231" s="26">
        <v>0</v>
      </c>
      <c r="N231" s="26">
        <v>0</v>
      </c>
      <c r="O231" s="26">
        <v>0</v>
      </c>
      <c r="P231" s="26">
        <v>0</v>
      </c>
      <c r="Q231" s="26">
        <v>0</v>
      </c>
      <c r="R231" s="26">
        <v>0</v>
      </c>
      <c r="S231" s="26">
        <v>0</v>
      </c>
      <c r="T231" s="26">
        <v>0</v>
      </c>
      <c r="U231" s="26">
        <v>0</v>
      </c>
      <c r="V231" s="26">
        <v>0</v>
      </c>
      <c r="W231" s="26">
        <v>0</v>
      </c>
      <c r="X231" s="26">
        <v>0</v>
      </c>
      <c r="Y231" s="26">
        <v>0</v>
      </c>
      <c r="Z231" s="26">
        <v>0</v>
      </c>
      <c r="AA231" s="26">
        <f t="shared" si="32"/>
        <v>0</v>
      </c>
      <c r="AB231" s="107"/>
      <c r="AC231" s="107"/>
      <c r="AD231" s="107"/>
      <c r="AE231" s="107"/>
      <c r="AF231" s="107"/>
      <c r="AG231" s="107"/>
      <c r="AH231" s="107"/>
      <c r="AI231" s="107"/>
      <c r="AJ231" s="107"/>
      <c r="AK231" s="107"/>
      <c r="AL231" s="107"/>
      <c r="AM231" s="107"/>
      <c r="AN231" s="107"/>
      <c r="AO231" s="108"/>
      <c r="AP231" s="108"/>
      <c r="AQ231" s="108"/>
      <c r="AR231" s="108"/>
      <c r="AS231" s="108"/>
      <c r="AT231" s="108"/>
      <c r="AU231" s="108"/>
      <c r="AV231" s="108"/>
      <c r="AW231" s="108"/>
      <c r="AX231" s="108"/>
      <c r="AY231" s="108"/>
      <c r="AZ231" s="108"/>
      <c r="BA231" s="108"/>
      <c r="BB231" s="108"/>
    </row>
    <row r="232" spans="1:54" s="109" customFormat="1" ht="12" customHeight="1">
      <c r="A232" s="8">
        <v>2140105</v>
      </c>
      <c r="B232" s="8" t="s">
        <v>862</v>
      </c>
      <c r="C232" s="8"/>
      <c r="D232" s="92">
        <f>+VLOOKUP(A232,Clasificaciones!C:I,5,FALSE)</f>
        <v>0</v>
      </c>
      <c r="E232" s="92">
        <v>0</v>
      </c>
      <c r="F232" s="92">
        <v>0</v>
      </c>
      <c r="G232" s="92">
        <f>VLOOKUP(A232,Clasificaciones!C:M,9,FALSE)</f>
        <v>0</v>
      </c>
      <c r="H232" s="92">
        <f t="shared" si="30"/>
        <v>0</v>
      </c>
      <c r="I232" s="26">
        <v>0</v>
      </c>
      <c r="J232" s="26">
        <f>-H232</f>
        <v>0</v>
      </c>
      <c r="K232" s="26">
        <v>0</v>
      </c>
      <c r="L232" s="26">
        <v>0</v>
      </c>
      <c r="M232" s="26">
        <v>0</v>
      </c>
      <c r="N232" s="26">
        <v>0</v>
      </c>
      <c r="O232" s="26">
        <v>0</v>
      </c>
      <c r="P232" s="26">
        <v>0</v>
      </c>
      <c r="Q232" s="26">
        <v>0</v>
      </c>
      <c r="R232" s="26">
        <v>0</v>
      </c>
      <c r="S232" s="26">
        <v>0</v>
      </c>
      <c r="T232" s="26">
        <v>0</v>
      </c>
      <c r="U232" s="26">
        <v>0</v>
      </c>
      <c r="V232" s="26">
        <v>0</v>
      </c>
      <c r="W232" s="26">
        <v>0</v>
      </c>
      <c r="X232" s="26">
        <v>0</v>
      </c>
      <c r="Y232" s="26">
        <v>0</v>
      </c>
      <c r="Z232" s="26">
        <v>0</v>
      </c>
      <c r="AA232" s="26">
        <f t="shared" si="32"/>
        <v>0</v>
      </c>
      <c r="AB232" s="107"/>
      <c r="AC232" s="107"/>
      <c r="AD232" s="107"/>
      <c r="AE232" s="107"/>
      <c r="AF232" s="107"/>
      <c r="AG232" s="107"/>
      <c r="AH232" s="107"/>
      <c r="AI232" s="107"/>
      <c r="AJ232" s="107"/>
      <c r="AK232" s="107"/>
      <c r="AL232" s="107"/>
      <c r="AM232" s="107"/>
      <c r="AN232" s="107"/>
      <c r="AO232" s="108"/>
      <c r="AP232" s="108"/>
      <c r="AQ232" s="108"/>
      <c r="AR232" s="108"/>
      <c r="AS232" s="108"/>
      <c r="AT232" s="108"/>
      <c r="AU232" s="108"/>
      <c r="AV232" s="108"/>
      <c r="AW232" s="108"/>
      <c r="AX232" s="108"/>
      <c r="AY232" s="108"/>
      <c r="AZ232" s="108"/>
      <c r="BA232" s="108"/>
      <c r="BB232" s="108"/>
    </row>
    <row r="233" spans="1:54" s="109" customFormat="1" ht="12" customHeight="1">
      <c r="A233" s="8">
        <v>2140107</v>
      </c>
      <c r="B233" s="8" t="s">
        <v>176</v>
      </c>
      <c r="C233" s="8" t="str">
        <f>+VLOOKUP(A233,Clasificaciones!$C$4:$H$887,6,0)</f>
        <v>Aportes y Retenciones a Pagar</v>
      </c>
      <c r="D233" s="92">
        <f>+VLOOKUP(A233,Clasificaciones!C:I,5,FALSE)</f>
        <v>-63856962</v>
      </c>
      <c r="E233" s="92">
        <v>0</v>
      </c>
      <c r="F233" s="92">
        <v>0</v>
      </c>
      <c r="G233" s="92">
        <f>VLOOKUP(A233,Clasificaciones!C:M,9,FALSE)</f>
        <v>-43933429</v>
      </c>
      <c r="H233" s="92">
        <f t="shared" si="30"/>
        <v>-19923533</v>
      </c>
      <c r="I233" s="26">
        <v>0</v>
      </c>
      <c r="J233" s="26">
        <v>0</v>
      </c>
      <c r="K233" s="26"/>
      <c r="L233" s="26">
        <v>0</v>
      </c>
      <c r="M233" s="26">
        <f>-H233</f>
        <v>19923533</v>
      </c>
      <c r="N233" s="26">
        <v>0</v>
      </c>
      <c r="O233" s="26">
        <v>0</v>
      </c>
      <c r="P233" s="26">
        <v>0</v>
      </c>
      <c r="Q233" s="26">
        <v>0</v>
      </c>
      <c r="R233" s="26">
        <v>0</v>
      </c>
      <c r="S233" s="26">
        <v>0</v>
      </c>
      <c r="T233" s="26">
        <v>0</v>
      </c>
      <c r="U233" s="26">
        <v>0</v>
      </c>
      <c r="V233" s="26">
        <v>0</v>
      </c>
      <c r="W233" s="26">
        <v>0</v>
      </c>
      <c r="X233" s="26">
        <v>0</v>
      </c>
      <c r="Y233" s="26">
        <v>0</v>
      </c>
      <c r="Z233" s="26">
        <v>0</v>
      </c>
      <c r="AA233" s="26">
        <f t="shared" si="32"/>
        <v>0</v>
      </c>
      <c r="AB233" s="107"/>
      <c r="AC233" s="107"/>
      <c r="AD233" s="107"/>
      <c r="AE233" s="107"/>
      <c r="AF233" s="107"/>
      <c r="AG233" s="107"/>
      <c r="AH233" s="107"/>
      <c r="AI233" s="107"/>
      <c r="AJ233" s="107"/>
      <c r="AK233" s="107"/>
      <c r="AL233" s="107"/>
      <c r="AM233" s="107"/>
      <c r="AN233" s="107"/>
      <c r="AO233" s="108"/>
      <c r="AP233" s="108"/>
      <c r="AQ233" s="108"/>
      <c r="AR233" s="108"/>
      <c r="AS233" s="108"/>
      <c r="AT233" s="108"/>
      <c r="AU233" s="108"/>
      <c r="AV233" s="108"/>
      <c r="AW233" s="108"/>
      <c r="AX233" s="108"/>
      <c r="AY233" s="108"/>
      <c r="AZ233" s="108"/>
      <c r="BA233" s="108"/>
      <c r="BB233" s="108"/>
    </row>
    <row r="234" spans="1:54" s="109" customFormat="1" ht="12" customHeight="1">
      <c r="A234" s="8">
        <v>2140108</v>
      </c>
      <c r="B234" s="8" t="s">
        <v>1417</v>
      </c>
      <c r="C234" s="8"/>
      <c r="D234" s="92">
        <f>+VLOOKUP(A234,Clasificaciones!C:I,5,FALSE)</f>
        <v>-112790000</v>
      </c>
      <c r="E234" s="177">
        <f>-D234</f>
        <v>112790000</v>
      </c>
      <c r="F234" s="92">
        <v>0</v>
      </c>
      <c r="G234" s="92">
        <f>VLOOKUP(A234,Clasificaciones!C:M,9,FALSE)</f>
        <v>0</v>
      </c>
      <c r="H234" s="92">
        <f t="shared" ref="H234" si="37">+D234-G234+E234-F234</f>
        <v>0</v>
      </c>
      <c r="I234" s="26">
        <v>0</v>
      </c>
      <c r="J234" s="26">
        <f>-H234</f>
        <v>0</v>
      </c>
      <c r="K234" s="26"/>
      <c r="L234" s="26">
        <v>0</v>
      </c>
      <c r="M234" s="26">
        <v>0</v>
      </c>
      <c r="N234" s="26">
        <v>0</v>
      </c>
      <c r="O234" s="26">
        <v>0</v>
      </c>
      <c r="P234" s="26">
        <v>0</v>
      </c>
      <c r="Q234" s="26">
        <v>0</v>
      </c>
      <c r="R234" s="26">
        <v>0</v>
      </c>
      <c r="S234" s="26">
        <v>0</v>
      </c>
      <c r="T234" s="26">
        <v>0</v>
      </c>
      <c r="U234" s="26">
        <v>0</v>
      </c>
      <c r="V234" s="26">
        <v>0</v>
      </c>
      <c r="W234" s="26">
        <v>0</v>
      </c>
      <c r="X234" s="26">
        <v>0</v>
      </c>
      <c r="Y234" s="26">
        <v>0</v>
      </c>
      <c r="Z234" s="26">
        <v>0</v>
      </c>
      <c r="AA234" s="26">
        <f t="shared" si="32"/>
        <v>0</v>
      </c>
      <c r="AB234" s="107"/>
      <c r="AC234" s="107"/>
      <c r="AD234" s="107"/>
      <c r="AE234" s="107"/>
      <c r="AF234" s="107"/>
      <c r="AG234" s="107"/>
      <c r="AH234" s="107"/>
      <c r="AI234" s="107"/>
      <c r="AJ234" s="107"/>
      <c r="AK234" s="107"/>
      <c r="AL234" s="107"/>
      <c r="AM234" s="107"/>
      <c r="AN234" s="107"/>
      <c r="AO234" s="108"/>
      <c r="AP234" s="108"/>
      <c r="AQ234" s="108"/>
      <c r="AR234" s="108"/>
      <c r="AS234" s="108"/>
      <c r="AT234" s="108"/>
      <c r="AU234" s="108"/>
      <c r="AV234" s="108"/>
      <c r="AW234" s="108"/>
      <c r="AX234" s="108"/>
      <c r="AY234" s="108"/>
      <c r="AZ234" s="108"/>
      <c r="BA234" s="108"/>
      <c r="BB234" s="108"/>
    </row>
    <row r="235" spans="1:54" s="109" customFormat="1" ht="12" customHeight="1">
      <c r="A235" s="8">
        <v>2140109</v>
      </c>
      <c r="B235" s="8" t="s">
        <v>1148</v>
      </c>
      <c r="C235" s="8" t="str">
        <f>+VLOOKUP(A235,Clasificaciones!$C$4:$H$887,6,0)</f>
        <v>Otros Pasivos Corrientes</v>
      </c>
      <c r="D235" s="92">
        <f>+VLOOKUP(A235,Clasificaciones!C:I,5,FALSE)</f>
        <v>0</v>
      </c>
      <c r="E235" s="92">
        <v>0</v>
      </c>
      <c r="F235" s="92">
        <v>0</v>
      </c>
      <c r="G235" s="92">
        <f>VLOOKUP(A235,Clasificaciones!C:M,9,FALSE)</f>
        <v>-3569630</v>
      </c>
      <c r="H235" s="92">
        <f t="shared" si="30"/>
        <v>3569630</v>
      </c>
      <c r="I235" s="26">
        <v>0</v>
      </c>
      <c r="J235" s="26">
        <v>0</v>
      </c>
      <c r="K235" s="26"/>
      <c r="L235" s="26">
        <v>0</v>
      </c>
      <c r="M235" s="26">
        <f>-H235</f>
        <v>-3569630</v>
      </c>
      <c r="N235" s="26">
        <v>0</v>
      </c>
      <c r="O235" s="26">
        <v>0</v>
      </c>
      <c r="P235" s="26">
        <v>0</v>
      </c>
      <c r="Q235" s="26">
        <v>0</v>
      </c>
      <c r="R235" s="26">
        <v>0</v>
      </c>
      <c r="S235" s="26">
        <v>0</v>
      </c>
      <c r="T235" s="26">
        <v>0</v>
      </c>
      <c r="U235" s="26">
        <v>0</v>
      </c>
      <c r="V235" s="26">
        <v>0</v>
      </c>
      <c r="W235" s="26">
        <v>0</v>
      </c>
      <c r="X235" s="26">
        <v>0</v>
      </c>
      <c r="Y235" s="26">
        <v>0</v>
      </c>
      <c r="Z235" s="26">
        <v>0</v>
      </c>
      <c r="AA235" s="26">
        <f t="shared" si="32"/>
        <v>0</v>
      </c>
      <c r="AB235" s="107"/>
      <c r="AC235" s="107"/>
      <c r="AD235" s="107"/>
      <c r="AE235" s="107"/>
      <c r="AF235" s="107"/>
      <c r="AG235" s="107"/>
      <c r="AH235" s="107"/>
      <c r="AI235" s="107"/>
      <c r="AJ235" s="107"/>
      <c r="AK235" s="107"/>
      <c r="AL235" s="107"/>
      <c r="AM235" s="107"/>
      <c r="AN235" s="107"/>
      <c r="AO235" s="108"/>
      <c r="AP235" s="108"/>
      <c r="AQ235" s="108"/>
      <c r="AR235" s="108"/>
      <c r="AS235" s="108"/>
      <c r="AT235" s="108"/>
      <c r="AU235" s="108"/>
      <c r="AV235" s="108"/>
      <c r="AW235" s="108"/>
      <c r="AX235" s="108"/>
      <c r="AY235" s="108"/>
      <c r="AZ235" s="108"/>
      <c r="BA235" s="108"/>
      <c r="BB235" s="108"/>
    </row>
    <row r="236" spans="1:54" s="109" customFormat="1" ht="12" customHeight="1">
      <c r="A236" s="8">
        <v>21402</v>
      </c>
      <c r="B236" s="8" t="s">
        <v>863</v>
      </c>
      <c r="C236" s="8"/>
      <c r="D236" s="92">
        <f>+VLOOKUP(A236,Clasificaciones!C:I,5,FALSE)</f>
        <v>0</v>
      </c>
      <c r="E236" s="92">
        <v>0</v>
      </c>
      <c r="F236" s="92">
        <v>0</v>
      </c>
      <c r="G236" s="92">
        <f>VLOOKUP(A236,Clasificaciones!C:M,9,FALSE)</f>
        <v>0</v>
      </c>
      <c r="H236" s="92">
        <f t="shared" si="30"/>
        <v>0</v>
      </c>
      <c r="I236" s="26">
        <v>0</v>
      </c>
      <c r="J236" s="26">
        <v>0</v>
      </c>
      <c r="K236" s="26">
        <f t="shared" si="36"/>
        <v>0</v>
      </c>
      <c r="L236" s="26">
        <v>0</v>
      </c>
      <c r="M236" s="26">
        <v>0</v>
      </c>
      <c r="N236" s="26">
        <v>0</v>
      </c>
      <c r="O236" s="26">
        <v>0</v>
      </c>
      <c r="P236" s="26">
        <v>0</v>
      </c>
      <c r="Q236" s="26">
        <v>0</v>
      </c>
      <c r="R236" s="26">
        <v>0</v>
      </c>
      <c r="S236" s="26">
        <v>0</v>
      </c>
      <c r="T236" s="26">
        <v>0</v>
      </c>
      <c r="U236" s="26">
        <v>0</v>
      </c>
      <c r="V236" s="26">
        <v>0</v>
      </c>
      <c r="W236" s="26">
        <v>0</v>
      </c>
      <c r="X236" s="26">
        <v>0</v>
      </c>
      <c r="Y236" s="26">
        <v>0</v>
      </c>
      <c r="Z236" s="26">
        <v>0</v>
      </c>
      <c r="AA236" s="26">
        <f t="shared" si="32"/>
        <v>0</v>
      </c>
      <c r="AB236" s="107"/>
      <c r="AC236" s="107"/>
      <c r="AD236" s="107"/>
      <c r="AE236" s="107"/>
      <c r="AF236" s="107"/>
      <c r="AG236" s="107"/>
      <c r="AH236" s="107"/>
      <c r="AI236" s="107"/>
      <c r="AJ236" s="107"/>
      <c r="AK236" s="107"/>
      <c r="AL236" s="107"/>
      <c r="AM236" s="107"/>
      <c r="AN236" s="107"/>
      <c r="AO236" s="108"/>
      <c r="AP236" s="108"/>
      <c r="AQ236" s="108"/>
      <c r="AR236" s="108"/>
      <c r="AS236" s="108"/>
      <c r="AT236" s="108"/>
      <c r="AU236" s="108"/>
      <c r="AV236" s="108"/>
      <c r="AW236" s="108"/>
      <c r="AX236" s="108"/>
      <c r="AY236" s="108"/>
      <c r="AZ236" s="108"/>
      <c r="BA236" s="108"/>
      <c r="BB236" s="108"/>
    </row>
    <row r="237" spans="1:54" s="109" customFormat="1" ht="12" customHeight="1">
      <c r="A237" s="8">
        <v>2140201</v>
      </c>
      <c r="B237" s="8" t="s">
        <v>86</v>
      </c>
      <c r="C237" s="8"/>
      <c r="D237" s="92">
        <f>+VLOOKUP(A237,Clasificaciones!C:I,5,FALSE)</f>
        <v>-152286289</v>
      </c>
      <c r="E237" s="177">
        <f>+F478</f>
        <v>152286289</v>
      </c>
      <c r="F237" s="92">
        <v>0</v>
      </c>
      <c r="G237" s="92">
        <f>VLOOKUP(A237,Clasificaciones!C:M,9,FALSE)</f>
        <v>-263473906</v>
      </c>
      <c r="H237" s="92">
        <f t="shared" si="30"/>
        <v>263473906</v>
      </c>
      <c r="I237" s="26">
        <v>0</v>
      </c>
      <c r="J237" s="26">
        <v>0</v>
      </c>
      <c r="K237" s="26">
        <v>0</v>
      </c>
      <c r="L237" s="26">
        <v>0</v>
      </c>
      <c r="M237" s="26">
        <v>0</v>
      </c>
      <c r="N237" s="26">
        <f>-H237</f>
        <v>-263473906</v>
      </c>
      <c r="O237" s="26">
        <v>0</v>
      </c>
      <c r="P237" s="26">
        <v>0</v>
      </c>
      <c r="Q237" s="26">
        <v>0</v>
      </c>
      <c r="R237" s="26">
        <v>0</v>
      </c>
      <c r="S237" s="26">
        <v>0</v>
      </c>
      <c r="T237" s="26">
        <v>0</v>
      </c>
      <c r="U237" s="26">
        <v>0</v>
      </c>
      <c r="V237" s="26">
        <v>0</v>
      </c>
      <c r="W237" s="26">
        <v>0</v>
      </c>
      <c r="X237" s="26">
        <v>0</v>
      </c>
      <c r="Y237" s="26">
        <v>0</v>
      </c>
      <c r="Z237" s="26">
        <v>0</v>
      </c>
      <c r="AA237" s="26">
        <f t="shared" si="32"/>
        <v>0</v>
      </c>
      <c r="AB237" s="107"/>
      <c r="AC237" s="107"/>
      <c r="AD237" s="107"/>
      <c r="AE237" s="107"/>
      <c r="AF237" s="107"/>
      <c r="AG237" s="107"/>
      <c r="AH237" s="107"/>
      <c r="AI237" s="107"/>
      <c r="AJ237" s="107"/>
      <c r="AK237" s="107"/>
      <c r="AL237" s="107"/>
      <c r="AM237" s="107"/>
      <c r="AN237" s="107"/>
      <c r="AO237" s="108"/>
      <c r="AP237" s="108"/>
      <c r="AQ237" s="108"/>
      <c r="AR237" s="108"/>
      <c r="AS237" s="108"/>
      <c r="AT237" s="108"/>
      <c r="AU237" s="108"/>
      <c r="AV237" s="108"/>
      <c r="AW237" s="108"/>
      <c r="AX237" s="108"/>
      <c r="AY237" s="108"/>
      <c r="AZ237" s="108"/>
      <c r="BA237" s="108"/>
      <c r="BB237" s="108"/>
    </row>
    <row r="238" spans="1:54" s="109" customFormat="1" ht="12" customHeight="1">
      <c r="A238" s="8">
        <v>2140202</v>
      </c>
      <c r="B238" s="8" t="s">
        <v>864</v>
      </c>
      <c r="C238" s="8"/>
      <c r="D238" s="92">
        <f>+VLOOKUP(A238,Clasificaciones!C:I,5,FALSE)</f>
        <v>0</v>
      </c>
      <c r="E238" s="92">
        <f>+F479</f>
        <v>0</v>
      </c>
      <c r="F238" s="92">
        <v>0</v>
      </c>
      <c r="G238" s="92">
        <f>VLOOKUP(A238,Clasificaciones!C:M,9,FALSE)</f>
        <v>0</v>
      </c>
      <c r="H238" s="92">
        <f t="shared" si="30"/>
        <v>0</v>
      </c>
      <c r="I238" s="26">
        <v>0</v>
      </c>
      <c r="J238" s="26">
        <v>0</v>
      </c>
      <c r="K238" s="26">
        <v>0</v>
      </c>
      <c r="L238" s="26">
        <v>0</v>
      </c>
      <c r="M238" s="26">
        <v>0</v>
      </c>
      <c r="N238" s="26">
        <f>-H238</f>
        <v>0</v>
      </c>
      <c r="O238" s="26">
        <v>0</v>
      </c>
      <c r="P238" s="26">
        <v>0</v>
      </c>
      <c r="Q238" s="26">
        <v>0</v>
      </c>
      <c r="R238" s="26">
        <v>0</v>
      </c>
      <c r="S238" s="26">
        <v>0</v>
      </c>
      <c r="T238" s="26">
        <v>0</v>
      </c>
      <c r="U238" s="26">
        <v>0</v>
      </c>
      <c r="V238" s="26">
        <v>0</v>
      </c>
      <c r="W238" s="26">
        <v>0</v>
      </c>
      <c r="X238" s="26">
        <v>0</v>
      </c>
      <c r="Y238" s="26">
        <v>0</v>
      </c>
      <c r="Z238" s="26">
        <v>0</v>
      </c>
      <c r="AA238" s="26">
        <f t="shared" si="32"/>
        <v>0</v>
      </c>
      <c r="AB238" s="107"/>
      <c r="AC238" s="107"/>
      <c r="AD238" s="107"/>
      <c r="AE238" s="107"/>
      <c r="AF238" s="107"/>
      <c r="AG238" s="107"/>
      <c r="AH238" s="107"/>
      <c r="AI238" s="107"/>
      <c r="AJ238" s="107"/>
      <c r="AK238" s="107"/>
      <c r="AL238" s="107"/>
      <c r="AM238" s="107"/>
      <c r="AN238" s="107"/>
      <c r="AO238" s="108"/>
      <c r="AP238" s="108"/>
      <c r="AQ238" s="108"/>
      <c r="AR238" s="108"/>
      <c r="AS238" s="108"/>
      <c r="AT238" s="108"/>
      <c r="AU238" s="108"/>
      <c r="AV238" s="108"/>
      <c r="AW238" s="108"/>
      <c r="AX238" s="108"/>
      <c r="AY238" s="108"/>
      <c r="AZ238" s="108"/>
      <c r="BA238" s="108"/>
      <c r="BB238" s="108"/>
    </row>
    <row r="239" spans="1:54" s="109" customFormat="1" ht="12" customHeight="1">
      <c r="A239" s="8">
        <v>214020203</v>
      </c>
      <c r="B239" s="8" t="s">
        <v>865</v>
      </c>
      <c r="C239" s="8"/>
      <c r="D239" s="92">
        <f>+VLOOKUP(A239,Clasificaciones!C:I,5,FALSE)</f>
        <v>-9036062</v>
      </c>
      <c r="E239" s="92">
        <f>+F480</f>
        <v>0</v>
      </c>
      <c r="F239" s="92">
        <v>0</v>
      </c>
      <c r="G239" s="92">
        <f>VLOOKUP(A239,Clasificaciones!C:M,9,FALSE)</f>
        <v>0</v>
      </c>
      <c r="H239" s="92">
        <f t="shared" si="30"/>
        <v>-9036062</v>
      </c>
      <c r="I239" s="26">
        <v>0</v>
      </c>
      <c r="J239" s="26">
        <v>0</v>
      </c>
      <c r="K239" s="26">
        <v>0</v>
      </c>
      <c r="L239" s="26">
        <v>0</v>
      </c>
      <c r="M239" s="26">
        <v>0</v>
      </c>
      <c r="N239" s="26">
        <f>-H239</f>
        <v>9036062</v>
      </c>
      <c r="O239" s="26">
        <v>0</v>
      </c>
      <c r="P239" s="26">
        <v>0</v>
      </c>
      <c r="Q239" s="26">
        <v>0</v>
      </c>
      <c r="R239" s="26">
        <v>0</v>
      </c>
      <c r="S239" s="26">
        <v>0</v>
      </c>
      <c r="T239" s="26">
        <v>0</v>
      </c>
      <c r="U239" s="26">
        <v>0</v>
      </c>
      <c r="V239" s="26">
        <v>0</v>
      </c>
      <c r="W239" s="26">
        <v>0</v>
      </c>
      <c r="X239" s="26">
        <v>0</v>
      </c>
      <c r="Y239" s="26">
        <v>0</v>
      </c>
      <c r="Z239" s="26">
        <v>0</v>
      </c>
      <c r="AA239" s="26">
        <f t="shared" si="32"/>
        <v>0</v>
      </c>
      <c r="AB239" s="107"/>
      <c r="AC239" s="107"/>
      <c r="AD239" s="107"/>
      <c r="AE239" s="107"/>
      <c r="AF239" s="107"/>
      <c r="AG239" s="107"/>
      <c r="AH239" s="107"/>
      <c r="AI239" s="107"/>
      <c r="AJ239" s="107"/>
      <c r="AK239" s="107"/>
      <c r="AL239" s="107"/>
      <c r="AM239" s="107"/>
      <c r="AN239" s="107"/>
      <c r="AO239" s="108"/>
      <c r="AP239" s="108"/>
      <c r="AQ239" s="108"/>
      <c r="AR239" s="108"/>
      <c r="AS239" s="108"/>
      <c r="AT239" s="108"/>
      <c r="AU239" s="108"/>
      <c r="AV239" s="108"/>
      <c r="AW239" s="108"/>
      <c r="AX239" s="108"/>
      <c r="AY239" s="108"/>
      <c r="AZ239" s="108"/>
      <c r="BA239" s="108"/>
      <c r="BB239" s="108"/>
    </row>
    <row r="240" spans="1:54" s="109" customFormat="1" ht="12" customHeight="1">
      <c r="A240" s="8">
        <v>2140203</v>
      </c>
      <c r="B240" s="8" t="s">
        <v>866</v>
      </c>
      <c r="C240" s="8" t="str">
        <f>+VLOOKUP(A240,Clasificaciones!$C$4:$H$887,6,0)</f>
        <v>Retenciones de Impuestos</v>
      </c>
      <c r="D240" s="92">
        <f>+VLOOKUP(A240,Clasificaciones!C:I,5,FALSE)</f>
        <v>-16334400</v>
      </c>
      <c r="E240" s="92">
        <v>0</v>
      </c>
      <c r="F240" s="92">
        <v>0</v>
      </c>
      <c r="G240" s="92">
        <f>VLOOKUP(A240,Clasificaciones!C:M,9,FALSE)</f>
        <v>-52691486</v>
      </c>
      <c r="H240" s="92">
        <f t="shared" si="30"/>
        <v>36357086</v>
      </c>
      <c r="I240" s="26">
        <v>0</v>
      </c>
      <c r="J240" s="26">
        <v>0</v>
      </c>
      <c r="K240" s="26"/>
      <c r="L240" s="26">
        <v>0</v>
      </c>
      <c r="M240" s="26">
        <f>-H240</f>
        <v>-36357086</v>
      </c>
      <c r="N240" s="26">
        <v>0</v>
      </c>
      <c r="O240" s="26">
        <v>0</v>
      </c>
      <c r="P240" s="26">
        <v>0</v>
      </c>
      <c r="Q240" s="26">
        <v>0</v>
      </c>
      <c r="R240" s="26">
        <v>0</v>
      </c>
      <c r="S240" s="26">
        <v>0</v>
      </c>
      <c r="T240" s="26">
        <v>0</v>
      </c>
      <c r="U240" s="26">
        <v>0</v>
      </c>
      <c r="V240" s="26">
        <v>0</v>
      </c>
      <c r="W240" s="26">
        <v>0</v>
      </c>
      <c r="X240" s="26">
        <v>0</v>
      </c>
      <c r="Y240" s="26">
        <v>0</v>
      </c>
      <c r="Z240" s="26">
        <v>0</v>
      </c>
      <c r="AA240" s="26">
        <f t="shared" si="32"/>
        <v>0</v>
      </c>
      <c r="AB240" s="107"/>
      <c r="AC240" s="107"/>
      <c r="AD240" s="107"/>
      <c r="AE240" s="107"/>
      <c r="AF240" s="107"/>
      <c r="AG240" s="107"/>
      <c r="AH240" s="107"/>
      <c r="AI240" s="107"/>
      <c r="AJ240" s="107"/>
      <c r="AK240" s="107"/>
      <c r="AL240" s="107"/>
      <c r="AM240" s="107"/>
      <c r="AN240" s="107"/>
      <c r="AO240" s="108"/>
      <c r="AP240" s="108"/>
      <c r="AQ240" s="108"/>
      <c r="AR240" s="108"/>
      <c r="AS240" s="108"/>
      <c r="AT240" s="108"/>
      <c r="AU240" s="108"/>
      <c r="AV240" s="108"/>
      <c r="AW240" s="108"/>
      <c r="AX240" s="108"/>
      <c r="AY240" s="108"/>
      <c r="AZ240" s="108"/>
      <c r="BA240" s="108"/>
      <c r="BB240" s="108"/>
    </row>
    <row r="241" spans="1:54" s="109" customFormat="1" ht="12" customHeight="1">
      <c r="A241" s="8">
        <v>2140204</v>
      </c>
      <c r="B241" s="8" t="s">
        <v>867</v>
      </c>
      <c r="C241" s="8" t="str">
        <f>+VLOOKUP(A241,Clasificaciones!$C$4:$H$887,6,0)</f>
        <v>Retenciones de Impuestos</v>
      </c>
      <c r="D241" s="92">
        <f>+VLOOKUP(A241,Clasificaciones!C:I,5,FALSE)</f>
        <v>0</v>
      </c>
      <c r="E241" s="92">
        <v>0</v>
      </c>
      <c r="F241" s="92">
        <v>0</v>
      </c>
      <c r="G241" s="92">
        <f>VLOOKUP(A241,Clasificaciones!C:M,9,FALSE)</f>
        <v>-39153628</v>
      </c>
      <c r="H241" s="92">
        <f t="shared" si="30"/>
        <v>39153628</v>
      </c>
      <c r="I241" s="26">
        <v>0</v>
      </c>
      <c r="J241" s="26">
        <v>0</v>
      </c>
      <c r="K241" s="26"/>
      <c r="L241" s="26">
        <v>0</v>
      </c>
      <c r="M241" s="26">
        <f>-H241</f>
        <v>-39153628</v>
      </c>
      <c r="N241" s="26">
        <v>0</v>
      </c>
      <c r="O241" s="26">
        <v>0</v>
      </c>
      <c r="P241" s="26">
        <v>0</v>
      </c>
      <c r="Q241" s="26">
        <v>0</v>
      </c>
      <c r="R241" s="26">
        <v>0</v>
      </c>
      <c r="S241" s="26">
        <v>0</v>
      </c>
      <c r="T241" s="26">
        <v>0</v>
      </c>
      <c r="U241" s="26">
        <v>0</v>
      </c>
      <c r="V241" s="26">
        <v>0</v>
      </c>
      <c r="W241" s="26">
        <v>0</v>
      </c>
      <c r="X241" s="26">
        <v>0</v>
      </c>
      <c r="Y241" s="26">
        <v>0</v>
      </c>
      <c r="Z241" s="26">
        <v>0</v>
      </c>
      <c r="AA241" s="26">
        <f t="shared" si="32"/>
        <v>0</v>
      </c>
      <c r="AB241" s="107"/>
      <c r="AC241" s="107"/>
      <c r="AD241" s="107"/>
      <c r="AE241" s="107"/>
      <c r="AF241" s="107"/>
      <c r="AG241" s="107"/>
      <c r="AH241" s="107"/>
      <c r="AI241" s="107"/>
      <c r="AJ241" s="107"/>
      <c r="AK241" s="107"/>
      <c r="AL241" s="107"/>
      <c r="AM241" s="107"/>
      <c r="AN241" s="107"/>
      <c r="AO241" s="108"/>
      <c r="AP241" s="108"/>
      <c r="AQ241" s="108"/>
      <c r="AR241" s="108"/>
      <c r="AS241" s="108"/>
      <c r="AT241" s="108"/>
      <c r="AU241" s="108"/>
      <c r="AV241" s="108"/>
      <c r="AW241" s="108"/>
      <c r="AX241" s="108"/>
      <c r="AY241" s="108"/>
      <c r="AZ241" s="108"/>
      <c r="BA241" s="108"/>
      <c r="BB241" s="108"/>
    </row>
    <row r="242" spans="1:54" s="106" customFormat="1" ht="12" customHeight="1">
      <c r="A242" s="8">
        <v>21404</v>
      </c>
      <c r="B242" s="8" t="s">
        <v>868</v>
      </c>
      <c r="C242" s="8"/>
      <c r="D242" s="92">
        <f>+VLOOKUP(A242,Clasificaciones!C:I,5,FALSE)</f>
        <v>0</v>
      </c>
      <c r="E242" s="92">
        <v>0</v>
      </c>
      <c r="F242" s="92">
        <v>0</v>
      </c>
      <c r="G242" s="92">
        <f>VLOOKUP(A242,Clasificaciones!C:M,9,FALSE)</f>
        <v>0</v>
      </c>
      <c r="H242" s="92">
        <f t="shared" si="30"/>
        <v>0</v>
      </c>
      <c r="I242" s="26">
        <v>0</v>
      </c>
      <c r="J242" s="26">
        <v>0</v>
      </c>
      <c r="K242" s="26">
        <v>0</v>
      </c>
      <c r="L242" s="26">
        <v>0</v>
      </c>
      <c r="M242" s="26">
        <v>0</v>
      </c>
      <c r="N242" s="26">
        <v>0</v>
      </c>
      <c r="O242" s="26">
        <v>0</v>
      </c>
      <c r="P242" s="26">
        <v>0</v>
      </c>
      <c r="Q242" s="26">
        <v>0</v>
      </c>
      <c r="R242" s="26">
        <v>0</v>
      </c>
      <c r="S242" s="26">
        <v>0</v>
      </c>
      <c r="T242" s="26">
        <v>0</v>
      </c>
      <c r="U242" s="26">
        <v>0</v>
      </c>
      <c r="V242" s="26">
        <v>0</v>
      </c>
      <c r="W242" s="26">
        <v>0</v>
      </c>
      <c r="X242" s="26">
        <v>0</v>
      </c>
      <c r="Y242" s="26">
        <v>0</v>
      </c>
      <c r="Z242" s="26">
        <v>0</v>
      </c>
      <c r="AA242" s="26">
        <f t="shared" si="32"/>
        <v>0</v>
      </c>
      <c r="AB242" s="110"/>
      <c r="AC242" s="110"/>
      <c r="AD242" s="110"/>
      <c r="AE242" s="110"/>
      <c r="AF242" s="110"/>
      <c r="AG242" s="110"/>
      <c r="AH242" s="110"/>
      <c r="AI242" s="110"/>
      <c r="AJ242" s="110"/>
      <c r="AK242" s="110"/>
      <c r="AL242" s="110"/>
      <c r="AM242" s="110"/>
      <c r="AN242" s="110"/>
      <c r="AO242" s="105"/>
      <c r="AP242" s="105"/>
      <c r="AQ242" s="105"/>
      <c r="AR242" s="105"/>
      <c r="AS242" s="105"/>
      <c r="AT242" s="105"/>
      <c r="AU242" s="105"/>
      <c r="AV242" s="105"/>
      <c r="AW242" s="105"/>
      <c r="AX242" s="105"/>
      <c r="AY242" s="105"/>
      <c r="AZ242" s="105"/>
      <c r="BA242" s="105"/>
      <c r="BB242" s="105"/>
    </row>
    <row r="243" spans="1:54" s="109" customFormat="1" ht="12" customHeight="1">
      <c r="A243" s="8">
        <v>2140402</v>
      </c>
      <c r="B243" s="8" t="s">
        <v>178</v>
      </c>
      <c r="C243" s="8"/>
      <c r="D243" s="92">
        <f>+VLOOKUP(A243,Clasificaciones!C:I,5,FALSE)</f>
        <v>0</v>
      </c>
      <c r="E243" s="92">
        <v>0</v>
      </c>
      <c r="F243" s="92">
        <v>0</v>
      </c>
      <c r="G243" s="92">
        <f>VLOOKUP(A243,Clasificaciones!C:M,9,FALSE)</f>
        <v>0</v>
      </c>
      <c r="H243" s="92">
        <f t="shared" si="30"/>
        <v>0</v>
      </c>
      <c r="I243" s="26">
        <v>0</v>
      </c>
      <c r="J243" s="26">
        <v>0</v>
      </c>
      <c r="K243" s="26">
        <f>-H243</f>
        <v>0</v>
      </c>
      <c r="L243" s="26">
        <v>0</v>
      </c>
      <c r="M243" s="26">
        <v>0</v>
      </c>
      <c r="N243" s="26">
        <v>0</v>
      </c>
      <c r="O243" s="26">
        <v>0</v>
      </c>
      <c r="P243" s="26">
        <v>0</v>
      </c>
      <c r="Q243" s="26">
        <v>0</v>
      </c>
      <c r="R243" s="26">
        <v>0</v>
      </c>
      <c r="S243" s="26">
        <v>0</v>
      </c>
      <c r="T243" s="26">
        <v>0</v>
      </c>
      <c r="U243" s="26">
        <v>0</v>
      </c>
      <c r="V243" s="26">
        <v>0</v>
      </c>
      <c r="W243" s="26">
        <v>0</v>
      </c>
      <c r="X243" s="26">
        <v>0</v>
      </c>
      <c r="Y243" s="26">
        <v>0</v>
      </c>
      <c r="Z243" s="26">
        <v>0</v>
      </c>
      <c r="AA243" s="26">
        <f t="shared" si="32"/>
        <v>0</v>
      </c>
      <c r="AB243" s="107"/>
      <c r="AC243" s="107"/>
      <c r="AD243" s="107"/>
      <c r="AE243" s="107"/>
      <c r="AF243" s="107"/>
      <c r="AG243" s="107"/>
      <c r="AH243" s="107"/>
      <c r="AI243" s="107"/>
      <c r="AJ243" s="107"/>
      <c r="AK243" s="107"/>
      <c r="AL243" s="107"/>
      <c r="AM243" s="107"/>
      <c r="AN243" s="107"/>
      <c r="AO243" s="108"/>
      <c r="AP243" s="108"/>
      <c r="AQ243" s="108"/>
      <c r="AR243" s="108"/>
      <c r="AS243" s="108"/>
      <c r="AT243" s="108"/>
      <c r="AU243" s="108"/>
      <c r="AV243" s="108"/>
      <c r="AW243" s="108"/>
      <c r="AX243" s="108"/>
      <c r="AY243" s="108"/>
      <c r="AZ243" s="108"/>
      <c r="BA243" s="108"/>
      <c r="BB243" s="108"/>
    </row>
    <row r="244" spans="1:54" s="109" customFormat="1" ht="12" customHeight="1">
      <c r="A244" s="8">
        <v>2140403</v>
      </c>
      <c r="B244" s="8" t="s">
        <v>179</v>
      </c>
      <c r="C244" s="8"/>
      <c r="D244" s="92">
        <f>+VLOOKUP(A244,Clasificaciones!C:I,5,FALSE)</f>
        <v>0</v>
      </c>
      <c r="E244" s="92">
        <v>0</v>
      </c>
      <c r="F244" s="92">
        <v>0</v>
      </c>
      <c r="G244" s="92">
        <f>VLOOKUP(A244,Clasificaciones!C:M,9,FALSE)</f>
        <v>0</v>
      </c>
      <c r="H244" s="92">
        <f t="shared" si="30"/>
        <v>0</v>
      </c>
      <c r="I244" s="26">
        <v>0</v>
      </c>
      <c r="J244" s="26">
        <v>0</v>
      </c>
      <c r="K244" s="26">
        <f t="shared" ref="K244:K249" si="38">-H244</f>
        <v>0</v>
      </c>
      <c r="L244" s="26">
        <v>0</v>
      </c>
      <c r="M244" s="26">
        <v>0</v>
      </c>
      <c r="N244" s="26">
        <v>0</v>
      </c>
      <c r="O244" s="26">
        <v>0</v>
      </c>
      <c r="P244" s="26">
        <v>0</v>
      </c>
      <c r="Q244" s="26">
        <v>0</v>
      </c>
      <c r="R244" s="26">
        <v>0</v>
      </c>
      <c r="S244" s="26">
        <v>0</v>
      </c>
      <c r="T244" s="26">
        <v>0</v>
      </c>
      <c r="U244" s="26">
        <v>0</v>
      </c>
      <c r="V244" s="26">
        <v>0</v>
      </c>
      <c r="W244" s="26">
        <v>0</v>
      </c>
      <c r="X244" s="26">
        <v>0</v>
      </c>
      <c r="Y244" s="26">
        <v>0</v>
      </c>
      <c r="Z244" s="26">
        <v>0</v>
      </c>
      <c r="AA244" s="26">
        <f t="shared" si="32"/>
        <v>0</v>
      </c>
      <c r="AB244" s="107"/>
      <c r="AC244" s="107"/>
      <c r="AD244" s="107"/>
      <c r="AE244" s="107"/>
      <c r="AF244" s="107"/>
      <c r="AG244" s="107"/>
      <c r="AH244" s="107"/>
      <c r="AI244" s="107"/>
      <c r="AJ244" s="107"/>
      <c r="AK244" s="107"/>
      <c r="AL244" s="107"/>
      <c r="AM244" s="107"/>
      <c r="AN244" s="107"/>
      <c r="AO244" s="108"/>
      <c r="AP244" s="108"/>
      <c r="AQ244" s="108"/>
      <c r="AR244" s="108"/>
      <c r="AS244" s="108"/>
      <c r="AT244" s="108"/>
      <c r="AU244" s="108"/>
      <c r="AV244" s="108"/>
      <c r="AW244" s="108"/>
      <c r="AX244" s="108"/>
      <c r="AY244" s="108"/>
      <c r="AZ244" s="108"/>
      <c r="BA244" s="108"/>
      <c r="BB244" s="108"/>
    </row>
    <row r="245" spans="1:54" s="109" customFormat="1" ht="12" customHeight="1">
      <c r="A245" s="8">
        <v>2140404</v>
      </c>
      <c r="B245" s="8" t="s">
        <v>180</v>
      </c>
      <c r="C245" s="8" t="str">
        <f>+VLOOKUP(A245,Clasificaciones!$C$4:$H$887,6,0)</f>
        <v>Otros Pasivos Corrientes</v>
      </c>
      <c r="D245" s="92">
        <f>+VLOOKUP(A245,Clasificaciones!C:I,5,FALSE)</f>
        <v>-70938000</v>
      </c>
      <c r="E245" s="92">
        <v>0</v>
      </c>
      <c r="F245" s="92">
        <v>0</v>
      </c>
      <c r="G245" s="92">
        <f>VLOOKUP(A245,Clasificaciones!C:M,9,FALSE)</f>
        <v>-240285334</v>
      </c>
      <c r="H245" s="92">
        <f t="shared" si="30"/>
        <v>169347334</v>
      </c>
      <c r="I245" s="26">
        <v>0</v>
      </c>
      <c r="J245" s="26">
        <v>0</v>
      </c>
      <c r="K245" s="26"/>
      <c r="L245" s="26">
        <v>0</v>
      </c>
      <c r="M245" s="26">
        <f>-H245</f>
        <v>-169347334</v>
      </c>
      <c r="N245" s="26">
        <v>0</v>
      </c>
      <c r="O245" s="26">
        <v>0</v>
      </c>
      <c r="P245" s="26">
        <v>0</v>
      </c>
      <c r="Q245" s="26">
        <v>0</v>
      </c>
      <c r="R245" s="26">
        <v>0</v>
      </c>
      <c r="S245" s="26">
        <v>0</v>
      </c>
      <c r="T245" s="26">
        <v>0</v>
      </c>
      <c r="U245" s="26">
        <v>0</v>
      </c>
      <c r="V245" s="26">
        <v>0</v>
      </c>
      <c r="W245" s="26">
        <v>0</v>
      </c>
      <c r="X245" s="26">
        <v>0</v>
      </c>
      <c r="Y245" s="26">
        <v>0</v>
      </c>
      <c r="Z245" s="26">
        <v>0</v>
      </c>
      <c r="AA245" s="26">
        <f t="shared" si="32"/>
        <v>0</v>
      </c>
      <c r="AB245" s="107"/>
      <c r="AC245" s="107"/>
      <c r="AD245" s="107"/>
      <c r="AE245" s="107"/>
      <c r="AF245" s="107"/>
      <c r="AG245" s="107"/>
      <c r="AH245" s="107"/>
      <c r="AI245" s="107"/>
      <c r="AJ245" s="107"/>
      <c r="AK245" s="107"/>
      <c r="AL245" s="107"/>
      <c r="AM245" s="107"/>
      <c r="AN245" s="107"/>
      <c r="AO245" s="108"/>
      <c r="AP245" s="108"/>
      <c r="AQ245" s="108"/>
      <c r="AR245" s="108"/>
      <c r="AS245" s="108"/>
      <c r="AT245" s="108"/>
      <c r="AU245" s="108"/>
      <c r="AV245" s="108"/>
      <c r="AW245" s="108"/>
      <c r="AX245" s="108"/>
      <c r="AY245" s="108"/>
      <c r="AZ245" s="108"/>
      <c r="BA245" s="108"/>
      <c r="BB245" s="108"/>
    </row>
    <row r="246" spans="1:54" s="109" customFormat="1" ht="12" customHeight="1">
      <c r="A246" s="8">
        <v>2140406</v>
      </c>
      <c r="B246" s="8" t="s">
        <v>869</v>
      </c>
      <c r="C246" s="8"/>
      <c r="D246" s="92">
        <f>+VLOOKUP(A246,Clasificaciones!C:I,5,FALSE)</f>
        <v>0</v>
      </c>
      <c r="E246" s="92">
        <v>0</v>
      </c>
      <c r="F246" s="92">
        <v>0</v>
      </c>
      <c r="G246" s="92">
        <f>VLOOKUP(A246,Clasificaciones!C:M,9,FALSE)</f>
        <v>0</v>
      </c>
      <c r="H246" s="92">
        <f t="shared" si="30"/>
        <v>0</v>
      </c>
      <c r="I246" s="26">
        <v>0</v>
      </c>
      <c r="J246" s="26">
        <v>0</v>
      </c>
      <c r="K246" s="26">
        <f t="shared" si="38"/>
        <v>0</v>
      </c>
      <c r="L246" s="26">
        <v>0</v>
      </c>
      <c r="M246" s="26">
        <v>0</v>
      </c>
      <c r="N246" s="26">
        <v>0</v>
      </c>
      <c r="O246" s="26">
        <v>0</v>
      </c>
      <c r="P246" s="26">
        <v>0</v>
      </c>
      <c r="Q246" s="26">
        <v>0</v>
      </c>
      <c r="R246" s="26">
        <v>0</v>
      </c>
      <c r="S246" s="26">
        <v>0</v>
      </c>
      <c r="T246" s="26">
        <v>0</v>
      </c>
      <c r="U246" s="26">
        <v>0</v>
      </c>
      <c r="V246" s="26">
        <v>0</v>
      </c>
      <c r="W246" s="26">
        <v>0</v>
      </c>
      <c r="X246" s="26">
        <v>0</v>
      </c>
      <c r="Y246" s="26">
        <v>0</v>
      </c>
      <c r="Z246" s="26">
        <v>0</v>
      </c>
      <c r="AA246" s="26">
        <f t="shared" si="32"/>
        <v>0</v>
      </c>
      <c r="AB246" s="107"/>
      <c r="AC246" s="107"/>
      <c r="AD246" s="107"/>
      <c r="AE246" s="107"/>
      <c r="AF246" s="107"/>
      <c r="AG246" s="107"/>
      <c r="AH246" s="107"/>
      <c r="AI246" s="107"/>
      <c r="AJ246" s="107"/>
      <c r="AK246" s="107"/>
      <c r="AL246" s="107"/>
      <c r="AM246" s="107"/>
      <c r="AN246" s="107"/>
      <c r="AO246" s="108"/>
      <c r="AP246" s="108"/>
      <c r="AQ246" s="108"/>
      <c r="AR246" s="108"/>
      <c r="AS246" s="108"/>
      <c r="AT246" s="108"/>
      <c r="AU246" s="108"/>
      <c r="AV246" s="108"/>
      <c r="AW246" s="108"/>
      <c r="AX246" s="108"/>
      <c r="AY246" s="108"/>
      <c r="AZ246" s="108"/>
      <c r="BA246" s="108"/>
      <c r="BB246" s="108"/>
    </row>
    <row r="247" spans="1:54" s="106" customFormat="1" ht="12" customHeight="1">
      <c r="A247" s="8">
        <v>2140407</v>
      </c>
      <c r="B247" s="8" t="s">
        <v>382</v>
      </c>
      <c r="C247" s="8"/>
      <c r="D247" s="92">
        <f>+VLOOKUP(A247,Clasificaciones!C:I,5,FALSE)</f>
        <v>0</v>
      </c>
      <c r="E247" s="92">
        <v>0</v>
      </c>
      <c r="F247" s="92">
        <v>0</v>
      </c>
      <c r="G247" s="92">
        <f>VLOOKUP(A247,Clasificaciones!C:M,9,FALSE)</f>
        <v>0</v>
      </c>
      <c r="H247" s="92">
        <f t="shared" si="30"/>
        <v>0</v>
      </c>
      <c r="I247" s="26">
        <v>0</v>
      </c>
      <c r="J247" s="26">
        <v>0</v>
      </c>
      <c r="K247" s="26">
        <f t="shared" si="38"/>
        <v>0</v>
      </c>
      <c r="L247" s="26">
        <v>0</v>
      </c>
      <c r="M247" s="26">
        <v>0</v>
      </c>
      <c r="N247" s="26">
        <v>0</v>
      </c>
      <c r="O247" s="26">
        <v>0</v>
      </c>
      <c r="P247" s="26">
        <v>0</v>
      </c>
      <c r="Q247" s="26">
        <v>0</v>
      </c>
      <c r="R247" s="26">
        <v>0</v>
      </c>
      <c r="S247" s="26">
        <v>0</v>
      </c>
      <c r="T247" s="26">
        <v>0</v>
      </c>
      <c r="U247" s="26">
        <v>0</v>
      </c>
      <c r="V247" s="26">
        <v>0</v>
      </c>
      <c r="W247" s="26">
        <v>0</v>
      </c>
      <c r="X247" s="26">
        <v>0</v>
      </c>
      <c r="Y247" s="26">
        <v>0</v>
      </c>
      <c r="Z247" s="26">
        <v>0</v>
      </c>
      <c r="AA247" s="26">
        <f t="shared" si="32"/>
        <v>0</v>
      </c>
      <c r="AB247" s="110"/>
      <c r="AC247" s="110"/>
      <c r="AD247" s="110"/>
      <c r="AE247" s="110"/>
      <c r="AF247" s="110"/>
      <c r="AG247" s="110"/>
      <c r="AH247" s="110"/>
      <c r="AI247" s="110"/>
      <c r="AJ247" s="110"/>
      <c r="AK247" s="110"/>
      <c r="AL247" s="110"/>
      <c r="AM247" s="110"/>
      <c r="AN247" s="110"/>
      <c r="AO247" s="105"/>
      <c r="AP247" s="105"/>
      <c r="AQ247" s="105"/>
      <c r="AR247" s="105"/>
      <c r="AS247" s="105"/>
      <c r="AT247" s="105"/>
      <c r="AU247" s="105"/>
      <c r="AV247" s="105"/>
      <c r="AW247" s="105"/>
      <c r="AX247" s="105"/>
      <c r="AY247" s="105"/>
      <c r="AZ247" s="105"/>
      <c r="BA247" s="105"/>
      <c r="BB247" s="105"/>
    </row>
    <row r="248" spans="1:54" s="106" customFormat="1" ht="12" customHeight="1">
      <c r="A248" s="8">
        <v>2140408</v>
      </c>
      <c r="B248" s="8" t="s">
        <v>383</v>
      </c>
      <c r="C248" s="8"/>
      <c r="D248" s="92">
        <f>+VLOOKUP(A248,Clasificaciones!C:I,5,FALSE)</f>
        <v>0</v>
      </c>
      <c r="E248" s="92">
        <v>0</v>
      </c>
      <c r="F248" s="92">
        <v>0</v>
      </c>
      <c r="G248" s="92">
        <f>VLOOKUP(A248,Clasificaciones!C:M,9,FALSE)</f>
        <v>0</v>
      </c>
      <c r="H248" s="92">
        <f t="shared" si="30"/>
        <v>0</v>
      </c>
      <c r="I248" s="26">
        <v>0</v>
      </c>
      <c r="J248" s="26">
        <v>0</v>
      </c>
      <c r="K248" s="26">
        <f t="shared" si="38"/>
        <v>0</v>
      </c>
      <c r="L248" s="26">
        <v>0</v>
      </c>
      <c r="M248" s="26">
        <v>0</v>
      </c>
      <c r="N248" s="26">
        <v>0</v>
      </c>
      <c r="O248" s="26">
        <v>0</v>
      </c>
      <c r="P248" s="26">
        <v>0</v>
      </c>
      <c r="Q248" s="26">
        <v>0</v>
      </c>
      <c r="R248" s="26">
        <v>0</v>
      </c>
      <c r="S248" s="26">
        <v>0</v>
      </c>
      <c r="T248" s="26">
        <v>0</v>
      </c>
      <c r="U248" s="26">
        <v>0</v>
      </c>
      <c r="V248" s="26">
        <v>0</v>
      </c>
      <c r="W248" s="26">
        <v>0</v>
      </c>
      <c r="X248" s="26">
        <v>0</v>
      </c>
      <c r="Y248" s="26">
        <v>0</v>
      </c>
      <c r="Z248" s="26">
        <v>0</v>
      </c>
      <c r="AA248" s="26">
        <f t="shared" si="32"/>
        <v>0</v>
      </c>
      <c r="AB248" s="110"/>
      <c r="AC248" s="110"/>
      <c r="AD248" s="110"/>
      <c r="AE248" s="110"/>
      <c r="AF248" s="110"/>
      <c r="AG248" s="110"/>
      <c r="AH248" s="110"/>
      <c r="AI248" s="110"/>
      <c r="AJ248" s="110"/>
      <c r="AK248" s="110"/>
      <c r="AL248" s="110"/>
      <c r="AM248" s="110"/>
      <c r="AN248" s="110"/>
      <c r="AO248" s="105"/>
      <c r="AP248" s="105"/>
      <c r="AQ248" s="105"/>
      <c r="AR248" s="105"/>
      <c r="AS248" s="105"/>
      <c r="AT248" s="105"/>
      <c r="AU248" s="105"/>
      <c r="AV248" s="105"/>
      <c r="AW248" s="105"/>
      <c r="AX248" s="105"/>
      <c r="AY248" s="105"/>
      <c r="AZ248" s="105"/>
      <c r="BA248" s="105"/>
      <c r="BB248" s="105"/>
    </row>
    <row r="249" spans="1:54" s="109" customFormat="1" ht="12" customHeight="1">
      <c r="A249" s="8">
        <v>2140410</v>
      </c>
      <c r="B249" s="8" t="s">
        <v>385</v>
      </c>
      <c r="C249" s="8"/>
      <c r="D249" s="92">
        <f>+VLOOKUP(A249,Clasificaciones!C:I,5,FALSE)</f>
        <v>0</v>
      </c>
      <c r="E249" s="92">
        <v>0</v>
      </c>
      <c r="F249" s="92">
        <v>0</v>
      </c>
      <c r="G249" s="92">
        <f>VLOOKUP(A249,Clasificaciones!C:M,9,FALSE)</f>
        <v>0</v>
      </c>
      <c r="H249" s="92">
        <f t="shared" si="30"/>
        <v>0</v>
      </c>
      <c r="I249" s="26">
        <v>0</v>
      </c>
      <c r="J249" s="26">
        <v>0</v>
      </c>
      <c r="K249" s="26">
        <f t="shared" si="38"/>
        <v>0</v>
      </c>
      <c r="L249" s="26">
        <v>0</v>
      </c>
      <c r="M249" s="26">
        <v>0</v>
      </c>
      <c r="N249" s="26">
        <v>0</v>
      </c>
      <c r="O249" s="26">
        <v>0</v>
      </c>
      <c r="P249" s="26">
        <v>0</v>
      </c>
      <c r="Q249" s="26">
        <v>0</v>
      </c>
      <c r="R249" s="26">
        <v>0</v>
      </c>
      <c r="S249" s="26">
        <v>0</v>
      </c>
      <c r="T249" s="26">
        <v>0</v>
      </c>
      <c r="U249" s="26">
        <v>0</v>
      </c>
      <c r="V249" s="26">
        <v>0</v>
      </c>
      <c r="W249" s="26">
        <v>0</v>
      </c>
      <c r="X249" s="26">
        <v>0</v>
      </c>
      <c r="Y249" s="26">
        <v>0</v>
      </c>
      <c r="Z249" s="26">
        <v>0</v>
      </c>
      <c r="AA249" s="26">
        <f t="shared" si="32"/>
        <v>0</v>
      </c>
      <c r="AB249" s="107"/>
      <c r="AC249" s="107"/>
      <c r="AD249" s="107"/>
      <c r="AE249" s="107"/>
      <c r="AF249" s="107"/>
      <c r="AG249" s="107"/>
      <c r="AH249" s="107"/>
      <c r="AI249" s="107"/>
      <c r="AJ249" s="107"/>
      <c r="AK249" s="107"/>
      <c r="AL249" s="107"/>
      <c r="AM249" s="107"/>
      <c r="AN249" s="107"/>
      <c r="AO249" s="108"/>
      <c r="AP249" s="108"/>
      <c r="AQ249" s="108"/>
      <c r="AR249" s="108"/>
      <c r="AS249" s="108"/>
      <c r="AT249" s="108"/>
      <c r="AU249" s="108"/>
      <c r="AV249" s="108"/>
      <c r="AW249" s="108"/>
      <c r="AX249" s="108"/>
      <c r="AY249" s="108"/>
      <c r="AZ249" s="108"/>
      <c r="BA249" s="108"/>
      <c r="BB249" s="108"/>
    </row>
    <row r="250" spans="1:54" s="109" customFormat="1" ht="12" customHeight="1">
      <c r="A250" s="8">
        <v>2140412</v>
      </c>
      <c r="B250" s="8" t="s">
        <v>1325</v>
      </c>
      <c r="C250" s="8" t="str">
        <f>+VLOOKUP(A250,Clasificaciones!$C$4:$H$887,6,0)</f>
        <v>Otros Pasivos Corrientes</v>
      </c>
      <c r="D250" s="92">
        <f>+VLOOKUP(A250,Clasificaciones!C:I,5,FALSE)</f>
        <v>0</v>
      </c>
      <c r="E250" s="92">
        <v>0</v>
      </c>
      <c r="F250" s="92">
        <v>0</v>
      </c>
      <c r="G250" s="92">
        <f>VLOOKUP(A250,Clasificaciones!C:M,9,FALSE)</f>
        <v>-68871631</v>
      </c>
      <c r="H250" s="92">
        <f t="shared" si="30"/>
        <v>68871631</v>
      </c>
      <c r="I250" s="26">
        <v>0</v>
      </c>
      <c r="J250" s="26">
        <v>0</v>
      </c>
      <c r="K250" s="26"/>
      <c r="L250" s="26">
        <v>0</v>
      </c>
      <c r="M250" s="26">
        <f>-H250</f>
        <v>-68871631</v>
      </c>
      <c r="N250" s="26">
        <v>0</v>
      </c>
      <c r="O250" s="26">
        <v>0</v>
      </c>
      <c r="P250" s="26">
        <v>0</v>
      </c>
      <c r="Q250" s="26">
        <v>0</v>
      </c>
      <c r="R250" s="26">
        <v>0</v>
      </c>
      <c r="S250" s="26">
        <v>0</v>
      </c>
      <c r="T250" s="26">
        <v>0</v>
      </c>
      <c r="U250" s="26">
        <v>0</v>
      </c>
      <c r="V250" s="26">
        <v>0</v>
      </c>
      <c r="W250" s="26">
        <v>0</v>
      </c>
      <c r="X250" s="26">
        <v>0</v>
      </c>
      <c r="Y250" s="26">
        <v>0</v>
      </c>
      <c r="Z250" s="26">
        <v>0</v>
      </c>
      <c r="AA250" s="26">
        <f t="shared" si="32"/>
        <v>0</v>
      </c>
      <c r="AB250" s="107"/>
      <c r="AC250" s="107"/>
      <c r="AD250" s="107"/>
      <c r="AE250" s="107"/>
      <c r="AF250" s="107"/>
      <c r="AG250" s="107"/>
      <c r="AH250" s="107"/>
      <c r="AI250" s="107"/>
      <c r="AJ250" s="107"/>
      <c r="AK250" s="107"/>
      <c r="AL250" s="107"/>
      <c r="AM250" s="107"/>
      <c r="AN250" s="107"/>
      <c r="AO250" s="108"/>
      <c r="AP250" s="108"/>
      <c r="AQ250" s="108"/>
      <c r="AR250" s="108"/>
      <c r="AS250" s="108"/>
      <c r="AT250" s="108"/>
      <c r="AU250" s="108"/>
      <c r="AV250" s="108"/>
      <c r="AW250" s="108"/>
      <c r="AX250" s="108"/>
      <c r="AY250" s="108"/>
      <c r="AZ250" s="108"/>
      <c r="BA250" s="108"/>
      <c r="BB250" s="108"/>
    </row>
    <row r="251" spans="1:54" s="109" customFormat="1" ht="12" customHeight="1">
      <c r="A251" s="8">
        <v>2140413</v>
      </c>
      <c r="B251" s="8" t="s">
        <v>579</v>
      </c>
      <c r="C251" s="8" t="str">
        <f>+VLOOKUP(A251,Clasificaciones!$C$4:$H$887,6,0)</f>
        <v>Otros Pasivos Corrientes</v>
      </c>
      <c r="D251" s="92">
        <f>+VLOOKUP(A251,Clasificaciones!C:I,5,FALSE)</f>
        <v>-6780241</v>
      </c>
      <c r="E251" s="92">
        <v>0</v>
      </c>
      <c r="F251" s="92">
        <v>0</v>
      </c>
      <c r="G251" s="92">
        <f>VLOOKUP(A251,Clasificaciones!C:M,9,FALSE)</f>
        <v>-10449299</v>
      </c>
      <c r="H251" s="92">
        <f t="shared" si="30"/>
        <v>3669058</v>
      </c>
      <c r="I251" s="26">
        <v>0</v>
      </c>
      <c r="J251" s="26">
        <v>0</v>
      </c>
      <c r="K251" s="26"/>
      <c r="L251" s="26">
        <v>0</v>
      </c>
      <c r="M251" s="26">
        <f>-H251</f>
        <v>-3669058</v>
      </c>
      <c r="N251" s="26">
        <v>0</v>
      </c>
      <c r="O251" s="26">
        <v>0</v>
      </c>
      <c r="P251" s="26">
        <v>0</v>
      </c>
      <c r="Q251" s="26">
        <v>0</v>
      </c>
      <c r="R251" s="26">
        <v>0</v>
      </c>
      <c r="S251" s="26">
        <v>0</v>
      </c>
      <c r="T251" s="26">
        <v>0</v>
      </c>
      <c r="U251" s="26">
        <v>0</v>
      </c>
      <c r="V251" s="26">
        <v>0</v>
      </c>
      <c r="W251" s="26">
        <v>0</v>
      </c>
      <c r="X251" s="26">
        <v>0</v>
      </c>
      <c r="Y251" s="26">
        <v>0</v>
      </c>
      <c r="Z251" s="26">
        <v>0</v>
      </c>
      <c r="AA251" s="26">
        <f t="shared" si="32"/>
        <v>0</v>
      </c>
      <c r="AB251" s="107"/>
      <c r="AC251" s="107"/>
      <c r="AD251" s="107"/>
      <c r="AE251" s="107"/>
      <c r="AF251" s="107"/>
      <c r="AG251" s="107"/>
      <c r="AH251" s="107"/>
      <c r="AI251" s="107"/>
      <c r="AJ251" s="107"/>
      <c r="AK251" s="107"/>
      <c r="AL251" s="107"/>
      <c r="AM251" s="107"/>
      <c r="AN251" s="107"/>
      <c r="AO251" s="108"/>
      <c r="AP251" s="108"/>
      <c r="AQ251" s="108"/>
      <c r="AR251" s="108"/>
      <c r="AS251" s="108"/>
      <c r="AT251" s="108"/>
      <c r="AU251" s="108"/>
      <c r="AV251" s="108"/>
      <c r="AW251" s="108"/>
      <c r="AX251" s="108"/>
      <c r="AY251" s="108"/>
      <c r="AZ251" s="108"/>
      <c r="BA251" s="108"/>
      <c r="BB251" s="108"/>
    </row>
    <row r="252" spans="1:54" s="109" customFormat="1" ht="12" customHeight="1">
      <c r="A252" s="8">
        <v>2140414</v>
      </c>
      <c r="B252" s="8" t="s">
        <v>628</v>
      </c>
      <c r="C252" s="8" t="str">
        <f>+VLOOKUP(A252,Clasificaciones!$C$4:$H$887,6,0)</f>
        <v>Otros Pasivos Corrientes</v>
      </c>
      <c r="D252" s="92">
        <f>+VLOOKUP(A252,Clasificaciones!C:I,5,FALSE)</f>
        <v>-686536</v>
      </c>
      <c r="E252" s="92">
        <v>0</v>
      </c>
      <c r="F252" s="92">
        <v>0</v>
      </c>
      <c r="G252" s="92">
        <f>VLOOKUP(A252,Clasificaciones!C:M,9,FALSE)</f>
        <v>-810646</v>
      </c>
      <c r="H252" s="92">
        <f t="shared" si="30"/>
        <v>124110</v>
      </c>
      <c r="I252" s="26">
        <v>0</v>
      </c>
      <c r="J252" s="26">
        <v>0</v>
      </c>
      <c r="K252" s="26"/>
      <c r="L252" s="26">
        <v>0</v>
      </c>
      <c r="M252" s="26">
        <f>-H252</f>
        <v>-124110</v>
      </c>
      <c r="N252" s="26">
        <v>0</v>
      </c>
      <c r="O252" s="26">
        <v>0</v>
      </c>
      <c r="P252" s="26">
        <v>0</v>
      </c>
      <c r="Q252" s="26">
        <v>0</v>
      </c>
      <c r="R252" s="26">
        <v>0</v>
      </c>
      <c r="S252" s="26">
        <v>0</v>
      </c>
      <c r="T252" s="26">
        <v>0</v>
      </c>
      <c r="U252" s="26">
        <v>0</v>
      </c>
      <c r="V252" s="26">
        <v>0</v>
      </c>
      <c r="W252" s="26">
        <v>0</v>
      </c>
      <c r="X252" s="26">
        <v>0</v>
      </c>
      <c r="Y252" s="26">
        <v>0</v>
      </c>
      <c r="Z252" s="26">
        <v>0</v>
      </c>
      <c r="AA252" s="26">
        <f t="shared" si="32"/>
        <v>0</v>
      </c>
      <c r="AB252" s="107"/>
      <c r="AC252" s="107"/>
      <c r="AD252" s="107"/>
      <c r="AE252" s="107"/>
      <c r="AF252" s="107"/>
      <c r="AG252" s="107"/>
      <c r="AH252" s="107"/>
      <c r="AI252" s="107"/>
      <c r="AJ252" s="107"/>
      <c r="AK252" s="107"/>
      <c r="AL252" s="107"/>
      <c r="AM252" s="107"/>
      <c r="AN252" s="107"/>
      <c r="AO252" s="108"/>
      <c r="AP252" s="108"/>
      <c r="AQ252" s="108"/>
      <c r="AR252" s="108"/>
      <c r="AS252" s="108"/>
      <c r="AT252" s="108"/>
      <c r="AU252" s="108"/>
      <c r="AV252" s="108"/>
      <c r="AW252" s="108"/>
      <c r="AX252" s="108"/>
      <c r="AY252" s="108"/>
      <c r="AZ252" s="108"/>
      <c r="BA252" s="108"/>
      <c r="BB252" s="108"/>
    </row>
    <row r="253" spans="1:54" s="109" customFormat="1" ht="12" customHeight="1">
      <c r="A253" s="8">
        <v>2140415</v>
      </c>
      <c r="B253" s="8" t="s">
        <v>1367</v>
      </c>
      <c r="C253" s="8"/>
      <c r="D253" s="92">
        <f>+VLOOKUP(A253,Clasificaciones!C:I,5,FALSE)</f>
        <v>-50000000</v>
      </c>
      <c r="E253" s="177">
        <f>+F466</f>
        <v>50000000</v>
      </c>
      <c r="F253" s="92">
        <v>0</v>
      </c>
      <c r="G253" s="92">
        <f>VLOOKUP(A253,Clasificaciones!C:M,9,FALSE)</f>
        <v>0</v>
      </c>
      <c r="H253" s="92">
        <f t="shared" si="30"/>
        <v>0</v>
      </c>
      <c r="I253" s="26">
        <v>0</v>
      </c>
      <c r="J253" s="26">
        <v>0</v>
      </c>
      <c r="K253" s="26">
        <f t="shared" ref="K253" si="39">-H253</f>
        <v>0</v>
      </c>
      <c r="L253" s="26">
        <v>0</v>
      </c>
      <c r="M253" s="26">
        <v>0</v>
      </c>
      <c r="N253" s="26">
        <v>0</v>
      </c>
      <c r="O253" s="26">
        <v>0</v>
      </c>
      <c r="P253" s="26">
        <v>0</v>
      </c>
      <c r="Q253" s="26">
        <v>0</v>
      </c>
      <c r="R253" s="26">
        <v>0</v>
      </c>
      <c r="S253" s="26">
        <v>0</v>
      </c>
      <c r="T253" s="26">
        <v>0</v>
      </c>
      <c r="U253" s="26">
        <v>0</v>
      </c>
      <c r="V253" s="26">
        <v>0</v>
      </c>
      <c r="W253" s="26">
        <v>0</v>
      </c>
      <c r="X253" s="26">
        <v>0</v>
      </c>
      <c r="Y253" s="26">
        <v>0</v>
      </c>
      <c r="Z253" s="26">
        <v>0</v>
      </c>
      <c r="AA253" s="26">
        <f t="shared" si="32"/>
        <v>0</v>
      </c>
      <c r="AB253" s="107"/>
      <c r="AC253" s="107"/>
      <c r="AD253" s="107"/>
      <c r="AE253" s="107"/>
      <c r="AF253" s="107"/>
      <c r="AG253" s="107"/>
      <c r="AH253" s="107"/>
      <c r="AI253" s="107"/>
      <c r="AJ253" s="107"/>
      <c r="AK253" s="107"/>
      <c r="AL253" s="107"/>
      <c r="AM253" s="107"/>
      <c r="AN253" s="107"/>
      <c r="AO253" s="108"/>
      <c r="AP253" s="108"/>
      <c r="AQ253" s="108"/>
      <c r="AR253" s="108"/>
      <c r="AS253" s="108"/>
      <c r="AT253" s="108"/>
      <c r="AU253" s="108"/>
      <c r="AV253" s="108"/>
      <c r="AW253" s="108"/>
      <c r="AX253" s="108"/>
      <c r="AY253" s="108"/>
      <c r="AZ253" s="108"/>
      <c r="BA253" s="108"/>
      <c r="BB253" s="108"/>
    </row>
    <row r="254" spans="1:54" s="109" customFormat="1" ht="12" customHeight="1">
      <c r="A254" s="8">
        <v>2140416</v>
      </c>
      <c r="B254" s="8" t="s">
        <v>1326</v>
      </c>
      <c r="C254" s="8"/>
      <c r="D254" s="92">
        <f>+VLOOKUP(A254,Clasificaciones!C:I,5,FALSE)</f>
        <v>0</v>
      </c>
      <c r="E254" s="92">
        <v>0</v>
      </c>
      <c r="F254" s="92">
        <v>0</v>
      </c>
      <c r="G254" s="92">
        <f>VLOOKUP(A254,Clasificaciones!C:M,9,FALSE)</f>
        <v>0</v>
      </c>
      <c r="H254" s="92">
        <f t="shared" si="30"/>
        <v>0</v>
      </c>
      <c r="I254" s="26">
        <v>0</v>
      </c>
      <c r="J254" s="26">
        <v>0</v>
      </c>
      <c r="K254" s="26">
        <v>0</v>
      </c>
      <c r="L254" s="26">
        <v>0</v>
      </c>
      <c r="M254" s="26">
        <v>0</v>
      </c>
      <c r="N254" s="26">
        <v>0</v>
      </c>
      <c r="O254" s="26">
        <v>0</v>
      </c>
      <c r="P254" s="26">
        <v>0</v>
      </c>
      <c r="Q254" s="26">
        <v>0</v>
      </c>
      <c r="R254" s="26">
        <v>0</v>
      </c>
      <c r="S254" s="26">
        <f>-H254</f>
        <v>0</v>
      </c>
      <c r="T254" s="26">
        <v>0</v>
      </c>
      <c r="U254" s="26">
        <v>0</v>
      </c>
      <c r="V254" s="26">
        <v>0</v>
      </c>
      <c r="W254" s="26">
        <v>0</v>
      </c>
      <c r="X254" s="26">
        <v>0</v>
      </c>
      <c r="Y254" s="26">
        <v>0</v>
      </c>
      <c r="Z254" s="26">
        <v>0</v>
      </c>
      <c r="AA254" s="26">
        <f t="shared" si="32"/>
        <v>0</v>
      </c>
      <c r="AB254" s="107"/>
      <c r="AC254" s="107"/>
      <c r="AD254" s="107"/>
      <c r="AE254" s="107"/>
      <c r="AF254" s="107"/>
      <c r="AG254" s="107"/>
      <c r="AH254" s="107"/>
      <c r="AI254" s="107"/>
      <c r="AJ254" s="107"/>
      <c r="AK254" s="107"/>
      <c r="AL254" s="107"/>
      <c r="AM254" s="107"/>
      <c r="AN254" s="107"/>
      <c r="AO254" s="108"/>
      <c r="AP254" s="108"/>
      <c r="AQ254" s="108"/>
      <c r="AR254" s="108"/>
      <c r="AS254" s="108"/>
      <c r="AT254" s="108"/>
      <c r="AU254" s="108"/>
      <c r="AV254" s="108"/>
      <c r="AW254" s="108"/>
      <c r="AX254" s="108"/>
      <c r="AY254" s="108"/>
      <c r="AZ254" s="108"/>
      <c r="BA254" s="108"/>
      <c r="BB254" s="108"/>
    </row>
    <row r="255" spans="1:54" s="109" customFormat="1" ht="12" customHeight="1">
      <c r="A255" s="8">
        <v>2140417</v>
      </c>
      <c r="B255" s="8" t="s">
        <v>1418</v>
      </c>
      <c r="C255" s="8"/>
      <c r="D255" s="92">
        <f>+VLOOKUP(A255,Clasificaciones!C:I,5,FALSE)</f>
        <v>-2899473</v>
      </c>
      <c r="E255" s="177">
        <f>-D255</f>
        <v>2899473</v>
      </c>
      <c r="F255" s="92">
        <v>0</v>
      </c>
      <c r="G255" s="92">
        <f>VLOOKUP(A255,Clasificaciones!C:M,9,FALSE)</f>
        <v>0</v>
      </c>
      <c r="H255" s="92">
        <f t="shared" ref="H255:H258" si="40">+D255-G255+E255-F255</f>
        <v>0</v>
      </c>
      <c r="I255" s="26">
        <v>0</v>
      </c>
      <c r="J255" s="26">
        <v>0</v>
      </c>
      <c r="K255" s="26">
        <v>0</v>
      </c>
      <c r="L255" s="26">
        <v>0</v>
      </c>
      <c r="M255" s="26">
        <v>0</v>
      </c>
      <c r="N255" s="26">
        <v>0</v>
      </c>
      <c r="O255" s="26">
        <v>0</v>
      </c>
      <c r="P255" s="26">
        <v>0</v>
      </c>
      <c r="Q255" s="26">
        <v>0</v>
      </c>
      <c r="R255" s="26">
        <v>0</v>
      </c>
      <c r="S255" s="26">
        <f t="shared" ref="S255:S258" si="41">-H255</f>
        <v>0</v>
      </c>
      <c r="T255" s="26">
        <v>0</v>
      </c>
      <c r="U255" s="26">
        <v>0</v>
      </c>
      <c r="V255" s="26">
        <v>0</v>
      </c>
      <c r="W255" s="26">
        <v>0</v>
      </c>
      <c r="X255" s="26">
        <v>0</v>
      </c>
      <c r="Y255" s="26">
        <v>0</v>
      </c>
      <c r="Z255" s="26">
        <v>0</v>
      </c>
      <c r="AA255" s="26">
        <f t="shared" si="32"/>
        <v>0</v>
      </c>
      <c r="AB255" s="107"/>
      <c r="AC255" s="107"/>
      <c r="AD255" s="107"/>
      <c r="AE255" s="107"/>
      <c r="AF255" s="107"/>
      <c r="AG255" s="107"/>
      <c r="AH255" s="107"/>
      <c r="AI255" s="107"/>
      <c r="AJ255" s="107"/>
      <c r="AK255" s="107"/>
      <c r="AL255" s="107"/>
      <c r="AM255" s="107"/>
      <c r="AN255" s="107"/>
      <c r="AO255" s="108"/>
      <c r="AP255" s="108"/>
      <c r="AQ255" s="108"/>
      <c r="AR255" s="108"/>
      <c r="AS255" s="108"/>
      <c r="AT255" s="108"/>
      <c r="AU255" s="108"/>
      <c r="AV255" s="108"/>
      <c r="AW255" s="108"/>
      <c r="AX255" s="108"/>
      <c r="AY255" s="108"/>
      <c r="AZ255" s="108"/>
      <c r="BA255" s="108"/>
      <c r="BB255" s="108"/>
    </row>
    <row r="256" spans="1:54" s="109" customFormat="1" ht="12" customHeight="1">
      <c r="A256" s="8">
        <v>2140418</v>
      </c>
      <c r="B256" s="8" t="s">
        <v>1419</v>
      </c>
      <c r="C256" s="8"/>
      <c r="D256" s="92">
        <f>+VLOOKUP(A256,Clasificaciones!C:I,5,FALSE)</f>
        <v>-1599181</v>
      </c>
      <c r="E256" s="177">
        <f>-D256</f>
        <v>1599181</v>
      </c>
      <c r="F256" s="92">
        <v>0</v>
      </c>
      <c r="G256" s="92">
        <f>VLOOKUP(A256,Clasificaciones!C:M,9,FALSE)</f>
        <v>0</v>
      </c>
      <c r="H256" s="92">
        <f t="shared" si="40"/>
        <v>0</v>
      </c>
      <c r="I256" s="26">
        <v>0</v>
      </c>
      <c r="J256" s="26">
        <v>0</v>
      </c>
      <c r="K256" s="26">
        <v>0</v>
      </c>
      <c r="L256" s="26">
        <v>0</v>
      </c>
      <c r="M256" s="26">
        <v>0</v>
      </c>
      <c r="N256" s="26">
        <v>0</v>
      </c>
      <c r="O256" s="26">
        <v>0</v>
      </c>
      <c r="P256" s="26">
        <v>0</v>
      </c>
      <c r="Q256" s="26">
        <v>0</v>
      </c>
      <c r="R256" s="26">
        <v>0</v>
      </c>
      <c r="S256" s="26">
        <f t="shared" si="41"/>
        <v>0</v>
      </c>
      <c r="T256" s="26">
        <v>0</v>
      </c>
      <c r="U256" s="26">
        <v>0</v>
      </c>
      <c r="V256" s="26">
        <v>0</v>
      </c>
      <c r="W256" s="26">
        <v>0</v>
      </c>
      <c r="X256" s="26">
        <v>0</v>
      </c>
      <c r="Y256" s="26">
        <v>0</v>
      </c>
      <c r="Z256" s="26">
        <v>0</v>
      </c>
      <c r="AA256" s="26">
        <f t="shared" si="32"/>
        <v>0</v>
      </c>
      <c r="AB256" s="107"/>
      <c r="AC256" s="107"/>
      <c r="AD256" s="107"/>
      <c r="AE256" s="107"/>
      <c r="AF256" s="107"/>
      <c r="AG256" s="107"/>
      <c r="AH256" s="107"/>
      <c r="AI256" s="107"/>
      <c r="AJ256" s="107"/>
      <c r="AK256" s="107"/>
      <c r="AL256" s="107"/>
      <c r="AM256" s="107"/>
      <c r="AN256" s="107"/>
      <c r="AO256" s="108"/>
      <c r="AP256" s="108"/>
      <c r="AQ256" s="108"/>
      <c r="AR256" s="108"/>
      <c r="AS256" s="108"/>
      <c r="AT256" s="108"/>
      <c r="AU256" s="108"/>
      <c r="AV256" s="108"/>
      <c r="AW256" s="108"/>
      <c r="AX256" s="108"/>
      <c r="AY256" s="108"/>
      <c r="AZ256" s="108"/>
      <c r="BA256" s="108"/>
      <c r="BB256" s="108"/>
    </row>
    <row r="257" spans="1:54" s="109" customFormat="1" ht="12" customHeight="1">
      <c r="A257" s="8">
        <v>2140419</v>
      </c>
      <c r="B257" s="8" t="s">
        <v>1420</v>
      </c>
      <c r="C257" s="8"/>
      <c r="D257" s="92">
        <f>+VLOOKUP(A257,Clasificaciones!C:I,5,FALSE)</f>
        <v>-80000000</v>
      </c>
      <c r="E257" s="177">
        <f>-D257</f>
        <v>80000000</v>
      </c>
      <c r="F257" s="92">
        <v>0</v>
      </c>
      <c r="G257" s="92">
        <f>VLOOKUP(A257,Clasificaciones!C:M,9,FALSE)</f>
        <v>0</v>
      </c>
      <c r="H257" s="92">
        <f t="shared" si="40"/>
        <v>0</v>
      </c>
      <c r="I257" s="26">
        <v>0</v>
      </c>
      <c r="J257" s="26">
        <v>0</v>
      </c>
      <c r="K257" s="26">
        <v>0</v>
      </c>
      <c r="L257" s="26">
        <v>0</v>
      </c>
      <c r="M257" s="26">
        <v>0</v>
      </c>
      <c r="N257" s="26">
        <v>0</v>
      </c>
      <c r="O257" s="26">
        <v>0</v>
      </c>
      <c r="P257" s="26">
        <v>0</v>
      </c>
      <c r="Q257" s="26">
        <v>0</v>
      </c>
      <c r="R257" s="26">
        <v>0</v>
      </c>
      <c r="S257" s="26">
        <f t="shared" si="41"/>
        <v>0</v>
      </c>
      <c r="T257" s="26">
        <v>0</v>
      </c>
      <c r="U257" s="26">
        <v>0</v>
      </c>
      <c r="V257" s="26">
        <v>0</v>
      </c>
      <c r="W257" s="26">
        <v>0</v>
      </c>
      <c r="X257" s="26">
        <v>0</v>
      </c>
      <c r="Y257" s="26">
        <v>0</v>
      </c>
      <c r="Z257" s="26">
        <v>0</v>
      </c>
      <c r="AA257" s="26">
        <f t="shared" si="32"/>
        <v>0</v>
      </c>
      <c r="AB257" s="107"/>
      <c r="AC257" s="107"/>
      <c r="AD257" s="107"/>
      <c r="AE257" s="107"/>
      <c r="AF257" s="107"/>
      <c r="AG257" s="107"/>
      <c r="AH257" s="107"/>
      <c r="AI257" s="107"/>
      <c r="AJ257" s="107"/>
      <c r="AK257" s="107"/>
      <c r="AL257" s="107"/>
      <c r="AM257" s="107"/>
      <c r="AN257" s="107"/>
      <c r="AO257" s="108"/>
      <c r="AP257" s="108"/>
      <c r="AQ257" s="108"/>
      <c r="AR257" s="108"/>
      <c r="AS257" s="108"/>
      <c r="AT257" s="108"/>
      <c r="AU257" s="108"/>
      <c r="AV257" s="108"/>
      <c r="AW257" s="108"/>
      <c r="AX257" s="108"/>
      <c r="AY257" s="108"/>
      <c r="AZ257" s="108"/>
      <c r="BA257" s="108"/>
      <c r="BB257" s="108"/>
    </row>
    <row r="258" spans="1:54" s="109" customFormat="1" ht="12" customHeight="1">
      <c r="A258" s="8">
        <v>2140420</v>
      </c>
      <c r="B258" s="8" t="s">
        <v>1421</v>
      </c>
      <c r="C258" s="8"/>
      <c r="D258" s="92">
        <f>+VLOOKUP(A258,Clasificaciones!C:I,5,FALSE)</f>
        <v>-2672862</v>
      </c>
      <c r="E258" s="177">
        <f>-D258</f>
        <v>2672862</v>
      </c>
      <c r="F258" s="92">
        <v>0</v>
      </c>
      <c r="G258" s="92">
        <f>VLOOKUP(A258,Clasificaciones!C:M,9,FALSE)</f>
        <v>0</v>
      </c>
      <c r="H258" s="92">
        <f t="shared" si="40"/>
        <v>0</v>
      </c>
      <c r="I258" s="26">
        <v>0</v>
      </c>
      <c r="J258" s="26">
        <v>0</v>
      </c>
      <c r="K258" s="26">
        <v>0</v>
      </c>
      <c r="L258" s="26">
        <v>0</v>
      </c>
      <c r="M258" s="26">
        <v>0</v>
      </c>
      <c r="N258" s="26">
        <v>0</v>
      </c>
      <c r="O258" s="26">
        <v>0</v>
      </c>
      <c r="P258" s="26">
        <v>0</v>
      </c>
      <c r="Q258" s="26">
        <v>0</v>
      </c>
      <c r="R258" s="26">
        <v>0</v>
      </c>
      <c r="S258" s="26">
        <f t="shared" si="41"/>
        <v>0</v>
      </c>
      <c r="T258" s="26">
        <v>0</v>
      </c>
      <c r="U258" s="26">
        <v>0</v>
      </c>
      <c r="V258" s="26">
        <v>0</v>
      </c>
      <c r="W258" s="26">
        <v>0</v>
      </c>
      <c r="X258" s="26">
        <v>0</v>
      </c>
      <c r="Y258" s="26">
        <v>0</v>
      </c>
      <c r="Z258" s="26">
        <v>0</v>
      </c>
      <c r="AA258" s="26">
        <f t="shared" si="32"/>
        <v>0</v>
      </c>
      <c r="AB258" s="107"/>
      <c r="AC258" s="107"/>
      <c r="AD258" s="107"/>
      <c r="AE258" s="107"/>
      <c r="AF258" s="107"/>
      <c r="AG258" s="107"/>
      <c r="AH258" s="107"/>
      <c r="AI258" s="107"/>
      <c r="AJ258" s="107"/>
      <c r="AK258" s="107"/>
      <c r="AL258" s="107"/>
      <c r="AM258" s="107"/>
      <c r="AN258" s="107"/>
      <c r="AO258" s="108"/>
      <c r="AP258" s="108"/>
      <c r="AQ258" s="108"/>
      <c r="AR258" s="108"/>
      <c r="AS258" s="108"/>
      <c r="AT258" s="108"/>
      <c r="AU258" s="108"/>
      <c r="AV258" s="108"/>
      <c r="AW258" s="108"/>
      <c r="AX258" s="108"/>
      <c r="AY258" s="108"/>
      <c r="AZ258" s="108"/>
      <c r="BA258" s="108"/>
      <c r="BB258" s="108"/>
    </row>
    <row r="259" spans="1:54" s="109" customFormat="1" ht="12" customHeight="1">
      <c r="A259" s="8"/>
      <c r="B259" s="8"/>
      <c r="C259" s="8"/>
      <c r="D259" s="92"/>
      <c r="E259" s="92">
        <v>0</v>
      </c>
      <c r="F259" s="92">
        <v>0</v>
      </c>
      <c r="G259" s="92"/>
      <c r="H259" s="92">
        <f t="shared" ref="H259:H278" si="42">+D259-G259+E259-F259</f>
        <v>0</v>
      </c>
      <c r="I259" s="26"/>
      <c r="J259" s="26"/>
      <c r="K259" s="26"/>
      <c r="L259" s="26"/>
      <c r="M259" s="26"/>
      <c r="N259" s="26"/>
      <c r="O259" s="26"/>
      <c r="P259" s="26">
        <v>0</v>
      </c>
      <c r="Q259" s="26"/>
      <c r="R259" s="26"/>
      <c r="S259" s="26"/>
      <c r="T259" s="26"/>
      <c r="U259" s="26"/>
      <c r="V259" s="26"/>
      <c r="W259" s="26"/>
      <c r="X259" s="26"/>
      <c r="Y259" s="26"/>
      <c r="Z259" s="26"/>
      <c r="AA259" s="26">
        <f t="shared" si="32"/>
        <v>0</v>
      </c>
      <c r="AB259" s="107"/>
      <c r="AC259" s="107"/>
      <c r="AD259" s="107"/>
      <c r="AE259" s="107"/>
      <c r="AF259" s="107"/>
      <c r="AG259" s="107"/>
      <c r="AH259" s="107"/>
      <c r="AI259" s="107"/>
      <c r="AJ259" s="107"/>
      <c r="AK259" s="107"/>
      <c r="AL259" s="107"/>
      <c r="AM259" s="107"/>
      <c r="AN259" s="107"/>
      <c r="AO259" s="108"/>
      <c r="AP259" s="108"/>
      <c r="AQ259" s="108"/>
      <c r="AR259" s="108"/>
      <c r="AS259" s="108"/>
      <c r="AT259" s="108"/>
      <c r="AU259" s="108"/>
      <c r="AV259" s="108"/>
      <c r="AW259" s="108"/>
      <c r="AX259" s="108"/>
      <c r="AY259" s="108"/>
      <c r="AZ259" s="108"/>
      <c r="BA259" s="108"/>
      <c r="BB259" s="108"/>
    </row>
    <row r="260" spans="1:54" s="109" customFormat="1" ht="12" customHeight="1">
      <c r="A260" s="8">
        <v>3</v>
      </c>
      <c r="B260" s="8" t="s">
        <v>23</v>
      </c>
      <c r="C260" s="8"/>
      <c r="D260" s="92">
        <f>+SUM(D261:D273)+'BG 2021'!C226</f>
        <v>0</v>
      </c>
      <c r="E260" s="92">
        <v>0</v>
      </c>
      <c r="F260" s="92">
        <v>0</v>
      </c>
      <c r="G260" s="92">
        <f>+SUM(G261:G273)+'BG 2020'!D154</f>
        <v>0</v>
      </c>
      <c r="H260" s="92">
        <f t="shared" si="42"/>
        <v>0</v>
      </c>
      <c r="I260" s="26">
        <v>0</v>
      </c>
      <c r="J260" s="26">
        <v>0</v>
      </c>
      <c r="K260" s="26">
        <v>0</v>
      </c>
      <c r="L260" s="26">
        <v>0</v>
      </c>
      <c r="M260" s="26">
        <v>0</v>
      </c>
      <c r="N260" s="26">
        <v>0</v>
      </c>
      <c r="O260" s="26">
        <v>0</v>
      </c>
      <c r="P260" s="26">
        <v>0</v>
      </c>
      <c r="Q260" s="26">
        <v>0</v>
      </c>
      <c r="R260" s="26">
        <v>0</v>
      </c>
      <c r="S260" s="26">
        <v>0</v>
      </c>
      <c r="T260" s="26">
        <v>0</v>
      </c>
      <c r="U260" s="26">
        <v>0</v>
      </c>
      <c r="V260" s="26">
        <v>0</v>
      </c>
      <c r="W260" s="26">
        <v>0</v>
      </c>
      <c r="X260" s="26">
        <v>0</v>
      </c>
      <c r="Y260" s="26">
        <v>0</v>
      </c>
      <c r="Z260" s="26">
        <v>0</v>
      </c>
      <c r="AA260" s="26">
        <f t="shared" si="32"/>
        <v>0</v>
      </c>
      <c r="AB260" s="107"/>
      <c r="AC260" s="107"/>
      <c r="AD260" s="107"/>
      <c r="AE260" s="107"/>
      <c r="AF260" s="107"/>
      <c r="AG260" s="107"/>
      <c r="AH260" s="107"/>
      <c r="AI260" s="107"/>
      <c r="AJ260" s="107"/>
      <c r="AK260" s="107"/>
      <c r="AL260" s="107"/>
      <c r="AM260" s="107"/>
      <c r="AN260" s="107"/>
      <c r="AO260" s="108"/>
      <c r="AP260" s="108"/>
      <c r="AQ260" s="108"/>
      <c r="AR260" s="108"/>
      <c r="AS260" s="108"/>
      <c r="AT260" s="108"/>
      <c r="AU260" s="108"/>
      <c r="AV260" s="108"/>
      <c r="AW260" s="108"/>
      <c r="AX260" s="108"/>
      <c r="AY260" s="108"/>
      <c r="AZ260" s="108"/>
      <c r="BA260" s="108"/>
      <c r="BB260" s="108"/>
    </row>
    <row r="261" spans="1:54" s="109" customFormat="1" ht="12" customHeight="1">
      <c r="A261" s="8">
        <v>310</v>
      </c>
      <c r="B261" s="8" t="s">
        <v>183</v>
      </c>
      <c r="C261" s="8"/>
      <c r="D261" s="92">
        <f>+VLOOKUP(A261,Clasificaciones!C:I,5,FALSE)</f>
        <v>0</v>
      </c>
      <c r="E261" s="92">
        <v>0</v>
      </c>
      <c r="F261" s="92">
        <v>0</v>
      </c>
      <c r="G261" s="92">
        <f>VLOOKUP(A261,Clasificaciones!C:M,9,FALSE)</f>
        <v>0</v>
      </c>
      <c r="H261" s="92">
        <f t="shared" si="42"/>
        <v>0</v>
      </c>
      <c r="I261" s="26">
        <v>0</v>
      </c>
      <c r="J261" s="26">
        <v>0</v>
      </c>
      <c r="K261" s="26">
        <v>0</v>
      </c>
      <c r="L261" s="26">
        <v>0</v>
      </c>
      <c r="M261" s="26">
        <v>0</v>
      </c>
      <c r="N261" s="26">
        <v>0</v>
      </c>
      <c r="O261" s="26">
        <v>0</v>
      </c>
      <c r="P261" s="26">
        <v>0</v>
      </c>
      <c r="Q261" s="26">
        <v>0</v>
      </c>
      <c r="R261" s="26">
        <v>0</v>
      </c>
      <c r="S261" s="26">
        <v>0</v>
      </c>
      <c r="T261" s="26">
        <v>0</v>
      </c>
      <c r="U261" s="26">
        <v>0</v>
      </c>
      <c r="V261" s="26">
        <v>0</v>
      </c>
      <c r="W261" s="26">
        <v>0</v>
      </c>
      <c r="X261" s="26">
        <v>0</v>
      </c>
      <c r="Y261" s="26">
        <v>0</v>
      </c>
      <c r="Z261" s="26">
        <v>0</v>
      </c>
      <c r="AA261" s="26">
        <f t="shared" si="32"/>
        <v>0</v>
      </c>
      <c r="AB261" s="107"/>
      <c r="AC261" s="107"/>
      <c r="AD261" s="107"/>
      <c r="AE261" s="107"/>
      <c r="AF261" s="107"/>
      <c r="AG261" s="107"/>
      <c r="AH261" s="107"/>
      <c r="AI261" s="107"/>
      <c r="AJ261" s="107"/>
      <c r="AK261" s="107"/>
      <c r="AL261" s="107"/>
      <c r="AM261" s="107"/>
      <c r="AN261" s="107"/>
      <c r="AO261" s="108"/>
      <c r="AP261" s="108"/>
      <c r="AQ261" s="108"/>
      <c r="AR261" s="108"/>
      <c r="AS261" s="108"/>
      <c r="AT261" s="108"/>
      <c r="AU261" s="108"/>
      <c r="AV261" s="108"/>
      <c r="AW261" s="108"/>
      <c r="AX261" s="108"/>
      <c r="AY261" s="108"/>
      <c r="AZ261" s="108"/>
      <c r="BA261" s="108"/>
      <c r="BB261" s="108"/>
    </row>
    <row r="262" spans="1:54" s="109" customFormat="1" ht="12" customHeight="1">
      <c r="A262" s="8">
        <v>310101</v>
      </c>
      <c r="B262" s="8" t="s">
        <v>557</v>
      </c>
      <c r="C262" s="8"/>
      <c r="D262" s="92">
        <f>+VLOOKUP(A262,Clasificaciones!C:I,5,FALSE)</f>
        <v>0</v>
      </c>
      <c r="E262" s="92">
        <v>0</v>
      </c>
      <c r="F262" s="92">
        <v>0</v>
      </c>
      <c r="G262" s="92">
        <f>VLOOKUP(A262,Clasificaciones!C:M,9,FALSE)</f>
        <v>0</v>
      </c>
      <c r="H262" s="92">
        <f t="shared" si="42"/>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c r="Z262" s="26">
        <v>0</v>
      </c>
      <c r="AA262" s="26">
        <f t="shared" ref="AA262:AA325" si="43">SUM(H262:Z262)</f>
        <v>0</v>
      </c>
      <c r="AB262" s="107"/>
      <c r="AC262" s="107"/>
      <c r="AD262" s="107"/>
      <c r="AE262" s="107"/>
      <c r="AF262" s="107"/>
      <c r="AG262" s="107"/>
      <c r="AH262" s="107"/>
      <c r="AI262" s="107"/>
      <c r="AJ262" s="107"/>
      <c r="AK262" s="107"/>
      <c r="AL262" s="107"/>
      <c r="AM262" s="107"/>
      <c r="AN262" s="107"/>
      <c r="AO262" s="108"/>
      <c r="AP262" s="108"/>
      <c r="AQ262" s="108"/>
      <c r="AR262" s="108"/>
      <c r="AS262" s="108"/>
      <c r="AT262" s="108"/>
      <c r="AU262" s="108"/>
      <c r="AV262" s="108"/>
      <c r="AW262" s="108"/>
      <c r="AX262" s="108"/>
      <c r="AY262" s="108"/>
      <c r="AZ262" s="108"/>
      <c r="BA262" s="108"/>
      <c r="BB262" s="108"/>
    </row>
    <row r="263" spans="1:54" s="109" customFormat="1" ht="12" customHeight="1">
      <c r="A263" s="8">
        <v>31010101</v>
      </c>
      <c r="B263" s="8" t="s">
        <v>580</v>
      </c>
      <c r="C263" s="8"/>
      <c r="D263" s="92">
        <f>+VLOOKUP(A263,Clasificaciones!C:I,5,FALSE)</f>
        <v>-30000000000</v>
      </c>
      <c r="E263" s="92">
        <v>0</v>
      </c>
      <c r="F263" s="92">
        <v>0</v>
      </c>
      <c r="G263" s="92">
        <f>VLOOKUP(A263,Clasificaciones!C:M,9,FALSE)</f>
        <v>-15000000000</v>
      </c>
      <c r="H263" s="92">
        <f>+D263-G263+E263-F263</f>
        <v>-15000000000</v>
      </c>
      <c r="I263" s="26">
        <v>0</v>
      </c>
      <c r="J263" s="26">
        <v>0</v>
      </c>
      <c r="K263" s="26">
        <v>0</v>
      </c>
      <c r="L263" s="26">
        <v>0</v>
      </c>
      <c r="M263" s="26">
        <v>0</v>
      </c>
      <c r="N263" s="26">
        <v>0</v>
      </c>
      <c r="O263" s="26">
        <v>0</v>
      </c>
      <c r="P263" s="26">
        <v>0</v>
      </c>
      <c r="Q263" s="26">
        <v>0</v>
      </c>
      <c r="R263" s="26">
        <v>0</v>
      </c>
      <c r="S263" s="26">
        <v>0</v>
      </c>
      <c r="T263" s="26">
        <v>0</v>
      </c>
      <c r="U263" s="26">
        <v>0</v>
      </c>
      <c r="V263" s="26">
        <f>-H263</f>
        <v>15000000000</v>
      </c>
      <c r="W263" s="26">
        <v>0</v>
      </c>
      <c r="X263" s="26">
        <v>0</v>
      </c>
      <c r="Y263" s="26">
        <v>0</v>
      </c>
      <c r="Z263" s="26">
        <v>0</v>
      </c>
      <c r="AA263" s="26">
        <f t="shared" si="43"/>
        <v>0</v>
      </c>
      <c r="AB263" s="107"/>
      <c r="AC263" s="107"/>
      <c r="AD263" s="107"/>
      <c r="AE263" s="107"/>
      <c r="AF263" s="107"/>
      <c r="AG263" s="107"/>
      <c r="AH263" s="107"/>
      <c r="AI263" s="107"/>
      <c r="AJ263" s="107"/>
      <c r="AK263" s="107"/>
      <c r="AL263" s="107"/>
      <c r="AM263" s="107"/>
      <c r="AN263" s="107"/>
      <c r="AO263" s="108"/>
      <c r="AP263" s="108"/>
      <c r="AQ263" s="108"/>
      <c r="AR263" s="108"/>
      <c r="AS263" s="108"/>
      <c r="AT263" s="108"/>
      <c r="AU263" s="108"/>
      <c r="AV263" s="108"/>
      <c r="AW263" s="108"/>
      <c r="AX263" s="108"/>
      <c r="AY263" s="108"/>
      <c r="AZ263" s="108"/>
      <c r="BA263" s="108"/>
      <c r="BB263" s="108"/>
    </row>
    <row r="264" spans="1:54" s="109" customFormat="1" ht="12" customHeight="1">
      <c r="A264" s="8">
        <v>31010102</v>
      </c>
      <c r="B264" s="8" t="s">
        <v>583</v>
      </c>
      <c r="C264" s="8"/>
      <c r="D264" s="92">
        <f>+VLOOKUP(A264,Clasificaciones!C:I,5,FALSE)</f>
        <v>5000000000</v>
      </c>
      <c r="E264" s="92">
        <v>0</v>
      </c>
      <c r="F264" s="92">
        <v>0</v>
      </c>
      <c r="G264" s="92">
        <f>VLOOKUP(A264,Clasificaciones!C:M,9,FALSE)</f>
        <v>5000000000</v>
      </c>
      <c r="H264" s="92">
        <f t="shared" si="42"/>
        <v>0</v>
      </c>
      <c r="I264" s="26">
        <v>0</v>
      </c>
      <c r="J264" s="26">
        <v>0</v>
      </c>
      <c r="K264" s="26">
        <v>0</v>
      </c>
      <c r="L264" s="26">
        <v>0</v>
      </c>
      <c r="M264" s="26">
        <v>0</v>
      </c>
      <c r="N264" s="26">
        <v>0</v>
      </c>
      <c r="O264" s="26">
        <v>0</v>
      </c>
      <c r="P264" s="26">
        <v>0</v>
      </c>
      <c r="Q264" s="26">
        <v>0</v>
      </c>
      <c r="R264" s="26">
        <v>0</v>
      </c>
      <c r="S264" s="26">
        <v>0</v>
      </c>
      <c r="T264" s="26">
        <v>0</v>
      </c>
      <c r="U264" s="26">
        <v>0</v>
      </c>
      <c r="V264" s="26">
        <f>-H264</f>
        <v>0</v>
      </c>
      <c r="W264" s="26">
        <v>0</v>
      </c>
      <c r="X264" s="26">
        <v>0</v>
      </c>
      <c r="Y264" s="26">
        <v>0</v>
      </c>
      <c r="Z264" s="26">
        <v>0</v>
      </c>
      <c r="AA264" s="26">
        <f t="shared" si="43"/>
        <v>0</v>
      </c>
      <c r="AB264" s="107"/>
      <c r="AC264" s="107"/>
      <c r="AD264" s="107"/>
      <c r="AE264" s="107"/>
      <c r="AF264" s="107"/>
      <c r="AG264" s="107"/>
      <c r="AH264" s="107"/>
      <c r="AI264" s="107"/>
      <c r="AJ264" s="107"/>
      <c r="AK264" s="107"/>
      <c r="AL264" s="107"/>
      <c r="AM264" s="107"/>
      <c r="AN264" s="107"/>
      <c r="AO264" s="108"/>
      <c r="AP264" s="108"/>
      <c r="AQ264" s="108"/>
      <c r="AR264" s="108"/>
      <c r="AS264" s="108"/>
      <c r="AT264" s="108"/>
      <c r="AU264" s="108"/>
      <c r="AV264" s="108"/>
      <c r="AW264" s="108"/>
      <c r="AX264" s="108"/>
      <c r="AY264" s="108"/>
      <c r="AZ264" s="108"/>
      <c r="BA264" s="108"/>
      <c r="BB264" s="108"/>
    </row>
    <row r="265" spans="1:54" s="109" customFormat="1" ht="12" customHeight="1">
      <c r="A265" s="8">
        <v>310102</v>
      </c>
      <c r="B265" s="8" t="s">
        <v>311</v>
      </c>
      <c r="C265" s="8"/>
      <c r="D265" s="92">
        <f>+VLOOKUP(A265,Clasificaciones!C:I,5,FALSE)</f>
        <v>0</v>
      </c>
      <c r="E265" s="92">
        <v>0</v>
      </c>
      <c r="F265" s="92">
        <v>0</v>
      </c>
      <c r="G265" s="92">
        <f>VLOOKUP(A265,Clasificaciones!C:M,9,FALSE)</f>
        <v>0</v>
      </c>
      <c r="H265" s="92">
        <f t="shared" si="42"/>
        <v>0</v>
      </c>
      <c r="I265" s="26">
        <v>0</v>
      </c>
      <c r="J265" s="26">
        <v>0</v>
      </c>
      <c r="K265" s="26">
        <v>0</v>
      </c>
      <c r="L265" s="26">
        <v>0</v>
      </c>
      <c r="M265" s="26">
        <v>0</v>
      </c>
      <c r="N265" s="26">
        <v>0</v>
      </c>
      <c r="O265" s="26">
        <v>0</v>
      </c>
      <c r="P265" s="26">
        <v>0</v>
      </c>
      <c r="Q265" s="26">
        <v>0</v>
      </c>
      <c r="R265" s="26">
        <v>0</v>
      </c>
      <c r="S265" s="26">
        <v>0</v>
      </c>
      <c r="T265" s="26">
        <v>0</v>
      </c>
      <c r="U265" s="26">
        <v>0</v>
      </c>
      <c r="V265" s="26">
        <v>0</v>
      </c>
      <c r="W265" s="26">
        <v>0</v>
      </c>
      <c r="X265" s="26">
        <v>0</v>
      </c>
      <c r="Y265" s="26">
        <v>0</v>
      </c>
      <c r="Z265" s="26">
        <v>0</v>
      </c>
      <c r="AA265" s="26">
        <f t="shared" si="43"/>
        <v>0</v>
      </c>
      <c r="AB265" s="107"/>
      <c r="AC265" s="107"/>
      <c r="AD265" s="107"/>
      <c r="AE265" s="107"/>
      <c r="AF265" s="107"/>
      <c r="AG265" s="107"/>
      <c r="AH265" s="107"/>
      <c r="AI265" s="107"/>
      <c r="AJ265" s="107"/>
      <c r="AK265" s="107"/>
      <c r="AL265" s="107"/>
      <c r="AM265" s="107"/>
      <c r="AN265" s="107"/>
      <c r="AO265" s="108"/>
      <c r="AP265" s="108"/>
      <c r="AQ265" s="108"/>
      <c r="AR265" s="108"/>
      <c r="AS265" s="108"/>
      <c r="AT265" s="108"/>
      <c r="AU265" s="108"/>
      <c r="AV265" s="108"/>
      <c r="AW265" s="108"/>
      <c r="AX265" s="108"/>
      <c r="AY265" s="108"/>
      <c r="AZ265" s="108"/>
      <c r="BA265" s="108"/>
      <c r="BB265" s="108"/>
    </row>
    <row r="266" spans="1:54" s="109" customFormat="1" ht="12" customHeight="1">
      <c r="A266" s="8">
        <v>31010201</v>
      </c>
      <c r="B266" s="8" t="s">
        <v>507</v>
      </c>
      <c r="C266" s="8"/>
      <c r="D266" s="92">
        <f>+VLOOKUP(A266,Clasificaciones!C:I,5,FALSE)</f>
        <v>-2560000000</v>
      </c>
      <c r="E266" s="177">
        <v>1945000000</v>
      </c>
      <c r="F266" s="92">
        <v>0</v>
      </c>
      <c r="G266" s="92">
        <f>VLOOKUP(A266,Clasificaciones!C:M,9,FALSE)</f>
        <v>-615000000</v>
      </c>
      <c r="H266" s="92">
        <f t="shared" si="42"/>
        <v>0</v>
      </c>
      <c r="I266" s="26">
        <f>-H266</f>
        <v>0</v>
      </c>
      <c r="J266" s="26">
        <v>0</v>
      </c>
      <c r="K266" s="26">
        <v>0</v>
      </c>
      <c r="L266" s="26">
        <v>0</v>
      </c>
      <c r="M266" s="26">
        <v>0</v>
      </c>
      <c r="N266" s="26">
        <v>0</v>
      </c>
      <c r="O266" s="26">
        <v>0</v>
      </c>
      <c r="P266" s="26">
        <v>0</v>
      </c>
      <c r="Q266" s="26">
        <v>0</v>
      </c>
      <c r="R266" s="26">
        <v>0</v>
      </c>
      <c r="S266" s="26">
        <v>0</v>
      </c>
      <c r="T266" s="26">
        <v>0</v>
      </c>
      <c r="U266" s="26">
        <v>0</v>
      </c>
      <c r="V266" s="26">
        <v>0</v>
      </c>
      <c r="W266" s="26">
        <v>0</v>
      </c>
      <c r="X266" s="26">
        <v>0</v>
      </c>
      <c r="Y266" s="26">
        <v>0</v>
      </c>
      <c r="Z266" s="26">
        <v>0</v>
      </c>
      <c r="AA266" s="26">
        <f t="shared" si="43"/>
        <v>0</v>
      </c>
      <c r="AB266" s="107"/>
      <c r="AC266" s="107"/>
      <c r="AD266" s="107"/>
      <c r="AE266" s="107"/>
      <c r="AF266" s="107"/>
      <c r="AG266" s="107"/>
      <c r="AH266" s="107"/>
      <c r="AI266" s="107"/>
      <c r="AJ266" s="107"/>
      <c r="AK266" s="107"/>
      <c r="AL266" s="107"/>
      <c r="AM266" s="107"/>
      <c r="AN266" s="107"/>
      <c r="AO266" s="108"/>
      <c r="AP266" s="108"/>
      <c r="AQ266" s="108"/>
      <c r="AR266" s="108"/>
      <c r="AS266" s="108"/>
      <c r="AT266" s="108"/>
      <c r="AU266" s="108"/>
      <c r="AV266" s="108"/>
      <c r="AW266" s="108"/>
      <c r="AX266" s="108"/>
      <c r="AY266" s="108"/>
      <c r="AZ266" s="108"/>
      <c r="BA266" s="108"/>
      <c r="BB266" s="108"/>
    </row>
    <row r="267" spans="1:54" s="109" customFormat="1" ht="12" customHeight="1">
      <c r="A267" s="8">
        <v>31010202</v>
      </c>
      <c r="B267" s="8" t="s">
        <v>584</v>
      </c>
      <c r="C267" s="8"/>
      <c r="D267" s="92">
        <f>+VLOOKUP(A267,Clasificaciones!C:I,5,FALSE)</f>
        <v>-150000000</v>
      </c>
      <c r="E267" s="177">
        <v>49000000</v>
      </c>
      <c r="F267" s="92">
        <v>0</v>
      </c>
      <c r="G267" s="92">
        <f>VLOOKUP(A267,Clasificaciones!C:M,9,FALSE)</f>
        <v>-101000000</v>
      </c>
      <c r="H267" s="92">
        <f t="shared" si="42"/>
        <v>0</v>
      </c>
      <c r="I267" s="26">
        <f>-H267</f>
        <v>0</v>
      </c>
      <c r="J267" s="26">
        <v>0</v>
      </c>
      <c r="K267" s="26">
        <v>0</v>
      </c>
      <c r="L267" s="26">
        <v>0</v>
      </c>
      <c r="M267" s="26">
        <v>0</v>
      </c>
      <c r="N267" s="26">
        <v>0</v>
      </c>
      <c r="O267" s="26">
        <v>0</v>
      </c>
      <c r="P267" s="26">
        <v>0</v>
      </c>
      <c r="Q267" s="26">
        <v>0</v>
      </c>
      <c r="R267" s="26">
        <v>0</v>
      </c>
      <c r="S267" s="26">
        <v>0</v>
      </c>
      <c r="T267" s="26">
        <v>0</v>
      </c>
      <c r="U267" s="26">
        <v>0</v>
      </c>
      <c r="V267" s="26">
        <v>0</v>
      </c>
      <c r="W267" s="26">
        <v>0</v>
      </c>
      <c r="X267" s="26">
        <v>0</v>
      </c>
      <c r="Y267" s="26">
        <v>0</v>
      </c>
      <c r="Z267" s="26">
        <v>0</v>
      </c>
      <c r="AA267" s="26">
        <f t="shared" si="43"/>
        <v>0</v>
      </c>
      <c r="AB267" s="107"/>
      <c r="AC267" s="107"/>
      <c r="AD267" s="107"/>
      <c r="AE267" s="107"/>
      <c r="AF267" s="107"/>
      <c r="AG267" s="107"/>
      <c r="AH267" s="107"/>
      <c r="AI267" s="107"/>
      <c r="AJ267" s="107"/>
      <c r="AK267" s="107"/>
      <c r="AL267" s="107"/>
      <c r="AM267" s="107"/>
      <c r="AN267" s="107"/>
      <c r="AO267" s="108"/>
      <c r="AP267" s="108"/>
      <c r="AQ267" s="108"/>
      <c r="AR267" s="108"/>
      <c r="AS267" s="108"/>
      <c r="AT267" s="108"/>
      <c r="AU267" s="108"/>
      <c r="AV267" s="108"/>
      <c r="AW267" s="108"/>
      <c r="AX267" s="108"/>
      <c r="AY267" s="108"/>
      <c r="AZ267" s="108"/>
      <c r="BA267" s="108"/>
      <c r="BB267" s="108"/>
    </row>
    <row r="268" spans="1:54" s="109" customFormat="1" ht="12" customHeight="1">
      <c r="A268" s="8">
        <v>315</v>
      </c>
      <c r="B268" s="8" t="s">
        <v>12</v>
      </c>
      <c r="C268" s="8"/>
      <c r="D268" s="92">
        <f>+VLOOKUP(A268,Clasificaciones!C:I,5,FALSE)</f>
        <v>0</v>
      </c>
      <c r="E268" s="92">
        <v>0</v>
      </c>
      <c r="F268" s="92">
        <v>0</v>
      </c>
      <c r="G268" s="92">
        <f>VLOOKUP(A268,Clasificaciones!C:M,9,FALSE)</f>
        <v>0</v>
      </c>
      <c r="H268" s="92">
        <f t="shared" si="42"/>
        <v>0</v>
      </c>
      <c r="I268" s="26">
        <v>0</v>
      </c>
      <c r="J268" s="26">
        <v>0</v>
      </c>
      <c r="K268" s="26">
        <v>0</v>
      </c>
      <c r="L268" s="26">
        <v>0</v>
      </c>
      <c r="M268" s="26">
        <v>0</v>
      </c>
      <c r="N268" s="26">
        <v>0</v>
      </c>
      <c r="O268" s="26">
        <v>0</v>
      </c>
      <c r="P268" s="26">
        <v>0</v>
      </c>
      <c r="Q268" s="26">
        <v>0</v>
      </c>
      <c r="R268" s="26">
        <v>0</v>
      </c>
      <c r="S268" s="26">
        <v>0</v>
      </c>
      <c r="T268" s="26">
        <v>0</v>
      </c>
      <c r="U268" s="26">
        <v>0</v>
      </c>
      <c r="V268" s="26">
        <v>0</v>
      </c>
      <c r="W268" s="26">
        <v>0</v>
      </c>
      <c r="X268" s="26">
        <v>0</v>
      </c>
      <c r="Y268" s="26">
        <v>0</v>
      </c>
      <c r="Z268" s="26">
        <v>0</v>
      </c>
      <c r="AA268" s="26">
        <f t="shared" si="43"/>
        <v>0</v>
      </c>
      <c r="AB268" s="107"/>
      <c r="AC268" s="107"/>
      <c r="AD268" s="107"/>
      <c r="AE268" s="107"/>
      <c r="AF268" s="107"/>
      <c r="AG268" s="107"/>
      <c r="AH268" s="107"/>
      <c r="AI268" s="107"/>
      <c r="AJ268" s="107"/>
      <c r="AK268" s="107"/>
      <c r="AL268" s="107"/>
      <c r="AM268" s="107"/>
      <c r="AN268" s="107"/>
      <c r="AO268" s="108"/>
      <c r="AP268" s="108"/>
      <c r="AQ268" s="108"/>
      <c r="AR268" s="108"/>
      <c r="AS268" s="108"/>
      <c r="AT268" s="108"/>
      <c r="AU268" s="108"/>
      <c r="AV268" s="108"/>
      <c r="AW268" s="108"/>
      <c r="AX268" s="108"/>
      <c r="AY268" s="108"/>
      <c r="AZ268" s="108"/>
      <c r="BA268" s="108"/>
      <c r="BB268" s="108"/>
    </row>
    <row r="269" spans="1:54" s="109" customFormat="1" ht="12" customHeight="1">
      <c r="A269" s="8">
        <v>31501</v>
      </c>
      <c r="B269" s="8" t="s">
        <v>185</v>
      </c>
      <c r="C269" s="8"/>
      <c r="D269" s="92">
        <f>+VLOOKUP(A269,Clasificaciones!C:I,5,FALSE)</f>
        <v>-135603954</v>
      </c>
      <c r="E269" s="177">
        <v>103084032</v>
      </c>
      <c r="F269" s="92">
        <v>0</v>
      </c>
      <c r="G269" s="92">
        <f>VLOOKUP(A269,Clasificaciones!C:M,9,FALSE)</f>
        <v>-32519922</v>
      </c>
      <c r="H269" s="92">
        <f t="shared" si="42"/>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c r="Z269" s="26">
        <v>0</v>
      </c>
      <c r="AA269" s="26">
        <f t="shared" si="43"/>
        <v>0</v>
      </c>
      <c r="AB269" s="107"/>
      <c r="AC269" s="107"/>
      <c r="AD269" s="107"/>
      <c r="AE269" s="107"/>
      <c r="AF269" s="107"/>
      <c r="AG269" s="107"/>
      <c r="AH269" s="107"/>
      <c r="AI269" s="107"/>
      <c r="AJ269" s="107"/>
      <c r="AK269" s="107"/>
      <c r="AL269" s="107"/>
      <c r="AM269" s="107"/>
      <c r="AN269" s="107"/>
      <c r="AO269" s="108"/>
      <c r="AP269" s="108"/>
      <c r="AQ269" s="108"/>
      <c r="AR269" s="108"/>
      <c r="AS269" s="108"/>
      <c r="AT269" s="108"/>
      <c r="AU269" s="108"/>
      <c r="AV269" s="108"/>
      <c r="AW269" s="108"/>
      <c r="AX269" s="108"/>
      <c r="AY269" s="108"/>
      <c r="AZ269" s="108"/>
      <c r="BA269" s="108"/>
      <c r="BB269" s="108"/>
    </row>
    <row r="270" spans="1:54" s="109" customFormat="1" ht="12" customHeight="1">
      <c r="A270" s="8">
        <v>31503</v>
      </c>
      <c r="B270" s="8" t="s">
        <v>508</v>
      </c>
      <c r="C270" s="8"/>
      <c r="D270" s="92">
        <f>+VLOOKUP(A270,Clasificaciones!C:I,5,FALSE)</f>
        <v>-305172</v>
      </c>
      <c r="E270" s="92">
        <v>0</v>
      </c>
      <c r="F270" s="177">
        <v>2513351</v>
      </c>
      <c r="G270" s="92">
        <f>VLOOKUP(A270,Clasificaciones!C:M,9,FALSE)</f>
        <v>-2818523</v>
      </c>
      <c r="H270" s="92">
        <f t="shared" si="42"/>
        <v>0</v>
      </c>
      <c r="I270" s="26">
        <f t="shared" ref="I270:I271" si="44">-H270</f>
        <v>0</v>
      </c>
      <c r="J270" s="26">
        <v>0</v>
      </c>
      <c r="K270" s="26">
        <v>0</v>
      </c>
      <c r="L270" s="26">
        <v>0</v>
      </c>
      <c r="M270" s="26">
        <v>0</v>
      </c>
      <c r="N270" s="26">
        <v>0</v>
      </c>
      <c r="O270" s="26">
        <v>0</v>
      </c>
      <c r="P270" s="26">
        <v>0</v>
      </c>
      <c r="Q270" s="26">
        <v>0</v>
      </c>
      <c r="R270" s="26">
        <v>0</v>
      </c>
      <c r="S270" s="26">
        <v>0</v>
      </c>
      <c r="T270" s="26">
        <v>0</v>
      </c>
      <c r="U270" s="26">
        <v>0</v>
      </c>
      <c r="V270" s="26">
        <v>0</v>
      </c>
      <c r="W270" s="26">
        <v>0</v>
      </c>
      <c r="X270" s="26">
        <v>0</v>
      </c>
      <c r="Y270" s="26">
        <v>0</v>
      </c>
      <c r="Z270" s="26">
        <v>0</v>
      </c>
      <c r="AA270" s="26">
        <f t="shared" si="43"/>
        <v>0</v>
      </c>
      <c r="AB270" s="107"/>
      <c r="AC270" s="107"/>
      <c r="AD270" s="107"/>
      <c r="AE270" s="107"/>
      <c r="AF270" s="107"/>
      <c r="AG270" s="107"/>
      <c r="AH270" s="107"/>
      <c r="AI270" s="107"/>
      <c r="AJ270" s="107"/>
      <c r="AK270" s="107"/>
      <c r="AL270" s="107"/>
      <c r="AM270" s="107"/>
      <c r="AN270" s="107"/>
      <c r="AO270" s="108"/>
      <c r="AP270" s="108"/>
      <c r="AQ270" s="108"/>
      <c r="AR270" s="108"/>
      <c r="AS270" s="108"/>
      <c r="AT270" s="108"/>
      <c r="AU270" s="108"/>
      <c r="AV270" s="108"/>
      <c r="AW270" s="108"/>
      <c r="AX270" s="108"/>
      <c r="AY270" s="108"/>
      <c r="AZ270" s="108"/>
      <c r="BA270" s="108"/>
      <c r="BB270" s="108"/>
    </row>
    <row r="271" spans="1:54" s="109" customFormat="1" ht="12" customHeight="1">
      <c r="A271" s="8">
        <v>316</v>
      </c>
      <c r="B271" s="8" t="s">
        <v>132</v>
      </c>
      <c r="C271" s="8"/>
      <c r="D271" s="92">
        <f>+VLOOKUP(A271,Clasificaciones!C:I,5,FALSE)</f>
        <v>0</v>
      </c>
      <c r="E271" s="92">
        <v>0</v>
      </c>
      <c r="F271" s="92">
        <v>0</v>
      </c>
      <c r="G271" s="92">
        <f>VLOOKUP(A271,Clasificaciones!C:M,9,FALSE)</f>
        <v>0</v>
      </c>
      <c r="H271" s="92">
        <f t="shared" si="42"/>
        <v>0</v>
      </c>
      <c r="I271" s="26">
        <f t="shared" si="44"/>
        <v>0</v>
      </c>
      <c r="J271" s="26">
        <v>0</v>
      </c>
      <c r="K271" s="26">
        <v>0</v>
      </c>
      <c r="L271" s="26">
        <v>0</v>
      </c>
      <c r="M271" s="26">
        <v>0</v>
      </c>
      <c r="N271" s="26">
        <v>0</v>
      </c>
      <c r="O271" s="26">
        <v>0</v>
      </c>
      <c r="P271" s="26">
        <v>0</v>
      </c>
      <c r="Q271" s="26">
        <v>0</v>
      </c>
      <c r="R271" s="26">
        <v>0</v>
      </c>
      <c r="S271" s="26">
        <v>0</v>
      </c>
      <c r="T271" s="26">
        <v>0</v>
      </c>
      <c r="U271" s="26">
        <v>0</v>
      </c>
      <c r="V271" s="26">
        <v>0</v>
      </c>
      <c r="W271" s="26">
        <v>0</v>
      </c>
      <c r="X271" s="26">
        <v>0</v>
      </c>
      <c r="Y271" s="26">
        <v>0</v>
      </c>
      <c r="Z271" s="26">
        <v>0</v>
      </c>
      <c r="AA271" s="26">
        <f t="shared" si="43"/>
        <v>0</v>
      </c>
      <c r="AB271" s="107"/>
      <c r="AC271" s="107"/>
      <c r="AD271" s="107"/>
      <c r="AE271" s="107"/>
      <c r="AF271" s="107"/>
      <c r="AG271" s="107"/>
      <c r="AH271" s="107"/>
      <c r="AI271" s="107"/>
      <c r="AJ271" s="107"/>
      <c r="AK271" s="107"/>
      <c r="AL271" s="107"/>
      <c r="AM271" s="107"/>
      <c r="AN271" s="107"/>
      <c r="AO271" s="108"/>
      <c r="AP271" s="108"/>
      <c r="AQ271" s="108"/>
      <c r="AR271" s="108"/>
      <c r="AS271" s="108"/>
      <c r="AT271" s="108"/>
      <c r="AU271" s="108"/>
      <c r="AV271" s="108"/>
      <c r="AW271" s="108"/>
      <c r="AX271" s="108"/>
      <c r="AY271" s="108"/>
      <c r="AZ271" s="108"/>
      <c r="BA271" s="108"/>
      <c r="BB271" s="108"/>
    </row>
    <row r="272" spans="1:54" s="109" customFormat="1" ht="12" customHeight="1">
      <c r="A272" s="8">
        <v>31601</v>
      </c>
      <c r="B272" s="8" t="s">
        <v>188</v>
      </c>
      <c r="C272" s="8"/>
      <c r="D272" s="92">
        <f>+VLOOKUP(A272,Clasificaciones!C:I,5,FALSE)</f>
        <v>0</v>
      </c>
      <c r="E272" s="177">
        <f>+G272</f>
        <v>16109965</v>
      </c>
      <c r="F272" s="92">
        <v>0</v>
      </c>
      <c r="G272" s="92">
        <f>VLOOKUP(A272,Clasificaciones!C:M,9,FALSE)</f>
        <v>16109965</v>
      </c>
      <c r="H272" s="92">
        <f t="shared" si="42"/>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c r="Z272" s="26">
        <v>0</v>
      </c>
      <c r="AA272" s="26">
        <f t="shared" si="43"/>
        <v>0</v>
      </c>
      <c r="AB272" s="107"/>
      <c r="AC272" s="107"/>
      <c r="AD272" s="107"/>
      <c r="AE272" s="107"/>
      <c r="AF272" s="107"/>
      <c r="AG272" s="107"/>
      <c r="AH272" s="107"/>
      <c r="AI272" s="107"/>
      <c r="AJ272" s="107"/>
      <c r="AK272" s="107"/>
      <c r="AL272" s="107"/>
      <c r="AM272" s="107"/>
      <c r="AN272" s="107"/>
      <c r="AO272" s="108"/>
      <c r="AP272" s="108"/>
      <c r="AQ272" s="108"/>
      <c r="AR272" s="108"/>
      <c r="AS272" s="108"/>
      <c r="AT272" s="108"/>
      <c r="AU272" s="108"/>
      <c r="AV272" s="108"/>
      <c r="AW272" s="108"/>
      <c r="AX272" s="108"/>
      <c r="AY272" s="108"/>
      <c r="AZ272" s="108"/>
      <c r="BA272" s="108"/>
      <c r="BB272" s="108"/>
    </row>
    <row r="273" spans="1:54" s="109" customFormat="1" ht="12" customHeight="1">
      <c r="A273" s="8">
        <v>31602</v>
      </c>
      <c r="B273" s="8" t="s">
        <v>189</v>
      </c>
      <c r="C273" s="8"/>
      <c r="D273" s="92">
        <f>+VLOOKUP(A273,Clasificaciones!C:I,5,FALSE)</f>
        <v>-2497475898</v>
      </c>
      <c r="E273" s="177">
        <f>+F487</f>
        <v>2497475898</v>
      </c>
      <c r="F273" s="177">
        <f>+E272+E269+E266-F270</f>
        <v>2061680646</v>
      </c>
      <c r="G273" s="92">
        <f>VLOOKUP(A273,Clasificaciones!C:M,9,FALSE)</f>
        <v>-2061680646</v>
      </c>
      <c r="H273" s="92">
        <f t="shared" si="42"/>
        <v>0</v>
      </c>
      <c r="I273" s="26">
        <v>0</v>
      </c>
      <c r="J273" s="26">
        <v>0</v>
      </c>
      <c r="K273" s="26">
        <v>0</v>
      </c>
      <c r="L273" s="26">
        <v>0</v>
      </c>
      <c r="M273" s="26">
        <v>0</v>
      </c>
      <c r="N273" s="26">
        <v>0</v>
      </c>
      <c r="O273" s="26">
        <v>0</v>
      </c>
      <c r="P273" s="26">
        <v>0</v>
      </c>
      <c r="Q273" s="26">
        <v>0</v>
      </c>
      <c r="R273" s="26">
        <v>0</v>
      </c>
      <c r="S273" s="26">
        <v>0</v>
      </c>
      <c r="T273" s="26">
        <v>0</v>
      </c>
      <c r="U273" s="26">
        <v>0</v>
      </c>
      <c r="V273" s="26">
        <v>0</v>
      </c>
      <c r="W273" s="26">
        <v>0</v>
      </c>
      <c r="X273" s="26">
        <v>0</v>
      </c>
      <c r="Y273" s="26">
        <v>0</v>
      </c>
      <c r="Z273" s="26">
        <v>0</v>
      </c>
      <c r="AA273" s="26">
        <f t="shared" si="43"/>
        <v>0</v>
      </c>
      <c r="AB273" s="107"/>
      <c r="AC273" s="107"/>
      <c r="AD273" s="107"/>
      <c r="AE273" s="107"/>
      <c r="AF273" s="107"/>
      <c r="AG273" s="107"/>
      <c r="AH273" s="107"/>
      <c r="AI273" s="107"/>
      <c r="AJ273" s="107"/>
      <c r="AK273" s="107"/>
      <c r="AL273" s="107"/>
      <c r="AM273" s="107"/>
      <c r="AN273" s="107"/>
      <c r="AO273" s="108"/>
      <c r="AP273" s="108"/>
      <c r="AQ273" s="108"/>
      <c r="AR273" s="108"/>
      <c r="AS273" s="108"/>
      <c r="AT273" s="108"/>
      <c r="AU273" s="108"/>
      <c r="AV273" s="108"/>
      <c r="AW273" s="108"/>
      <c r="AX273" s="108"/>
      <c r="AY273" s="108"/>
      <c r="AZ273" s="108"/>
      <c r="BA273" s="108"/>
      <c r="BB273" s="108"/>
    </row>
    <row r="274" spans="1:54" s="109" customFormat="1" ht="12" customHeight="1">
      <c r="A274" s="8"/>
      <c r="B274" s="8"/>
      <c r="C274" s="8"/>
      <c r="D274" s="92"/>
      <c r="E274" s="92">
        <v>0</v>
      </c>
      <c r="F274" s="92">
        <v>0</v>
      </c>
      <c r="G274" s="92"/>
      <c r="H274" s="92">
        <f t="shared" si="42"/>
        <v>0</v>
      </c>
      <c r="I274" s="26"/>
      <c r="J274" s="26"/>
      <c r="K274" s="26"/>
      <c r="L274" s="26"/>
      <c r="M274" s="26"/>
      <c r="N274" s="26"/>
      <c r="O274" s="26"/>
      <c r="P274" s="26">
        <v>0</v>
      </c>
      <c r="Q274" s="26"/>
      <c r="R274" s="26"/>
      <c r="S274" s="26"/>
      <c r="T274" s="26"/>
      <c r="U274" s="26"/>
      <c r="V274" s="26"/>
      <c r="W274" s="26"/>
      <c r="X274" s="26"/>
      <c r="Y274" s="26"/>
      <c r="Z274" s="26"/>
      <c r="AA274" s="26">
        <f t="shared" si="43"/>
        <v>0</v>
      </c>
      <c r="AB274" s="107"/>
      <c r="AC274" s="107"/>
      <c r="AD274" s="107"/>
      <c r="AE274" s="107"/>
      <c r="AF274" s="107"/>
      <c r="AG274" s="107"/>
      <c r="AH274" s="107"/>
      <c r="AI274" s="107"/>
      <c r="AJ274" s="107"/>
      <c r="AK274" s="107"/>
      <c r="AL274" s="107"/>
      <c r="AM274" s="107"/>
      <c r="AN274" s="107"/>
      <c r="AO274" s="108"/>
      <c r="AP274" s="108"/>
      <c r="AQ274" s="108"/>
      <c r="AR274" s="108"/>
      <c r="AS274" s="108"/>
      <c r="AT274" s="108"/>
      <c r="AU274" s="108"/>
      <c r="AV274" s="108"/>
      <c r="AW274" s="108"/>
      <c r="AX274" s="108"/>
      <c r="AY274" s="108"/>
      <c r="AZ274" s="108"/>
      <c r="BA274" s="108"/>
      <c r="BB274" s="108"/>
    </row>
    <row r="275" spans="1:54" s="109" customFormat="1" ht="12" customHeight="1">
      <c r="A275" s="8">
        <v>4</v>
      </c>
      <c r="B275" s="8" t="s">
        <v>190</v>
      </c>
      <c r="C275" s="8"/>
      <c r="D275" s="92">
        <f>+SUM(D276:D358)+'BG 2021'!C239</f>
        <v>0</v>
      </c>
      <c r="E275" s="92">
        <v>0</v>
      </c>
      <c r="F275" s="92">
        <v>0</v>
      </c>
      <c r="G275" s="92">
        <v>0</v>
      </c>
      <c r="H275" s="92">
        <f t="shared" si="42"/>
        <v>0</v>
      </c>
      <c r="I275" s="26">
        <f>-H275</f>
        <v>0</v>
      </c>
      <c r="J275" s="26">
        <v>0</v>
      </c>
      <c r="K275" s="26">
        <v>0</v>
      </c>
      <c r="L275" s="26">
        <v>0</v>
      </c>
      <c r="M275" s="26">
        <v>0</v>
      </c>
      <c r="N275" s="26">
        <v>0</v>
      </c>
      <c r="O275" s="26">
        <v>0</v>
      </c>
      <c r="P275" s="26">
        <v>0</v>
      </c>
      <c r="Q275" s="26">
        <v>0</v>
      </c>
      <c r="R275" s="26">
        <v>0</v>
      </c>
      <c r="S275" s="26">
        <v>0</v>
      </c>
      <c r="T275" s="26">
        <v>0</v>
      </c>
      <c r="U275" s="26">
        <v>0</v>
      </c>
      <c r="V275" s="26">
        <v>0</v>
      </c>
      <c r="W275" s="26">
        <v>0</v>
      </c>
      <c r="X275" s="26">
        <v>0</v>
      </c>
      <c r="Y275" s="26">
        <v>0</v>
      </c>
      <c r="Z275" s="26">
        <v>0</v>
      </c>
      <c r="AA275" s="26">
        <f t="shared" si="43"/>
        <v>0</v>
      </c>
      <c r="AB275" s="107"/>
      <c r="AC275" s="107"/>
      <c r="AD275" s="107"/>
      <c r="AE275" s="107"/>
      <c r="AF275" s="107"/>
      <c r="AG275" s="107"/>
      <c r="AH275" s="107"/>
      <c r="AI275" s="107"/>
      <c r="AJ275" s="107"/>
      <c r="AK275" s="107"/>
      <c r="AL275" s="107"/>
      <c r="AM275" s="107"/>
      <c r="AN275" s="107"/>
      <c r="AO275" s="108"/>
      <c r="AP275" s="108"/>
      <c r="AQ275" s="108"/>
      <c r="AR275" s="108"/>
      <c r="AS275" s="108"/>
      <c r="AT275" s="108"/>
      <c r="AU275" s="108"/>
      <c r="AV275" s="108"/>
      <c r="AW275" s="108"/>
      <c r="AX275" s="108"/>
      <c r="AY275" s="108"/>
      <c r="AZ275" s="108"/>
      <c r="BA275" s="108"/>
      <c r="BB275" s="108"/>
    </row>
    <row r="276" spans="1:54" s="109" customFormat="1" ht="12" customHeight="1">
      <c r="A276" s="8">
        <v>401</v>
      </c>
      <c r="B276" s="8" t="s">
        <v>870</v>
      </c>
      <c r="C276" s="8"/>
      <c r="D276" s="92">
        <f>+VLOOKUP(A276,Clasificaciones!C:I,5,FALSE)</f>
        <v>0</v>
      </c>
      <c r="E276" s="92">
        <v>0</v>
      </c>
      <c r="F276" s="92">
        <v>0</v>
      </c>
      <c r="G276" s="92">
        <v>0</v>
      </c>
      <c r="H276" s="92">
        <f t="shared" si="42"/>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c r="Z276" s="26">
        <v>0</v>
      </c>
      <c r="AA276" s="26">
        <f t="shared" si="43"/>
        <v>0</v>
      </c>
      <c r="AB276" s="107"/>
      <c r="AC276" s="107"/>
      <c r="AD276" s="107"/>
      <c r="AE276" s="107"/>
      <c r="AF276" s="107"/>
      <c r="AG276" s="107"/>
      <c r="AH276" s="107"/>
      <c r="AI276" s="107"/>
      <c r="AJ276" s="107"/>
      <c r="AK276" s="107"/>
      <c r="AL276" s="107"/>
      <c r="AM276" s="107"/>
      <c r="AN276" s="107"/>
      <c r="AO276" s="108"/>
      <c r="AP276" s="108"/>
      <c r="AQ276" s="108"/>
      <c r="AR276" s="108"/>
      <c r="AS276" s="108"/>
      <c r="AT276" s="108"/>
      <c r="AU276" s="108"/>
      <c r="AV276" s="108"/>
      <c r="AW276" s="108"/>
      <c r="AX276" s="108"/>
      <c r="AY276" s="108"/>
      <c r="AZ276" s="108"/>
      <c r="BA276" s="108"/>
      <c r="BB276" s="108"/>
    </row>
    <row r="277" spans="1:54" s="109" customFormat="1" ht="12" customHeight="1">
      <c r="A277" s="8">
        <v>40101</v>
      </c>
      <c r="B277" s="8" t="s">
        <v>111</v>
      </c>
      <c r="C277" s="8"/>
      <c r="D277" s="92">
        <f>+VLOOKUP(A277,Clasificaciones!C:I,5,FALSE)</f>
        <v>0</v>
      </c>
      <c r="E277" s="92">
        <v>0</v>
      </c>
      <c r="F277" s="92">
        <v>0</v>
      </c>
      <c r="G277" s="92">
        <v>0</v>
      </c>
      <c r="H277" s="92">
        <f t="shared" si="42"/>
        <v>0</v>
      </c>
      <c r="I277" s="26">
        <v>0</v>
      </c>
      <c r="J277" s="26">
        <v>0</v>
      </c>
      <c r="K277" s="26">
        <v>0</v>
      </c>
      <c r="L277" s="26">
        <v>0</v>
      </c>
      <c r="M277" s="26">
        <v>0</v>
      </c>
      <c r="N277" s="26">
        <v>0</v>
      </c>
      <c r="O277" s="26">
        <v>0</v>
      </c>
      <c r="P277" s="26">
        <v>0</v>
      </c>
      <c r="Q277" s="26">
        <v>0</v>
      </c>
      <c r="R277" s="26">
        <v>0</v>
      </c>
      <c r="S277" s="26">
        <v>0</v>
      </c>
      <c r="T277" s="26">
        <v>0</v>
      </c>
      <c r="U277" s="26">
        <v>0</v>
      </c>
      <c r="V277" s="26">
        <v>0</v>
      </c>
      <c r="W277" s="26">
        <v>0</v>
      </c>
      <c r="X277" s="26">
        <v>0</v>
      </c>
      <c r="Y277" s="26">
        <v>0</v>
      </c>
      <c r="Z277" s="26">
        <v>0</v>
      </c>
      <c r="AA277" s="26">
        <f t="shared" si="43"/>
        <v>0</v>
      </c>
      <c r="AB277" s="107"/>
      <c r="AC277" s="107"/>
      <c r="AD277" s="107"/>
      <c r="AE277" s="107"/>
      <c r="AF277" s="107"/>
      <c r="AG277" s="107"/>
      <c r="AH277" s="107"/>
      <c r="AI277" s="107"/>
      <c r="AJ277" s="107"/>
      <c r="AK277" s="107"/>
      <c r="AL277" s="107"/>
      <c r="AM277" s="107"/>
      <c r="AN277" s="107"/>
      <c r="AO277" s="108"/>
      <c r="AP277" s="108"/>
      <c r="AQ277" s="108"/>
      <c r="AR277" s="108"/>
      <c r="AS277" s="108"/>
      <c r="AT277" s="108"/>
      <c r="AU277" s="108"/>
      <c r="AV277" s="108"/>
      <c r="AW277" s="108"/>
      <c r="AX277" s="108"/>
      <c r="AY277" s="108"/>
      <c r="AZ277" s="108"/>
      <c r="BA277" s="108"/>
      <c r="BB277" s="108"/>
    </row>
    <row r="278" spans="1:54" s="109" customFormat="1" ht="12" customHeight="1">
      <c r="A278" s="8">
        <v>4010101</v>
      </c>
      <c r="B278" s="8" t="s">
        <v>871</v>
      </c>
      <c r="C278" s="8"/>
      <c r="D278" s="92">
        <f>+VLOOKUP(A278,Clasificaciones!C:I,5,FALSE)</f>
        <v>0</v>
      </c>
      <c r="E278" s="92">
        <v>0</v>
      </c>
      <c r="F278" s="92">
        <v>0</v>
      </c>
      <c r="G278" s="92">
        <v>0</v>
      </c>
      <c r="H278" s="92">
        <f t="shared" si="42"/>
        <v>0</v>
      </c>
      <c r="I278" s="26">
        <f>-H278</f>
        <v>0</v>
      </c>
      <c r="J278" s="26">
        <v>0</v>
      </c>
      <c r="K278" s="26">
        <v>0</v>
      </c>
      <c r="L278" s="26">
        <v>0</v>
      </c>
      <c r="M278" s="26">
        <v>0</v>
      </c>
      <c r="N278" s="26">
        <v>0</v>
      </c>
      <c r="O278" s="26">
        <v>0</v>
      </c>
      <c r="P278" s="26">
        <v>0</v>
      </c>
      <c r="Q278" s="26">
        <v>0</v>
      </c>
      <c r="R278" s="26">
        <v>0</v>
      </c>
      <c r="S278" s="26">
        <v>0</v>
      </c>
      <c r="T278" s="26">
        <v>0</v>
      </c>
      <c r="U278" s="26">
        <v>0</v>
      </c>
      <c r="V278" s="26">
        <v>0</v>
      </c>
      <c r="W278" s="26">
        <v>0</v>
      </c>
      <c r="X278" s="26">
        <v>0</v>
      </c>
      <c r="Y278" s="26">
        <v>0</v>
      </c>
      <c r="Z278" s="26">
        <v>0</v>
      </c>
      <c r="AA278" s="26">
        <f t="shared" si="43"/>
        <v>0</v>
      </c>
      <c r="AB278" s="107"/>
      <c r="AC278" s="107"/>
      <c r="AD278" s="107"/>
      <c r="AE278" s="107"/>
      <c r="AF278" s="107"/>
      <c r="AG278" s="107"/>
      <c r="AH278" s="107"/>
      <c r="AI278" s="107"/>
      <c r="AJ278" s="107"/>
      <c r="AK278" s="107"/>
      <c r="AL278" s="107"/>
      <c r="AM278" s="107"/>
      <c r="AN278" s="107"/>
      <c r="AO278" s="108"/>
      <c r="AP278" s="108"/>
      <c r="AQ278" s="108"/>
      <c r="AR278" s="108"/>
      <c r="AS278" s="108"/>
      <c r="AT278" s="108"/>
      <c r="AU278" s="108"/>
      <c r="AV278" s="108"/>
      <c r="AW278" s="108"/>
      <c r="AX278" s="108"/>
      <c r="AY278" s="108"/>
      <c r="AZ278" s="108"/>
      <c r="BA278" s="108"/>
      <c r="BB278" s="108"/>
    </row>
    <row r="279" spans="1:54" s="109" customFormat="1" ht="12" customHeight="1">
      <c r="A279" s="8">
        <v>401010101</v>
      </c>
      <c r="B279" s="8" t="s">
        <v>872</v>
      </c>
      <c r="C279" s="8"/>
      <c r="D279" s="92">
        <f>+VLOOKUP(A279,Clasificaciones!C:I,5,FALSE)</f>
        <v>-47672139</v>
      </c>
      <c r="E279" s="92">
        <v>0</v>
      </c>
      <c r="F279" s="92">
        <v>0</v>
      </c>
      <c r="G279" s="92">
        <v>0</v>
      </c>
      <c r="H279" s="92">
        <f>+D279-G279+E279-F279</f>
        <v>-47672139</v>
      </c>
      <c r="I279" s="26">
        <f>-H279</f>
        <v>47672139</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c r="Z279" s="26">
        <v>0</v>
      </c>
      <c r="AA279" s="26">
        <f t="shared" si="43"/>
        <v>0</v>
      </c>
      <c r="AB279" s="107"/>
      <c r="AC279" s="107"/>
      <c r="AD279" s="107"/>
      <c r="AE279" s="107"/>
      <c r="AF279" s="107"/>
      <c r="AG279" s="107"/>
      <c r="AH279" s="107"/>
      <c r="AI279" s="107"/>
      <c r="AJ279" s="107"/>
      <c r="AK279" s="107"/>
      <c r="AL279" s="107"/>
      <c r="AM279" s="107"/>
      <c r="AN279" s="107"/>
      <c r="AO279" s="108"/>
      <c r="AP279" s="108"/>
      <c r="AQ279" s="108"/>
      <c r="AR279" s="108"/>
      <c r="AS279" s="108"/>
      <c r="AT279" s="108"/>
      <c r="AU279" s="108"/>
      <c r="AV279" s="108"/>
      <c r="AW279" s="108"/>
      <c r="AX279" s="108"/>
      <c r="AY279" s="108"/>
      <c r="AZ279" s="108"/>
      <c r="BA279" s="108"/>
      <c r="BB279" s="108"/>
    </row>
    <row r="280" spans="1:54" s="109" customFormat="1" ht="12" customHeight="1">
      <c r="A280" s="8">
        <v>4010102</v>
      </c>
      <c r="B280" s="8" t="s">
        <v>873</v>
      </c>
      <c r="C280" s="8"/>
      <c r="D280" s="92">
        <f>+VLOOKUP(A280,Clasificaciones!C:I,5,FALSE)</f>
        <v>0</v>
      </c>
      <c r="E280" s="92">
        <v>0</v>
      </c>
      <c r="F280" s="92">
        <v>0</v>
      </c>
      <c r="G280" s="92">
        <v>0</v>
      </c>
      <c r="H280" s="92">
        <f t="shared" ref="H280:H349" si="45">+D280-G280+E280-F280</f>
        <v>0</v>
      </c>
      <c r="I280" s="26">
        <v>0</v>
      </c>
      <c r="J280" s="26">
        <v>0</v>
      </c>
      <c r="K280" s="26">
        <v>0</v>
      </c>
      <c r="L280" s="26">
        <v>0</v>
      </c>
      <c r="M280" s="26">
        <v>0</v>
      </c>
      <c r="N280" s="26">
        <v>0</v>
      </c>
      <c r="O280" s="26">
        <v>0</v>
      </c>
      <c r="P280" s="26">
        <v>0</v>
      </c>
      <c r="Q280" s="26">
        <v>0</v>
      </c>
      <c r="R280" s="26">
        <v>0</v>
      </c>
      <c r="S280" s="26">
        <v>0</v>
      </c>
      <c r="T280" s="26">
        <v>0</v>
      </c>
      <c r="U280" s="26">
        <v>0</v>
      </c>
      <c r="V280" s="26">
        <v>0</v>
      </c>
      <c r="W280" s="26">
        <v>0</v>
      </c>
      <c r="X280" s="26">
        <v>0</v>
      </c>
      <c r="Y280" s="26">
        <v>0</v>
      </c>
      <c r="Z280" s="26">
        <v>0</v>
      </c>
      <c r="AA280" s="26">
        <f t="shared" si="43"/>
        <v>0</v>
      </c>
      <c r="AB280" s="107"/>
      <c r="AC280" s="107"/>
      <c r="AD280" s="107"/>
      <c r="AE280" s="107"/>
      <c r="AF280" s="107"/>
      <c r="AG280" s="107"/>
      <c r="AH280" s="107"/>
      <c r="AI280" s="107"/>
      <c r="AJ280" s="107"/>
      <c r="AK280" s="107"/>
      <c r="AL280" s="107"/>
      <c r="AM280" s="107"/>
      <c r="AN280" s="107"/>
      <c r="AO280" s="108"/>
      <c r="AP280" s="108"/>
      <c r="AQ280" s="108"/>
      <c r="AR280" s="108"/>
      <c r="AS280" s="108"/>
      <c r="AT280" s="108"/>
      <c r="AU280" s="108"/>
      <c r="AV280" s="108"/>
      <c r="AW280" s="108"/>
      <c r="AX280" s="108"/>
      <c r="AY280" s="108"/>
      <c r="AZ280" s="108"/>
      <c r="BA280" s="108"/>
      <c r="BB280" s="108"/>
    </row>
    <row r="281" spans="1:54" s="109" customFormat="1" ht="12" customHeight="1">
      <c r="A281" s="8">
        <v>401010201</v>
      </c>
      <c r="B281" s="8" t="s">
        <v>874</v>
      </c>
      <c r="C281" s="8"/>
      <c r="D281" s="92">
        <f>+VLOOKUP(A281,Clasificaciones!C:I,5,FALSE)</f>
        <v>-448405560</v>
      </c>
      <c r="E281" s="92">
        <v>0</v>
      </c>
      <c r="F281" s="92">
        <v>0</v>
      </c>
      <c r="G281" s="92">
        <v>0</v>
      </c>
      <c r="H281" s="92">
        <f t="shared" si="45"/>
        <v>-448405560</v>
      </c>
      <c r="I281" s="26">
        <f t="shared" ref="I281:I288" si="46">-H281</f>
        <v>448405560</v>
      </c>
      <c r="J281" s="26">
        <v>0</v>
      </c>
      <c r="K281" s="26">
        <v>0</v>
      </c>
      <c r="L281" s="26">
        <v>0</v>
      </c>
      <c r="M281" s="26">
        <v>0</v>
      </c>
      <c r="N281" s="26">
        <v>0</v>
      </c>
      <c r="O281" s="26">
        <v>0</v>
      </c>
      <c r="P281" s="26">
        <v>0</v>
      </c>
      <c r="Q281" s="26">
        <v>0</v>
      </c>
      <c r="R281" s="26">
        <v>0</v>
      </c>
      <c r="S281" s="26">
        <v>0</v>
      </c>
      <c r="T281" s="26">
        <v>0</v>
      </c>
      <c r="U281" s="26">
        <v>0</v>
      </c>
      <c r="V281" s="26">
        <v>0</v>
      </c>
      <c r="W281" s="26">
        <v>0</v>
      </c>
      <c r="X281" s="26">
        <v>0</v>
      </c>
      <c r="Y281" s="26">
        <v>0</v>
      </c>
      <c r="Z281" s="26">
        <v>0</v>
      </c>
      <c r="AA281" s="26">
        <f t="shared" si="43"/>
        <v>0</v>
      </c>
      <c r="AB281" s="107"/>
      <c r="AC281" s="107"/>
      <c r="AD281" s="107"/>
      <c r="AE281" s="107"/>
      <c r="AF281" s="107"/>
      <c r="AG281" s="107"/>
      <c r="AH281" s="107"/>
      <c r="AI281" s="107"/>
      <c r="AJ281" s="107"/>
      <c r="AK281" s="107"/>
      <c r="AL281" s="107"/>
      <c r="AM281" s="107"/>
      <c r="AN281" s="107"/>
      <c r="AO281" s="108"/>
      <c r="AP281" s="108"/>
      <c r="AQ281" s="108"/>
      <c r="AR281" s="108"/>
      <c r="AS281" s="108"/>
      <c r="AT281" s="108"/>
      <c r="AU281" s="108"/>
      <c r="AV281" s="108"/>
      <c r="AW281" s="108"/>
      <c r="AX281" s="108"/>
      <c r="AY281" s="108"/>
      <c r="AZ281" s="108"/>
      <c r="BA281" s="108"/>
      <c r="BB281" s="108"/>
    </row>
    <row r="282" spans="1:54" s="109" customFormat="1" ht="12" customHeight="1">
      <c r="A282" s="8">
        <v>401010202</v>
      </c>
      <c r="B282" s="8" t="s">
        <v>875</v>
      </c>
      <c r="C282" s="8"/>
      <c r="D282" s="92">
        <f>+VLOOKUP(A282,Clasificaciones!C:I,5,FALSE)</f>
        <v>-157393914</v>
      </c>
      <c r="E282" s="92">
        <v>0</v>
      </c>
      <c r="F282" s="92">
        <v>0</v>
      </c>
      <c r="G282" s="92">
        <v>0</v>
      </c>
      <c r="H282" s="92">
        <f t="shared" si="45"/>
        <v>-157393914</v>
      </c>
      <c r="I282" s="26">
        <f t="shared" si="46"/>
        <v>157393914</v>
      </c>
      <c r="J282" s="26">
        <v>0</v>
      </c>
      <c r="K282" s="26">
        <v>0</v>
      </c>
      <c r="L282" s="26">
        <v>0</v>
      </c>
      <c r="M282" s="26">
        <v>0</v>
      </c>
      <c r="N282" s="26">
        <v>0</v>
      </c>
      <c r="O282" s="26">
        <v>0</v>
      </c>
      <c r="P282" s="26">
        <v>0</v>
      </c>
      <c r="Q282" s="26">
        <v>0</v>
      </c>
      <c r="R282" s="26">
        <v>0</v>
      </c>
      <c r="S282" s="26">
        <v>0</v>
      </c>
      <c r="T282" s="26">
        <v>0</v>
      </c>
      <c r="U282" s="26">
        <v>0</v>
      </c>
      <c r="V282" s="26">
        <v>0</v>
      </c>
      <c r="W282" s="26">
        <v>0</v>
      </c>
      <c r="X282" s="26">
        <v>0</v>
      </c>
      <c r="Y282" s="26">
        <v>0</v>
      </c>
      <c r="Z282" s="26">
        <v>0</v>
      </c>
      <c r="AA282" s="26">
        <f t="shared" si="43"/>
        <v>0</v>
      </c>
      <c r="AB282" s="107"/>
      <c r="AC282" s="107"/>
      <c r="AD282" s="107"/>
      <c r="AE282" s="107"/>
      <c r="AF282" s="107"/>
      <c r="AG282" s="107"/>
      <c r="AH282" s="107"/>
      <c r="AI282" s="107"/>
      <c r="AJ282" s="107"/>
      <c r="AK282" s="107"/>
      <c r="AL282" s="107"/>
      <c r="AM282" s="107"/>
      <c r="AN282" s="107"/>
      <c r="AO282" s="108"/>
      <c r="AP282" s="108"/>
      <c r="AQ282" s="108"/>
      <c r="AR282" s="108"/>
      <c r="AS282" s="108"/>
      <c r="AT282" s="108"/>
      <c r="AU282" s="108"/>
      <c r="AV282" s="108"/>
      <c r="AW282" s="108"/>
      <c r="AX282" s="108"/>
      <c r="AY282" s="108"/>
      <c r="AZ282" s="108"/>
      <c r="BA282" s="108"/>
      <c r="BB282" s="108"/>
    </row>
    <row r="283" spans="1:54" s="109" customFormat="1" ht="12" customHeight="1">
      <c r="A283" s="8">
        <v>40103</v>
      </c>
      <c r="B283" s="8" t="s">
        <v>877</v>
      </c>
      <c r="C283" s="8"/>
      <c r="D283" s="92">
        <f>+VLOOKUP(A283,Clasificaciones!C:I,5,FALSE)</f>
        <v>0</v>
      </c>
      <c r="E283" s="92">
        <v>0</v>
      </c>
      <c r="F283" s="92">
        <v>0</v>
      </c>
      <c r="G283" s="92">
        <v>0</v>
      </c>
      <c r="H283" s="92">
        <f t="shared" si="45"/>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c r="Z283" s="26">
        <v>0</v>
      </c>
      <c r="AA283" s="26">
        <f t="shared" si="43"/>
        <v>0</v>
      </c>
      <c r="AB283" s="107"/>
      <c r="AC283" s="107"/>
      <c r="AD283" s="107"/>
      <c r="AE283" s="107"/>
      <c r="AF283" s="107"/>
      <c r="AG283" s="107"/>
      <c r="AH283" s="107"/>
      <c r="AI283" s="107"/>
      <c r="AJ283" s="107"/>
      <c r="AK283" s="107"/>
      <c r="AL283" s="107"/>
      <c r="AM283" s="107"/>
      <c r="AN283" s="107"/>
      <c r="AO283" s="108"/>
      <c r="AP283" s="108"/>
      <c r="AQ283" s="108"/>
      <c r="AR283" s="108"/>
      <c r="AS283" s="108"/>
      <c r="AT283" s="108"/>
      <c r="AU283" s="108"/>
      <c r="AV283" s="108"/>
      <c r="AW283" s="108"/>
      <c r="AX283" s="108"/>
      <c r="AY283" s="108"/>
      <c r="AZ283" s="108"/>
      <c r="BA283" s="108"/>
      <c r="BB283" s="108"/>
    </row>
    <row r="284" spans="1:54" s="109" customFormat="1" ht="12" customHeight="1">
      <c r="A284" s="8">
        <v>4010301</v>
      </c>
      <c r="B284" s="8" t="s">
        <v>878</v>
      </c>
      <c r="C284" s="8"/>
      <c r="D284" s="92">
        <f>+VLOOKUP(A284,Clasificaciones!C:I,5,FALSE)</f>
        <v>-500000000</v>
      </c>
      <c r="E284" s="92">
        <v>0</v>
      </c>
      <c r="F284" s="92">
        <v>0</v>
      </c>
      <c r="G284" s="92">
        <v>0</v>
      </c>
      <c r="H284" s="92">
        <f t="shared" si="45"/>
        <v>-500000000</v>
      </c>
      <c r="I284" s="26">
        <f t="shared" si="46"/>
        <v>500000000</v>
      </c>
      <c r="J284" s="26">
        <v>0</v>
      </c>
      <c r="K284" s="26">
        <v>0</v>
      </c>
      <c r="L284" s="26">
        <v>0</v>
      </c>
      <c r="M284" s="26">
        <v>0</v>
      </c>
      <c r="N284" s="26">
        <v>0</v>
      </c>
      <c r="O284" s="26">
        <v>0</v>
      </c>
      <c r="P284" s="26">
        <v>0</v>
      </c>
      <c r="Q284" s="26">
        <v>0</v>
      </c>
      <c r="R284" s="26">
        <v>0</v>
      </c>
      <c r="S284" s="26">
        <v>0</v>
      </c>
      <c r="T284" s="26">
        <v>0</v>
      </c>
      <c r="U284" s="26">
        <v>0</v>
      </c>
      <c r="V284" s="26">
        <v>0</v>
      </c>
      <c r="W284" s="26">
        <v>0</v>
      </c>
      <c r="X284" s="26">
        <v>0</v>
      </c>
      <c r="Y284" s="26">
        <v>0</v>
      </c>
      <c r="Z284" s="26">
        <v>0</v>
      </c>
      <c r="AA284" s="26">
        <f t="shared" si="43"/>
        <v>0</v>
      </c>
      <c r="AB284" s="107"/>
      <c r="AC284" s="107"/>
      <c r="AD284" s="107"/>
      <c r="AE284" s="107"/>
      <c r="AF284" s="107"/>
      <c r="AG284" s="107"/>
      <c r="AH284" s="107"/>
      <c r="AI284" s="107"/>
      <c r="AJ284" s="107"/>
      <c r="AK284" s="107"/>
      <c r="AL284" s="107"/>
      <c r="AM284" s="107"/>
      <c r="AN284" s="107"/>
      <c r="AO284" s="108"/>
      <c r="AP284" s="108"/>
      <c r="AQ284" s="108"/>
      <c r="AR284" s="108"/>
      <c r="AS284" s="108"/>
      <c r="AT284" s="108"/>
      <c r="AU284" s="108"/>
      <c r="AV284" s="108"/>
      <c r="AW284" s="108"/>
      <c r="AX284" s="108"/>
      <c r="AY284" s="108"/>
      <c r="AZ284" s="108"/>
      <c r="BA284" s="108"/>
      <c r="BB284" s="108"/>
    </row>
    <row r="285" spans="1:54" s="109" customFormat="1" ht="12" customHeight="1">
      <c r="A285" s="8">
        <v>4010302</v>
      </c>
      <c r="B285" s="8" t="s">
        <v>878</v>
      </c>
      <c r="C285" s="8"/>
      <c r="D285" s="92">
        <f>+VLOOKUP(A285,Clasificaciones!C:I,5,FALSE)</f>
        <v>-660247725</v>
      </c>
      <c r="E285" s="92">
        <v>0</v>
      </c>
      <c r="F285" s="92">
        <v>0</v>
      </c>
      <c r="G285" s="92">
        <v>0</v>
      </c>
      <c r="H285" s="92">
        <f t="shared" si="45"/>
        <v>-660247725</v>
      </c>
      <c r="I285" s="26">
        <f t="shared" ref="I285" si="47">-H285</f>
        <v>660247725</v>
      </c>
      <c r="J285" s="26">
        <v>0</v>
      </c>
      <c r="K285" s="26">
        <v>0</v>
      </c>
      <c r="L285" s="26">
        <v>0</v>
      </c>
      <c r="M285" s="26">
        <v>0</v>
      </c>
      <c r="N285" s="26">
        <v>0</v>
      </c>
      <c r="O285" s="26">
        <v>0</v>
      </c>
      <c r="P285" s="26">
        <v>0</v>
      </c>
      <c r="Q285" s="26">
        <v>0</v>
      </c>
      <c r="R285" s="26">
        <v>0</v>
      </c>
      <c r="S285" s="26">
        <v>0</v>
      </c>
      <c r="T285" s="26">
        <v>0</v>
      </c>
      <c r="U285" s="26">
        <v>0</v>
      </c>
      <c r="V285" s="26">
        <v>0</v>
      </c>
      <c r="W285" s="26">
        <v>0</v>
      </c>
      <c r="X285" s="26">
        <v>0</v>
      </c>
      <c r="Y285" s="26">
        <v>0</v>
      </c>
      <c r="Z285" s="26">
        <v>0</v>
      </c>
      <c r="AA285" s="26">
        <f t="shared" si="43"/>
        <v>0</v>
      </c>
      <c r="AB285" s="107"/>
      <c r="AC285" s="107"/>
      <c r="AD285" s="107"/>
      <c r="AE285" s="107"/>
      <c r="AF285" s="107"/>
      <c r="AG285" s="107"/>
      <c r="AH285" s="107"/>
      <c r="AI285" s="107"/>
      <c r="AJ285" s="107"/>
      <c r="AK285" s="107"/>
      <c r="AL285" s="107"/>
      <c r="AM285" s="107"/>
      <c r="AN285" s="107"/>
      <c r="AO285" s="108"/>
      <c r="AP285" s="108"/>
      <c r="AQ285" s="108"/>
      <c r="AR285" s="108"/>
      <c r="AS285" s="108"/>
      <c r="AT285" s="108"/>
      <c r="AU285" s="108"/>
      <c r="AV285" s="108"/>
      <c r="AW285" s="108"/>
      <c r="AX285" s="108"/>
      <c r="AY285" s="108"/>
      <c r="AZ285" s="108"/>
      <c r="BA285" s="108"/>
      <c r="BB285" s="108"/>
    </row>
    <row r="286" spans="1:54" s="109" customFormat="1" ht="12" customHeight="1">
      <c r="A286" s="8">
        <v>4010303</v>
      </c>
      <c r="B286" s="8" t="s">
        <v>1443</v>
      </c>
      <c r="C286" s="8"/>
      <c r="D286" s="92">
        <f>+VLOOKUP(A286,Clasificaciones!C:I,5,FALSE)</f>
        <v>-37500000</v>
      </c>
      <c r="E286" s="92">
        <v>0</v>
      </c>
      <c r="F286" s="92">
        <v>0</v>
      </c>
      <c r="G286" s="92">
        <v>0</v>
      </c>
      <c r="H286" s="92">
        <f t="shared" ref="H286" si="48">+D286-G286+E286-F286</f>
        <v>-37500000</v>
      </c>
      <c r="I286" s="26">
        <f t="shared" ref="I286" si="49">-H286</f>
        <v>37500000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c r="Z286" s="26">
        <v>0</v>
      </c>
      <c r="AA286" s="26">
        <f t="shared" si="43"/>
        <v>0</v>
      </c>
      <c r="AB286" s="107"/>
      <c r="AC286" s="107"/>
      <c r="AD286" s="107"/>
      <c r="AE286" s="107"/>
      <c r="AF286" s="107"/>
      <c r="AG286" s="107"/>
      <c r="AH286" s="107"/>
      <c r="AI286" s="107"/>
      <c r="AJ286" s="107"/>
      <c r="AK286" s="107"/>
      <c r="AL286" s="107"/>
      <c r="AM286" s="107"/>
      <c r="AN286" s="107"/>
      <c r="AO286" s="108"/>
      <c r="AP286" s="108"/>
      <c r="AQ286" s="108"/>
      <c r="AR286" s="108"/>
      <c r="AS286" s="108"/>
      <c r="AT286" s="108"/>
      <c r="AU286" s="108"/>
      <c r="AV286" s="108"/>
      <c r="AW286" s="108"/>
      <c r="AX286" s="108"/>
      <c r="AY286" s="108"/>
      <c r="AZ286" s="108"/>
      <c r="BA286" s="108"/>
      <c r="BB286" s="108"/>
    </row>
    <row r="287" spans="1:54" s="109" customFormat="1" ht="12" customHeight="1">
      <c r="A287" s="8">
        <v>402</v>
      </c>
      <c r="B287" s="8" t="s">
        <v>879</v>
      </c>
      <c r="C287" s="8"/>
      <c r="D287" s="92">
        <f>+VLOOKUP(A287,Clasificaciones!C:I,5,FALSE)</f>
        <v>0</v>
      </c>
      <c r="E287" s="92">
        <v>0</v>
      </c>
      <c r="F287" s="92">
        <v>0</v>
      </c>
      <c r="G287" s="92">
        <v>0</v>
      </c>
      <c r="H287" s="92">
        <f t="shared" si="45"/>
        <v>0</v>
      </c>
      <c r="I287" s="26">
        <v>0</v>
      </c>
      <c r="J287" s="26">
        <v>0</v>
      </c>
      <c r="K287" s="26">
        <v>0</v>
      </c>
      <c r="L287" s="26">
        <v>0</v>
      </c>
      <c r="M287" s="26">
        <v>0</v>
      </c>
      <c r="N287" s="26">
        <v>0</v>
      </c>
      <c r="O287" s="26">
        <v>0</v>
      </c>
      <c r="P287" s="26">
        <v>0</v>
      </c>
      <c r="Q287" s="26">
        <v>0</v>
      </c>
      <c r="R287" s="26">
        <v>0</v>
      </c>
      <c r="S287" s="26">
        <v>0</v>
      </c>
      <c r="T287" s="26">
        <v>0</v>
      </c>
      <c r="U287" s="26">
        <v>0</v>
      </c>
      <c r="V287" s="26">
        <v>0</v>
      </c>
      <c r="W287" s="26">
        <v>0</v>
      </c>
      <c r="X287" s="26">
        <v>0</v>
      </c>
      <c r="Y287" s="26">
        <v>0</v>
      </c>
      <c r="Z287" s="26">
        <v>0</v>
      </c>
      <c r="AA287" s="26">
        <f t="shared" si="43"/>
        <v>0</v>
      </c>
      <c r="AB287" s="107"/>
      <c r="AC287" s="107"/>
      <c r="AD287" s="107"/>
      <c r="AE287" s="107"/>
      <c r="AF287" s="107"/>
      <c r="AG287" s="107"/>
      <c r="AH287" s="107"/>
      <c r="AI287" s="107"/>
      <c r="AJ287" s="107"/>
      <c r="AK287" s="107"/>
      <c r="AL287" s="107"/>
      <c r="AM287" s="107"/>
      <c r="AN287" s="107"/>
      <c r="AO287" s="108"/>
      <c r="AP287" s="108"/>
      <c r="AQ287" s="108"/>
      <c r="AR287" s="108"/>
      <c r="AS287" s="108"/>
      <c r="AT287" s="108"/>
      <c r="AU287" s="108"/>
      <c r="AV287" s="108"/>
      <c r="AW287" s="108"/>
      <c r="AX287" s="108"/>
      <c r="AY287" s="108"/>
      <c r="AZ287" s="108"/>
      <c r="BA287" s="108"/>
      <c r="BB287" s="108"/>
    </row>
    <row r="288" spans="1:54" s="109" customFormat="1" ht="12" customHeight="1">
      <c r="A288" s="8">
        <v>40202</v>
      </c>
      <c r="B288" s="8" t="s">
        <v>1171</v>
      </c>
      <c r="C288" s="8"/>
      <c r="D288" s="92">
        <f>+VLOOKUP(A288,Clasificaciones!C:I,5,FALSE)</f>
        <v>-636364</v>
      </c>
      <c r="E288" s="92">
        <v>0</v>
      </c>
      <c r="F288" s="92">
        <v>0</v>
      </c>
      <c r="G288" s="92">
        <v>0</v>
      </c>
      <c r="H288" s="92">
        <f t="shared" si="45"/>
        <v>-636364</v>
      </c>
      <c r="I288" s="26">
        <f t="shared" si="46"/>
        <v>636364</v>
      </c>
      <c r="J288" s="26">
        <v>0</v>
      </c>
      <c r="K288" s="26">
        <v>0</v>
      </c>
      <c r="L288" s="26">
        <v>0</v>
      </c>
      <c r="M288" s="26">
        <v>0</v>
      </c>
      <c r="N288" s="26">
        <v>0</v>
      </c>
      <c r="O288" s="26">
        <v>0</v>
      </c>
      <c r="P288" s="26">
        <v>0</v>
      </c>
      <c r="Q288" s="26">
        <v>0</v>
      </c>
      <c r="R288" s="26">
        <v>0</v>
      </c>
      <c r="S288" s="26">
        <v>0</v>
      </c>
      <c r="T288" s="26">
        <v>0</v>
      </c>
      <c r="U288" s="26">
        <v>0</v>
      </c>
      <c r="V288" s="26">
        <v>0</v>
      </c>
      <c r="W288" s="26">
        <v>0</v>
      </c>
      <c r="X288" s="26">
        <v>0</v>
      </c>
      <c r="Y288" s="26">
        <v>0</v>
      </c>
      <c r="Z288" s="26">
        <v>0</v>
      </c>
      <c r="AA288" s="26">
        <f t="shared" si="43"/>
        <v>0</v>
      </c>
      <c r="AB288" s="107"/>
      <c r="AC288" s="107"/>
      <c r="AD288" s="107"/>
      <c r="AE288" s="107"/>
      <c r="AF288" s="107"/>
      <c r="AG288" s="107"/>
      <c r="AH288" s="107"/>
      <c r="AI288" s="107"/>
      <c r="AJ288" s="107"/>
      <c r="AK288" s="107"/>
      <c r="AL288" s="107"/>
      <c r="AM288" s="107"/>
      <c r="AN288" s="107"/>
      <c r="AO288" s="108"/>
      <c r="AP288" s="108"/>
      <c r="AQ288" s="108"/>
      <c r="AR288" s="108"/>
      <c r="AS288" s="108"/>
      <c r="AT288" s="108"/>
      <c r="AU288" s="108"/>
      <c r="AV288" s="108"/>
      <c r="AW288" s="108"/>
      <c r="AX288" s="108"/>
      <c r="AY288" s="108"/>
      <c r="AZ288" s="108"/>
      <c r="BA288" s="108"/>
      <c r="BB288" s="108"/>
    </row>
    <row r="289" spans="1:54" s="109" customFormat="1" ht="12" customHeight="1">
      <c r="A289" s="8">
        <v>40203</v>
      </c>
      <c r="B289" s="8" t="s">
        <v>880</v>
      </c>
      <c r="C289" s="8"/>
      <c r="D289" s="92">
        <f>+VLOOKUP(A289,Clasificaciones!C:I,5,FALSE)</f>
        <v>0</v>
      </c>
      <c r="E289" s="92">
        <v>0</v>
      </c>
      <c r="F289" s="92">
        <v>0</v>
      </c>
      <c r="G289" s="92">
        <v>0</v>
      </c>
      <c r="H289" s="92">
        <f t="shared" si="45"/>
        <v>0</v>
      </c>
      <c r="I289" s="26">
        <v>0</v>
      </c>
      <c r="J289" s="26">
        <v>0</v>
      </c>
      <c r="K289" s="26">
        <v>0</v>
      </c>
      <c r="L289" s="26">
        <v>0</v>
      </c>
      <c r="M289" s="26">
        <v>0</v>
      </c>
      <c r="N289" s="26">
        <v>0</v>
      </c>
      <c r="O289" s="26">
        <v>0</v>
      </c>
      <c r="P289" s="26">
        <v>0</v>
      </c>
      <c r="Q289" s="26">
        <v>0</v>
      </c>
      <c r="R289" s="26">
        <v>0</v>
      </c>
      <c r="S289" s="26">
        <v>0</v>
      </c>
      <c r="T289" s="26">
        <v>0</v>
      </c>
      <c r="U289" s="26">
        <v>0</v>
      </c>
      <c r="V289" s="26">
        <v>0</v>
      </c>
      <c r="W289" s="26">
        <v>0</v>
      </c>
      <c r="X289" s="26">
        <v>0</v>
      </c>
      <c r="Y289" s="26">
        <v>0</v>
      </c>
      <c r="Z289" s="26">
        <v>0</v>
      </c>
      <c r="AA289" s="26">
        <f t="shared" si="43"/>
        <v>0</v>
      </c>
      <c r="AB289" s="107"/>
      <c r="AC289" s="107"/>
      <c r="AD289" s="107"/>
      <c r="AE289" s="107"/>
      <c r="AF289" s="107"/>
      <c r="AG289" s="107"/>
      <c r="AH289" s="107"/>
      <c r="AI289" s="107"/>
      <c r="AJ289" s="107"/>
      <c r="AK289" s="107"/>
      <c r="AL289" s="107"/>
      <c r="AM289" s="107"/>
      <c r="AN289" s="107"/>
      <c r="AO289" s="108"/>
      <c r="AP289" s="108"/>
      <c r="AQ289" s="108"/>
      <c r="AR289" s="108"/>
      <c r="AS289" s="108"/>
      <c r="AT289" s="108"/>
      <c r="AU289" s="108"/>
      <c r="AV289" s="108"/>
      <c r="AW289" s="108"/>
      <c r="AX289" s="108"/>
      <c r="AY289" s="108"/>
      <c r="AZ289" s="108"/>
      <c r="BA289" s="108"/>
      <c r="BB289" s="108"/>
    </row>
    <row r="290" spans="1:54" s="109" customFormat="1" ht="12" customHeight="1">
      <c r="A290" s="8">
        <v>4020302</v>
      </c>
      <c r="B290" s="8" t="s">
        <v>881</v>
      </c>
      <c r="C290" s="8"/>
      <c r="D290" s="92">
        <f>+VLOOKUP(A290,Clasificaciones!C:I,5,FALSE)</f>
        <v>-406619130</v>
      </c>
      <c r="E290" s="92">
        <v>0</v>
      </c>
      <c r="F290" s="92">
        <v>0</v>
      </c>
      <c r="G290" s="92">
        <v>0</v>
      </c>
      <c r="H290" s="92">
        <f t="shared" si="45"/>
        <v>-406619130</v>
      </c>
      <c r="I290" s="26">
        <f>-H290</f>
        <v>406619130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c r="Z290" s="26">
        <v>0</v>
      </c>
      <c r="AA290" s="26">
        <f t="shared" si="43"/>
        <v>0</v>
      </c>
      <c r="AB290" s="107"/>
      <c r="AC290" s="107"/>
      <c r="AD290" s="107"/>
      <c r="AE290" s="107"/>
      <c r="AF290" s="107"/>
      <c r="AG290" s="107"/>
      <c r="AH290" s="107"/>
      <c r="AI290" s="107"/>
      <c r="AJ290" s="107"/>
      <c r="AK290" s="107"/>
      <c r="AL290" s="107"/>
      <c r="AM290" s="107"/>
      <c r="AN290" s="107"/>
      <c r="AO290" s="108"/>
      <c r="AP290" s="108"/>
      <c r="AQ290" s="108"/>
      <c r="AR290" s="108"/>
      <c r="AS290" s="108"/>
      <c r="AT290" s="108"/>
      <c r="AU290" s="108"/>
      <c r="AV290" s="108"/>
      <c r="AW290" s="108"/>
      <c r="AX290" s="108"/>
      <c r="AY290" s="108"/>
      <c r="AZ290" s="108"/>
      <c r="BA290" s="108"/>
      <c r="BB290" s="108"/>
    </row>
    <row r="291" spans="1:54" s="109" customFormat="1" ht="12" customHeight="1">
      <c r="A291" s="8">
        <v>403</v>
      </c>
      <c r="B291" s="8" t="s">
        <v>882</v>
      </c>
      <c r="C291" s="8"/>
      <c r="D291" s="92">
        <f>+VLOOKUP(A291,Clasificaciones!C:I,5,FALSE)</f>
        <v>0</v>
      </c>
      <c r="E291" s="92">
        <v>0</v>
      </c>
      <c r="F291" s="92">
        <v>0</v>
      </c>
      <c r="G291" s="92">
        <v>0</v>
      </c>
      <c r="H291" s="92">
        <f t="shared" si="45"/>
        <v>0</v>
      </c>
      <c r="I291" s="26">
        <v>0</v>
      </c>
      <c r="J291" s="26">
        <v>0</v>
      </c>
      <c r="K291" s="26">
        <v>0</v>
      </c>
      <c r="L291" s="26">
        <v>0</v>
      </c>
      <c r="M291" s="26">
        <v>0</v>
      </c>
      <c r="N291" s="26">
        <v>0</v>
      </c>
      <c r="O291" s="26">
        <v>0</v>
      </c>
      <c r="P291" s="26">
        <v>0</v>
      </c>
      <c r="Q291" s="26">
        <v>0</v>
      </c>
      <c r="R291" s="26">
        <v>0</v>
      </c>
      <c r="S291" s="26">
        <v>0</v>
      </c>
      <c r="T291" s="26">
        <v>0</v>
      </c>
      <c r="U291" s="26">
        <v>0</v>
      </c>
      <c r="V291" s="26">
        <v>0</v>
      </c>
      <c r="W291" s="26">
        <v>0</v>
      </c>
      <c r="X291" s="26">
        <v>0</v>
      </c>
      <c r="Y291" s="26">
        <v>0</v>
      </c>
      <c r="Z291" s="26">
        <v>0</v>
      </c>
      <c r="AA291" s="26">
        <f t="shared" si="43"/>
        <v>0</v>
      </c>
      <c r="AB291" s="107"/>
      <c r="AC291" s="107"/>
      <c r="AD291" s="107"/>
      <c r="AE291" s="107"/>
      <c r="AF291" s="107"/>
      <c r="AG291" s="107"/>
      <c r="AH291" s="107"/>
      <c r="AI291" s="107"/>
      <c r="AJ291" s="107"/>
      <c r="AK291" s="107"/>
      <c r="AL291" s="107"/>
      <c r="AM291" s="107"/>
      <c r="AN291" s="107"/>
      <c r="AO291" s="108"/>
      <c r="AP291" s="108"/>
      <c r="AQ291" s="108"/>
      <c r="AR291" s="108"/>
      <c r="AS291" s="108"/>
      <c r="AT291" s="108"/>
      <c r="AU291" s="108"/>
      <c r="AV291" s="108"/>
      <c r="AW291" s="108"/>
      <c r="AX291" s="108"/>
      <c r="AY291" s="108"/>
      <c r="AZ291" s="108"/>
      <c r="BA291" s="108"/>
      <c r="BB291" s="108"/>
    </row>
    <row r="292" spans="1:54" s="109" customFormat="1" ht="12" customHeight="1">
      <c r="A292" s="8">
        <v>40301</v>
      </c>
      <c r="B292" s="8" t="s">
        <v>883</v>
      </c>
      <c r="C292" s="8"/>
      <c r="D292" s="92">
        <f>+VLOOKUP(A292,Clasificaciones!C:I,5,FALSE)</f>
        <v>0</v>
      </c>
      <c r="E292" s="92">
        <v>0</v>
      </c>
      <c r="F292" s="92">
        <v>0</v>
      </c>
      <c r="G292" s="92">
        <v>0</v>
      </c>
      <c r="H292" s="92">
        <f t="shared" si="45"/>
        <v>0</v>
      </c>
      <c r="I292" s="26">
        <v>0</v>
      </c>
      <c r="J292" s="26">
        <v>0</v>
      </c>
      <c r="K292" s="26">
        <v>0</v>
      </c>
      <c r="L292" s="26">
        <v>0</v>
      </c>
      <c r="M292" s="26">
        <v>0</v>
      </c>
      <c r="N292" s="26">
        <v>0</v>
      </c>
      <c r="O292" s="26">
        <v>0</v>
      </c>
      <c r="P292" s="26">
        <v>0</v>
      </c>
      <c r="Q292" s="26">
        <v>0</v>
      </c>
      <c r="R292" s="26">
        <v>0</v>
      </c>
      <c r="S292" s="26">
        <v>0</v>
      </c>
      <c r="T292" s="26">
        <v>0</v>
      </c>
      <c r="U292" s="26">
        <v>0</v>
      </c>
      <c r="V292" s="26">
        <v>0</v>
      </c>
      <c r="W292" s="26">
        <v>0</v>
      </c>
      <c r="X292" s="26">
        <v>0</v>
      </c>
      <c r="Y292" s="26">
        <v>0</v>
      </c>
      <c r="Z292" s="26">
        <v>0</v>
      </c>
      <c r="AA292" s="26">
        <f t="shared" si="43"/>
        <v>0</v>
      </c>
      <c r="AB292" s="107"/>
      <c r="AC292" s="107"/>
      <c r="AD292" s="107"/>
      <c r="AE292" s="107"/>
      <c r="AF292" s="107"/>
      <c r="AG292" s="107"/>
      <c r="AH292" s="107"/>
      <c r="AI292" s="107"/>
      <c r="AJ292" s="107"/>
      <c r="AK292" s="107"/>
      <c r="AL292" s="107"/>
      <c r="AM292" s="107"/>
      <c r="AN292" s="107"/>
      <c r="AO292" s="108"/>
      <c r="AP292" s="108"/>
      <c r="AQ292" s="108"/>
      <c r="AR292" s="108"/>
      <c r="AS292" s="108"/>
      <c r="AT292" s="108"/>
      <c r="AU292" s="108"/>
      <c r="AV292" s="108"/>
      <c r="AW292" s="108"/>
      <c r="AX292" s="108"/>
      <c r="AY292" s="108"/>
      <c r="AZ292" s="108"/>
      <c r="BA292" s="108"/>
      <c r="BB292" s="108"/>
    </row>
    <row r="293" spans="1:54" s="109" customFormat="1" ht="12" customHeight="1">
      <c r="A293" s="8">
        <v>4030101</v>
      </c>
      <c r="B293" s="8" t="s">
        <v>883</v>
      </c>
      <c r="C293" s="8"/>
      <c r="D293" s="92">
        <f>+VLOOKUP(A293,Clasificaciones!C:I,5,FALSE)</f>
        <v>0</v>
      </c>
      <c r="E293" s="92">
        <v>0</v>
      </c>
      <c r="F293" s="92">
        <v>0</v>
      </c>
      <c r="G293" s="92">
        <v>0</v>
      </c>
      <c r="H293" s="92">
        <f t="shared" si="45"/>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c r="Z293" s="26">
        <v>0</v>
      </c>
      <c r="AA293" s="26">
        <f t="shared" si="43"/>
        <v>0</v>
      </c>
      <c r="AB293" s="107"/>
      <c r="AC293" s="107"/>
      <c r="AD293" s="107"/>
      <c r="AE293" s="107"/>
      <c r="AF293" s="107"/>
      <c r="AG293" s="107"/>
      <c r="AH293" s="107"/>
      <c r="AI293" s="107"/>
      <c r="AJ293" s="107"/>
      <c r="AK293" s="107"/>
      <c r="AL293" s="107"/>
      <c r="AM293" s="107"/>
      <c r="AN293" s="107"/>
      <c r="AO293" s="108"/>
      <c r="AP293" s="108"/>
      <c r="AQ293" s="108"/>
      <c r="AR293" s="108"/>
      <c r="AS293" s="108"/>
      <c r="AT293" s="108"/>
      <c r="AU293" s="108"/>
      <c r="AV293" s="108"/>
      <c r="AW293" s="108"/>
      <c r="AX293" s="108"/>
      <c r="AY293" s="108"/>
      <c r="AZ293" s="108"/>
      <c r="BA293" s="108"/>
      <c r="BB293" s="108"/>
    </row>
    <row r="294" spans="1:54" s="109" customFormat="1" ht="12" customHeight="1">
      <c r="A294" s="8">
        <v>403010101</v>
      </c>
      <c r="B294" s="8" t="s">
        <v>884</v>
      </c>
      <c r="C294" s="8"/>
      <c r="D294" s="92">
        <f>+VLOOKUP(A294,Clasificaciones!C:I,5,FALSE)</f>
        <v>-527403157</v>
      </c>
      <c r="E294" s="92">
        <v>0</v>
      </c>
      <c r="F294" s="92">
        <v>0</v>
      </c>
      <c r="G294" s="92">
        <v>0</v>
      </c>
      <c r="H294" s="92">
        <f t="shared" si="45"/>
        <v>-527403157</v>
      </c>
      <c r="I294" s="26">
        <v>0</v>
      </c>
      <c r="J294" s="26">
        <v>0</v>
      </c>
      <c r="K294" s="26">
        <v>0</v>
      </c>
      <c r="L294" s="26">
        <v>0</v>
      </c>
      <c r="M294" s="26">
        <v>0</v>
      </c>
      <c r="N294" s="26">
        <v>0</v>
      </c>
      <c r="O294" s="26">
        <v>0</v>
      </c>
      <c r="P294" s="26">
        <v>0</v>
      </c>
      <c r="Q294" s="26">
        <v>0</v>
      </c>
      <c r="R294" s="26">
        <v>0</v>
      </c>
      <c r="S294" s="26">
        <v>0</v>
      </c>
      <c r="T294" s="26">
        <f>-H294</f>
        <v>527403157</v>
      </c>
      <c r="U294" s="26">
        <v>0</v>
      </c>
      <c r="V294" s="26">
        <v>0</v>
      </c>
      <c r="W294" s="26">
        <v>0</v>
      </c>
      <c r="X294" s="26">
        <v>0</v>
      </c>
      <c r="Y294" s="26">
        <v>0</v>
      </c>
      <c r="Z294" s="26">
        <v>0</v>
      </c>
      <c r="AA294" s="26">
        <f t="shared" si="43"/>
        <v>0</v>
      </c>
      <c r="AB294" s="107"/>
      <c r="AC294" s="107"/>
      <c r="AD294" s="107"/>
      <c r="AE294" s="107"/>
      <c r="AF294" s="107"/>
      <c r="AG294" s="107"/>
      <c r="AH294" s="107"/>
      <c r="AI294" s="107"/>
      <c r="AJ294" s="107"/>
      <c r="AK294" s="107"/>
      <c r="AL294" s="107"/>
      <c r="AM294" s="107"/>
      <c r="AN294" s="107"/>
      <c r="AO294" s="108"/>
      <c r="AP294" s="108"/>
      <c r="AQ294" s="108"/>
      <c r="AR294" s="108"/>
      <c r="AS294" s="108"/>
      <c r="AT294" s="108"/>
      <c r="AU294" s="108"/>
      <c r="AV294" s="108"/>
      <c r="AW294" s="108"/>
      <c r="AX294" s="108"/>
      <c r="AY294" s="108"/>
      <c r="AZ294" s="108"/>
      <c r="BA294" s="108"/>
      <c r="BB294" s="108"/>
    </row>
    <row r="295" spans="1:54" s="109" customFormat="1" ht="12" customHeight="1">
      <c r="A295" s="8">
        <v>403010103</v>
      </c>
      <c r="B295" s="8" t="s">
        <v>885</v>
      </c>
      <c r="C295" s="8"/>
      <c r="D295" s="92">
        <f>+VLOOKUP(A295,Clasificaciones!C:I,5,FALSE)</f>
        <v>-31332712</v>
      </c>
      <c r="E295" s="92">
        <v>0</v>
      </c>
      <c r="F295" s="92">
        <v>0</v>
      </c>
      <c r="G295" s="92">
        <v>0</v>
      </c>
      <c r="H295" s="92">
        <f t="shared" si="45"/>
        <v>-31332712</v>
      </c>
      <c r="I295" s="26">
        <v>0</v>
      </c>
      <c r="J295" s="26">
        <v>0</v>
      </c>
      <c r="K295" s="26">
        <v>0</v>
      </c>
      <c r="L295" s="26">
        <v>0</v>
      </c>
      <c r="M295" s="26">
        <v>0</v>
      </c>
      <c r="N295" s="26">
        <v>0</v>
      </c>
      <c r="O295" s="26">
        <v>0</v>
      </c>
      <c r="P295" s="26">
        <v>0</v>
      </c>
      <c r="Q295" s="26">
        <v>0</v>
      </c>
      <c r="R295" s="26">
        <v>0</v>
      </c>
      <c r="S295" s="26">
        <v>0</v>
      </c>
      <c r="T295" s="26">
        <f t="shared" ref="T295:T306" si="50">-H295</f>
        <v>31332712</v>
      </c>
      <c r="U295" s="26">
        <v>0</v>
      </c>
      <c r="V295" s="26">
        <v>0</v>
      </c>
      <c r="W295" s="26">
        <v>0</v>
      </c>
      <c r="X295" s="26">
        <v>0</v>
      </c>
      <c r="Y295" s="26">
        <v>0</v>
      </c>
      <c r="Z295" s="26">
        <v>0</v>
      </c>
      <c r="AA295" s="26">
        <f t="shared" si="43"/>
        <v>0</v>
      </c>
      <c r="AB295" s="107"/>
      <c r="AC295" s="107"/>
      <c r="AD295" s="107"/>
      <c r="AE295" s="107"/>
      <c r="AF295" s="107"/>
      <c r="AG295" s="107"/>
      <c r="AH295" s="107"/>
      <c r="AI295" s="107"/>
      <c r="AJ295" s="107"/>
      <c r="AK295" s="107"/>
      <c r="AL295" s="107"/>
      <c r="AM295" s="107"/>
      <c r="AN295" s="107"/>
      <c r="AO295" s="108"/>
      <c r="AP295" s="108"/>
      <c r="AQ295" s="108"/>
      <c r="AR295" s="108"/>
      <c r="AS295" s="108"/>
      <c r="AT295" s="108"/>
      <c r="AU295" s="108"/>
      <c r="AV295" s="108"/>
      <c r="AW295" s="108"/>
      <c r="AX295" s="108"/>
      <c r="AY295" s="108"/>
      <c r="AZ295" s="108"/>
      <c r="BA295" s="108"/>
      <c r="BB295" s="108"/>
    </row>
    <row r="296" spans="1:54" s="106" customFormat="1" ht="12" customHeight="1">
      <c r="A296" s="8">
        <v>403010104</v>
      </c>
      <c r="B296" s="8" t="s">
        <v>886</v>
      </c>
      <c r="C296" s="8"/>
      <c r="D296" s="92">
        <f>+VLOOKUP(A296,Clasificaciones!C:I,5,FALSE)</f>
        <v>-27130882</v>
      </c>
      <c r="E296" s="92">
        <v>0</v>
      </c>
      <c r="F296" s="92">
        <v>0</v>
      </c>
      <c r="G296" s="92">
        <v>0</v>
      </c>
      <c r="H296" s="92">
        <f t="shared" si="45"/>
        <v>-27130882</v>
      </c>
      <c r="I296" s="26">
        <v>0</v>
      </c>
      <c r="J296" s="26">
        <v>0</v>
      </c>
      <c r="K296" s="26">
        <v>0</v>
      </c>
      <c r="L296" s="26">
        <v>0</v>
      </c>
      <c r="M296" s="26">
        <v>0</v>
      </c>
      <c r="N296" s="26">
        <v>0</v>
      </c>
      <c r="O296" s="26">
        <v>0</v>
      </c>
      <c r="P296" s="26">
        <v>0</v>
      </c>
      <c r="Q296" s="26">
        <v>0</v>
      </c>
      <c r="R296" s="26">
        <v>0</v>
      </c>
      <c r="S296" s="26">
        <v>0</v>
      </c>
      <c r="T296" s="26">
        <f t="shared" si="50"/>
        <v>27130882</v>
      </c>
      <c r="U296" s="26">
        <v>0</v>
      </c>
      <c r="V296" s="26">
        <v>0</v>
      </c>
      <c r="W296" s="26">
        <v>0</v>
      </c>
      <c r="X296" s="26">
        <v>0</v>
      </c>
      <c r="Y296" s="26">
        <v>0</v>
      </c>
      <c r="Z296" s="26">
        <v>0</v>
      </c>
      <c r="AA296" s="26">
        <f t="shared" si="43"/>
        <v>0</v>
      </c>
      <c r="AB296" s="110"/>
      <c r="AC296" s="110"/>
      <c r="AD296" s="110"/>
      <c r="AE296" s="110"/>
      <c r="AF296" s="110"/>
      <c r="AG296" s="110"/>
      <c r="AH296" s="110"/>
      <c r="AI296" s="110"/>
      <c r="AJ296" s="110"/>
      <c r="AK296" s="110"/>
      <c r="AL296" s="110"/>
      <c r="AM296" s="110"/>
      <c r="AN296" s="110"/>
      <c r="AO296" s="105"/>
      <c r="AP296" s="105"/>
      <c r="AQ296" s="105"/>
      <c r="AR296" s="105"/>
      <c r="AS296" s="105"/>
      <c r="AT296" s="105"/>
      <c r="AU296" s="105"/>
      <c r="AV296" s="105"/>
      <c r="AW296" s="105"/>
      <c r="AX296" s="105"/>
      <c r="AY296" s="105"/>
      <c r="AZ296" s="105"/>
      <c r="BA296" s="105"/>
      <c r="BB296" s="105"/>
    </row>
    <row r="297" spans="1:54" s="109" customFormat="1" ht="12" customHeight="1">
      <c r="A297" s="8">
        <v>403010105</v>
      </c>
      <c r="B297" s="8" t="s">
        <v>887</v>
      </c>
      <c r="C297" s="8"/>
      <c r="D297" s="92">
        <f>+VLOOKUP(A297,Clasificaciones!C:I,5,FALSE)</f>
        <v>-627968163</v>
      </c>
      <c r="E297" s="92">
        <v>0</v>
      </c>
      <c r="F297" s="92">
        <v>0</v>
      </c>
      <c r="G297" s="92">
        <v>0</v>
      </c>
      <c r="H297" s="92">
        <f t="shared" si="45"/>
        <v>-627968163</v>
      </c>
      <c r="I297" s="26">
        <v>0</v>
      </c>
      <c r="J297" s="26">
        <v>0</v>
      </c>
      <c r="K297" s="26">
        <v>0</v>
      </c>
      <c r="L297" s="26">
        <v>0</v>
      </c>
      <c r="M297" s="26">
        <v>0</v>
      </c>
      <c r="N297" s="26">
        <v>0</v>
      </c>
      <c r="O297" s="26">
        <v>0</v>
      </c>
      <c r="P297" s="26">
        <v>0</v>
      </c>
      <c r="Q297" s="26">
        <v>0</v>
      </c>
      <c r="R297" s="26">
        <v>0</v>
      </c>
      <c r="S297" s="26">
        <v>0</v>
      </c>
      <c r="T297" s="26">
        <f t="shared" si="50"/>
        <v>627968163</v>
      </c>
      <c r="U297" s="26">
        <v>0</v>
      </c>
      <c r="V297" s="26">
        <v>0</v>
      </c>
      <c r="W297" s="26">
        <v>0</v>
      </c>
      <c r="X297" s="26">
        <v>0</v>
      </c>
      <c r="Y297" s="26">
        <v>0</v>
      </c>
      <c r="Z297" s="26">
        <v>0</v>
      </c>
      <c r="AA297" s="26">
        <f t="shared" si="43"/>
        <v>0</v>
      </c>
      <c r="AB297" s="107"/>
      <c r="AC297" s="107"/>
      <c r="AD297" s="107"/>
      <c r="AE297" s="107"/>
      <c r="AF297" s="107"/>
      <c r="AG297" s="107"/>
      <c r="AH297" s="107"/>
      <c r="AI297" s="107"/>
      <c r="AJ297" s="107"/>
      <c r="AK297" s="107"/>
      <c r="AL297" s="107"/>
      <c r="AM297" s="107"/>
      <c r="AN297" s="107"/>
      <c r="AO297" s="108"/>
      <c r="AP297" s="108"/>
      <c r="AQ297" s="108"/>
      <c r="AR297" s="108"/>
      <c r="AS297" s="108"/>
      <c r="AT297" s="108"/>
      <c r="AU297" s="108"/>
      <c r="AV297" s="108"/>
      <c r="AW297" s="108"/>
      <c r="AX297" s="108"/>
      <c r="AY297" s="108"/>
      <c r="AZ297" s="108"/>
      <c r="BA297" s="108"/>
      <c r="BB297" s="108"/>
    </row>
    <row r="298" spans="1:54" s="109" customFormat="1" ht="12" customHeight="1">
      <c r="A298" s="8">
        <v>403010106</v>
      </c>
      <c r="B298" s="8" t="s">
        <v>773</v>
      </c>
      <c r="C298" s="8"/>
      <c r="D298" s="92">
        <f>+VLOOKUP(A298,Clasificaciones!C:I,5,FALSE)</f>
        <v>-192561482</v>
      </c>
      <c r="E298" s="92">
        <v>0</v>
      </c>
      <c r="F298" s="92">
        <v>0</v>
      </c>
      <c r="G298" s="92">
        <v>0</v>
      </c>
      <c r="H298" s="92">
        <f t="shared" si="45"/>
        <v>-192561482</v>
      </c>
      <c r="I298" s="26">
        <v>0</v>
      </c>
      <c r="J298" s="26">
        <v>0</v>
      </c>
      <c r="K298" s="26">
        <v>0</v>
      </c>
      <c r="L298" s="26">
        <v>0</v>
      </c>
      <c r="M298" s="26">
        <v>0</v>
      </c>
      <c r="N298" s="26">
        <v>0</v>
      </c>
      <c r="O298" s="26">
        <v>0</v>
      </c>
      <c r="P298" s="26">
        <v>0</v>
      </c>
      <c r="Q298" s="26">
        <v>0</v>
      </c>
      <c r="R298" s="26">
        <v>0</v>
      </c>
      <c r="S298" s="26">
        <v>0</v>
      </c>
      <c r="T298" s="26">
        <f t="shared" si="50"/>
        <v>192561482</v>
      </c>
      <c r="U298" s="26">
        <v>0</v>
      </c>
      <c r="V298" s="26">
        <v>0</v>
      </c>
      <c r="W298" s="26">
        <v>0</v>
      </c>
      <c r="X298" s="26">
        <v>0</v>
      </c>
      <c r="Y298" s="26">
        <v>0</v>
      </c>
      <c r="Z298" s="26">
        <v>0</v>
      </c>
      <c r="AA298" s="26">
        <f t="shared" si="43"/>
        <v>0</v>
      </c>
      <c r="AB298" s="107"/>
      <c r="AC298" s="107"/>
      <c r="AD298" s="107"/>
      <c r="AE298" s="107"/>
      <c r="AF298" s="107"/>
      <c r="AG298" s="107"/>
      <c r="AH298" s="107"/>
      <c r="AI298" s="107"/>
      <c r="AJ298" s="107"/>
      <c r="AK298" s="107"/>
      <c r="AL298" s="107"/>
      <c r="AM298" s="107"/>
      <c r="AN298" s="107"/>
      <c r="AO298" s="108"/>
      <c r="AP298" s="108"/>
      <c r="AQ298" s="108"/>
      <c r="AR298" s="108"/>
      <c r="AS298" s="108"/>
      <c r="AT298" s="108"/>
      <c r="AU298" s="108"/>
      <c r="AV298" s="108"/>
      <c r="AW298" s="108"/>
      <c r="AX298" s="108"/>
      <c r="AY298" s="108"/>
      <c r="AZ298" s="108"/>
      <c r="BA298" s="108"/>
      <c r="BB298" s="108"/>
    </row>
    <row r="299" spans="1:54" s="109" customFormat="1" ht="12" customHeight="1">
      <c r="A299" s="8">
        <v>403010107</v>
      </c>
      <c r="B299" s="8" t="s">
        <v>888</v>
      </c>
      <c r="C299" s="8"/>
      <c r="D299" s="92">
        <f>+VLOOKUP(A299,Clasificaciones!C:I,5,FALSE)</f>
        <v>-923827093</v>
      </c>
      <c r="E299" s="92">
        <v>0</v>
      </c>
      <c r="F299" s="92">
        <v>0</v>
      </c>
      <c r="G299" s="92">
        <v>0</v>
      </c>
      <c r="H299" s="92">
        <f t="shared" si="45"/>
        <v>-923827093</v>
      </c>
      <c r="I299" s="26">
        <v>0</v>
      </c>
      <c r="J299" s="26">
        <v>0</v>
      </c>
      <c r="K299" s="26">
        <v>0</v>
      </c>
      <c r="L299" s="26">
        <v>0</v>
      </c>
      <c r="M299" s="26">
        <v>0</v>
      </c>
      <c r="N299" s="26">
        <v>0</v>
      </c>
      <c r="O299" s="26">
        <v>0</v>
      </c>
      <c r="P299" s="26">
        <v>0</v>
      </c>
      <c r="Q299" s="26">
        <v>0</v>
      </c>
      <c r="R299" s="26">
        <v>0</v>
      </c>
      <c r="S299" s="26">
        <v>0</v>
      </c>
      <c r="T299" s="26">
        <f t="shared" si="50"/>
        <v>923827093</v>
      </c>
      <c r="U299" s="26">
        <v>0</v>
      </c>
      <c r="V299" s="26">
        <v>0</v>
      </c>
      <c r="W299" s="26">
        <v>0</v>
      </c>
      <c r="X299" s="26">
        <v>0</v>
      </c>
      <c r="Y299" s="26">
        <v>0</v>
      </c>
      <c r="Z299" s="26">
        <v>0</v>
      </c>
      <c r="AA299" s="26">
        <f t="shared" si="43"/>
        <v>0</v>
      </c>
      <c r="AB299" s="107"/>
      <c r="AC299" s="107"/>
      <c r="AD299" s="107"/>
      <c r="AE299" s="107"/>
      <c r="AF299" s="107"/>
      <c r="AG299" s="107"/>
      <c r="AH299" s="107"/>
      <c r="AI299" s="107"/>
      <c r="AJ299" s="107"/>
      <c r="AK299" s="107"/>
      <c r="AL299" s="107"/>
      <c r="AM299" s="107"/>
      <c r="AN299" s="107"/>
      <c r="AO299" s="108"/>
      <c r="AP299" s="108"/>
      <c r="AQ299" s="108"/>
      <c r="AR299" s="108"/>
      <c r="AS299" s="108"/>
      <c r="AT299" s="108"/>
      <c r="AU299" s="108"/>
      <c r="AV299" s="108"/>
      <c r="AW299" s="108"/>
      <c r="AX299" s="108"/>
      <c r="AY299" s="108"/>
      <c r="AZ299" s="108"/>
      <c r="BA299" s="108"/>
      <c r="BB299" s="108"/>
    </row>
    <row r="300" spans="1:54" s="109" customFormat="1" ht="12" customHeight="1">
      <c r="A300" s="8">
        <v>403010108</v>
      </c>
      <c r="B300" s="8" t="s">
        <v>889</v>
      </c>
      <c r="C300" s="8"/>
      <c r="D300" s="92">
        <f>+VLOOKUP(A300,Clasificaciones!C:I,5,FALSE)</f>
        <v>-2986304</v>
      </c>
      <c r="E300" s="92">
        <v>0</v>
      </c>
      <c r="F300" s="92">
        <v>0</v>
      </c>
      <c r="G300" s="92">
        <v>0</v>
      </c>
      <c r="H300" s="92">
        <f t="shared" si="45"/>
        <v>-2986304</v>
      </c>
      <c r="I300" s="26">
        <v>0</v>
      </c>
      <c r="J300" s="26">
        <v>0</v>
      </c>
      <c r="K300" s="26">
        <v>0</v>
      </c>
      <c r="L300" s="26">
        <v>0</v>
      </c>
      <c r="M300" s="26">
        <v>0</v>
      </c>
      <c r="N300" s="26">
        <v>0</v>
      </c>
      <c r="O300" s="26">
        <v>0</v>
      </c>
      <c r="P300" s="26">
        <v>0</v>
      </c>
      <c r="Q300" s="26">
        <v>0</v>
      </c>
      <c r="R300" s="26">
        <v>0</v>
      </c>
      <c r="S300" s="26">
        <v>0</v>
      </c>
      <c r="T300" s="26">
        <f t="shared" si="50"/>
        <v>2986304</v>
      </c>
      <c r="U300" s="26">
        <v>0</v>
      </c>
      <c r="V300" s="26">
        <v>0</v>
      </c>
      <c r="W300" s="26">
        <v>0</v>
      </c>
      <c r="X300" s="26">
        <v>0</v>
      </c>
      <c r="Y300" s="26">
        <v>0</v>
      </c>
      <c r="Z300" s="26">
        <v>0</v>
      </c>
      <c r="AA300" s="26">
        <f t="shared" si="43"/>
        <v>0</v>
      </c>
      <c r="AB300" s="107"/>
      <c r="AC300" s="107"/>
      <c r="AD300" s="107"/>
      <c r="AE300" s="107"/>
      <c r="AF300" s="107"/>
      <c r="AG300" s="107"/>
      <c r="AH300" s="107"/>
      <c r="AI300" s="107"/>
      <c r="AJ300" s="107"/>
      <c r="AK300" s="107"/>
      <c r="AL300" s="107"/>
      <c r="AM300" s="107"/>
      <c r="AN300" s="107"/>
      <c r="AO300" s="108"/>
      <c r="AP300" s="108"/>
      <c r="AQ300" s="108"/>
      <c r="AR300" s="108"/>
      <c r="AS300" s="108"/>
      <c r="AT300" s="108"/>
      <c r="AU300" s="108"/>
      <c r="AV300" s="108"/>
      <c r="AW300" s="108"/>
      <c r="AX300" s="108"/>
      <c r="AY300" s="108"/>
      <c r="AZ300" s="108"/>
      <c r="BA300" s="108"/>
      <c r="BB300" s="108"/>
    </row>
    <row r="301" spans="1:54" s="109" customFormat="1" ht="12" customHeight="1">
      <c r="A301" s="8">
        <v>403010109</v>
      </c>
      <c r="B301" s="8" t="s">
        <v>890</v>
      </c>
      <c r="C301" s="8"/>
      <c r="D301" s="92">
        <f>+VLOOKUP(A301,Clasificaciones!C:I,5,FALSE)</f>
        <v>-848877</v>
      </c>
      <c r="E301" s="92">
        <v>0</v>
      </c>
      <c r="F301" s="92">
        <v>0</v>
      </c>
      <c r="G301" s="92">
        <v>0</v>
      </c>
      <c r="H301" s="92">
        <f t="shared" si="45"/>
        <v>-848877</v>
      </c>
      <c r="I301" s="26">
        <v>0</v>
      </c>
      <c r="J301" s="26">
        <v>0</v>
      </c>
      <c r="K301" s="26">
        <v>0</v>
      </c>
      <c r="L301" s="26">
        <v>0</v>
      </c>
      <c r="M301" s="26">
        <v>0</v>
      </c>
      <c r="N301" s="26">
        <v>0</v>
      </c>
      <c r="O301" s="26">
        <v>0</v>
      </c>
      <c r="P301" s="26">
        <v>0</v>
      </c>
      <c r="Q301" s="26">
        <v>0</v>
      </c>
      <c r="R301" s="26">
        <v>0</v>
      </c>
      <c r="S301" s="26">
        <v>0</v>
      </c>
      <c r="T301" s="26">
        <f t="shared" si="50"/>
        <v>848877</v>
      </c>
      <c r="U301" s="26">
        <v>0</v>
      </c>
      <c r="V301" s="26">
        <v>0</v>
      </c>
      <c r="W301" s="26">
        <v>0</v>
      </c>
      <c r="X301" s="26">
        <v>0</v>
      </c>
      <c r="Y301" s="26">
        <v>0</v>
      </c>
      <c r="Z301" s="26">
        <v>0</v>
      </c>
      <c r="AA301" s="26">
        <f t="shared" si="43"/>
        <v>0</v>
      </c>
      <c r="AB301" s="107"/>
      <c r="AC301" s="107"/>
      <c r="AD301" s="107"/>
      <c r="AE301" s="107"/>
      <c r="AF301" s="107"/>
      <c r="AG301" s="107"/>
      <c r="AH301" s="107"/>
      <c r="AI301" s="107"/>
      <c r="AJ301" s="107"/>
      <c r="AK301" s="107"/>
      <c r="AL301" s="107"/>
      <c r="AM301" s="107"/>
      <c r="AN301" s="107"/>
      <c r="AO301" s="108"/>
      <c r="AP301" s="108"/>
      <c r="AQ301" s="108"/>
      <c r="AR301" s="108"/>
      <c r="AS301" s="108"/>
      <c r="AT301" s="108"/>
      <c r="AU301" s="108"/>
      <c r="AV301" s="108"/>
      <c r="AW301" s="108"/>
      <c r="AX301" s="108"/>
      <c r="AY301" s="108"/>
      <c r="AZ301" s="108"/>
      <c r="BA301" s="108"/>
      <c r="BB301" s="108"/>
    </row>
    <row r="302" spans="1:54" s="109" customFormat="1" ht="12" customHeight="1">
      <c r="A302" s="8">
        <v>403010114</v>
      </c>
      <c r="B302" s="8" t="s">
        <v>891</v>
      </c>
      <c r="C302" s="8"/>
      <c r="D302" s="92">
        <f>+VLOOKUP(A302,Clasificaciones!C:I,5,FALSE)</f>
        <v>-866853</v>
      </c>
      <c r="E302" s="92">
        <v>0</v>
      </c>
      <c r="F302" s="92">
        <v>0</v>
      </c>
      <c r="G302" s="92">
        <v>0</v>
      </c>
      <c r="H302" s="92">
        <f t="shared" si="45"/>
        <v>-866853</v>
      </c>
      <c r="I302" s="26">
        <v>0</v>
      </c>
      <c r="J302" s="26">
        <v>0</v>
      </c>
      <c r="K302" s="26">
        <v>0</v>
      </c>
      <c r="L302" s="26">
        <v>0</v>
      </c>
      <c r="M302" s="26">
        <v>0</v>
      </c>
      <c r="N302" s="26">
        <v>0</v>
      </c>
      <c r="O302" s="26">
        <v>0</v>
      </c>
      <c r="P302" s="26">
        <v>0</v>
      </c>
      <c r="Q302" s="26">
        <v>0</v>
      </c>
      <c r="R302" s="26">
        <v>0</v>
      </c>
      <c r="S302" s="26">
        <v>0</v>
      </c>
      <c r="T302" s="26">
        <f t="shared" si="50"/>
        <v>866853</v>
      </c>
      <c r="U302" s="26">
        <v>0</v>
      </c>
      <c r="V302" s="26">
        <v>0</v>
      </c>
      <c r="W302" s="26">
        <v>0</v>
      </c>
      <c r="X302" s="26">
        <v>0</v>
      </c>
      <c r="Y302" s="26">
        <v>0</v>
      </c>
      <c r="Z302" s="26">
        <v>0</v>
      </c>
      <c r="AA302" s="26">
        <f t="shared" si="43"/>
        <v>0</v>
      </c>
      <c r="AB302" s="107"/>
      <c r="AC302" s="107"/>
      <c r="AD302" s="107"/>
      <c r="AE302" s="107"/>
      <c r="AF302" s="107"/>
      <c r="AG302" s="107"/>
      <c r="AH302" s="107"/>
      <c r="AI302" s="107"/>
      <c r="AJ302" s="107"/>
      <c r="AK302" s="107"/>
      <c r="AL302" s="107"/>
      <c r="AM302" s="107"/>
      <c r="AN302" s="107"/>
      <c r="AO302" s="108"/>
      <c r="AP302" s="108"/>
      <c r="AQ302" s="108"/>
      <c r="AR302" s="108"/>
      <c r="AS302" s="108"/>
      <c r="AT302" s="108"/>
      <c r="AU302" s="108"/>
      <c r="AV302" s="108"/>
      <c r="AW302" s="108"/>
      <c r="AX302" s="108"/>
      <c r="AY302" s="108"/>
      <c r="AZ302" s="108"/>
      <c r="BA302" s="108"/>
      <c r="BB302" s="108"/>
    </row>
    <row r="303" spans="1:54" s="109" customFormat="1" ht="12" customHeight="1">
      <c r="A303" s="8">
        <v>403010116</v>
      </c>
      <c r="B303" s="8" t="s">
        <v>892</v>
      </c>
      <c r="C303" s="8"/>
      <c r="D303" s="92">
        <f>+VLOOKUP(A303,Clasificaciones!C:I,5,FALSE)</f>
        <v>-22733755</v>
      </c>
      <c r="E303" s="92">
        <v>0</v>
      </c>
      <c r="F303" s="92">
        <v>0</v>
      </c>
      <c r="G303" s="92">
        <v>0</v>
      </c>
      <c r="H303" s="92">
        <f t="shared" si="45"/>
        <v>-22733755</v>
      </c>
      <c r="I303" s="26">
        <v>0</v>
      </c>
      <c r="J303" s="26">
        <v>0</v>
      </c>
      <c r="K303" s="26">
        <v>0</v>
      </c>
      <c r="L303" s="26">
        <v>0</v>
      </c>
      <c r="M303" s="26">
        <v>0</v>
      </c>
      <c r="N303" s="26">
        <v>0</v>
      </c>
      <c r="O303" s="26">
        <v>0</v>
      </c>
      <c r="P303" s="26">
        <v>0</v>
      </c>
      <c r="Q303" s="26">
        <v>0</v>
      </c>
      <c r="R303" s="26">
        <v>0</v>
      </c>
      <c r="S303" s="26">
        <v>0</v>
      </c>
      <c r="T303" s="26">
        <f t="shared" si="50"/>
        <v>22733755</v>
      </c>
      <c r="U303" s="26">
        <v>0</v>
      </c>
      <c r="V303" s="26">
        <v>0</v>
      </c>
      <c r="W303" s="26">
        <v>0</v>
      </c>
      <c r="X303" s="26">
        <v>0</v>
      </c>
      <c r="Y303" s="26">
        <v>0</v>
      </c>
      <c r="Z303" s="26">
        <v>0</v>
      </c>
      <c r="AA303" s="26">
        <f t="shared" si="43"/>
        <v>0</v>
      </c>
      <c r="AB303" s="107"/>
      <c r="AC303" s="107"/>
      <c r="AD303" s="107"/>
      <c r="AE303" s="107"/>
      <c r="AF303" s="107"/>
      <c r="AG303" s="107"/>
      <c r="AH303" s="107"/>
      <c r="AI303" s="107"/>
      <c r="AJ303" s="107"/>
      <c r="AK303" s="107"/>
      <c r="AL303" s="107"/>
      <c r="AM303" s="107"/>
      <c r="AN303" s="107"/>
      <c r="AO303" s="108"/>
      <c r="AP303" s="108"/>
      <c r="AQ303" s="108"/>
      <c r="AR303" s="108"/>
      <c r="AS303" s="108"/>
      <c r="AT303" s="108"/>
      <c r="AU303" s="108"/>
      <c r="AV303" s="108"/>
      <c r="AW303" s="108"/>
      <c r="AX303" s="108"/>
      <c r="AY303" s="108"/>
      <c r="AZ303" s="108"/>
      <c r="BA303" s="108"/>
      <c r="BB303" s="108"/>
    </row>
    <row r="304" spans="1:54" s="109" customFormat="1" ht="12" customHeight="1">
      <c r="A304" s="8">
        <v>403010117</v>
      </c>
      <c r="B304" s="8" t="s">
        <v>893</v>
      </c>
      <c r="C304" s="8"/>
      <c r="D304" s="92">
        <f>+VLOOKUP(A304,Clasificaciones!C:I,5,FALSE)</f>
        <v>-297165671</v>
      </c>
      <c r="E304" s="92">
        <v>0</v>
      </c>
      <c r="F304" s="92">
        <v>0</v>
      </c>
      <c r="G304" s="92">
        <v>0</v>
      </c>
      <c r="H304" s="92">
        <f t="shared" si="45"/>
        <v>-297165671</v>
      </c>
      <c r="I304" s="26">
        <v>0</v>
      </c>
      <c r="J304" s="26">
        <v>0</v>
      </c>
      <c r="K304" s="26">
        <v>0</v>
      </c>
      <c r="L304" s="26">
        <v>0</v>
      </c>
      <c r="M304" s="26">
        <v>0</v>
      </c>
      <c r="N304" s="26">
        <v>0</v>
      </c>
      <c r="O304" s="26">
        <v>0</v>
      </c>
      <c r="P304" s="26">
        <v>0</v>
      </c>
      <c r="Q304" s="26">
        <v>0</v>
      </c>
      <c r="R304" s="26">
        <v>0</v>
      </c>
      <c r="S304" s="26">
        <v>0</v>
      </c>
      <c r="T304" s="26">
        <f t="shared" si="50"/>
        <v>297165671</v>
      </c>
      <c r="U304" s="26">
        <v>0</v>
      </c>
      <c r="V304" s="26">
        <v>0</v>
      </c>
      <c r="W304" s="26">
        <v>0</v>
      </c>
      <c r="X304" s="26">
        <v>0</v>
      </c>
      <c r="Y304" s="26">
        <v>0</v>
      </c>
      <c r="Z304" s="26">
        <v>0</v>
      </c>
      <c r="AA304" s="26">
        <f t="shared" si="43"/>
        <v>0</v>
      </c>
      <c r="AB304" s="107"/>
      <c r="AC304" s="107"/>
      <c r="AD304" s="107"/>
      <c r="AE304" s="107"/>
      <c r="AF304" s="107"/>
      <c r="AG304" s="107"/>
      <c r="AH304" s="107"/>
      <c r="AI304" s="107"/>
      <c r="AJ304" s="107"/>
      <c r="AK304" s="107"/>
      <c r="AL304" s="107"/>
      <c r="AM304" s="107"/>
      <c r="AN304" s="107"/>
      <c r="AO304" s="108"/>
      <c r="AP304" s="108"/>
      <c r="AQ304" s="108"/>
      <c r="AR304" s="108"/>
      <c r="AS304" s="108"/>
      <c r="AT304" s="108"/>
      <c r="AU304" s="108"/>
      <c r="AV304" s="108"/>
      <c r="AW304" s="108"/>
      <c r="AX304" s="108"/>
      <c r="AY304" s="108"/>
      <c r="AZ304" s="108"/>
      <c r="BA304" s="108"/>
      <c r="BB304" s="108"/>
    </row>
    <row r="305" spans="1:54" s="109" customFormat="1" ht="12" customHeight="1">
      <c r="A305" s="8">
        <v>403010118</v>
      </c>
      <c r="B305" s="8" t="s">
        <v>894</v>
      </c>
      <c r="C305" s="8"/>
      <c r="D305" s="92">
        <f>+VLOOKUP(A305,Clasificaciones!C:I,5,FALSE)</f>
        <v>-115351496</v>
      </c>
      <c r="E305" s="92">
        <v>0</v>
      </c>
      <c r="F305" s="92">
        <v>0</v>
      </c>
      <c r="G305" s="92">
        <v>0</v>
      </c>
      <c r="H305" s="92">
        <f t="shared" si="45"/>
        <v>-115351496</v>
      </c>
      <c r="I305" s="26">
        <v>0</v>
      </c>
      <c r="J305" s="26">
        <v>0</v>
      </c>
      <c r="K305" s="26">
        <v>0</v>
      </c>
      <c r="L305" s="26">
        <v>0</v>
      </c>
      <c r="M305" s="26">
        <v>0</v>
      </c>
      <c r="N305" s="26">
        <v>0</v>
      </c>
      <c r="O305" s="26">
        <v>0</v>
      </c>
      <c r="P305" s="26">
        <v>0</v>
      </c>
      <c r="Q305" s="26">
        <v>0</v>
      </c>
      <c r="R305" s="26">
        <v>0</v>
      </c>
      <c r="S305" s="26">
        <v>0</v>
      </c>
      <c r="T305" s="26">
        <f t="shared" si="50"/>
        <v>115351496</v>
      </c>
      <c r="U305" s="26">
        <v>0</v>
      </c>
      <c r="V305" s="26">
        <v>0</v>
      </c>
      <c r="W305" s="26">
        <v>0</v>
      </c>
      <c r="X305" s="26">
        <v>0</v>
      </c>
      <c r="Y305" s="26">
        <v>0</v>
      </c>
      <c r="Z305" s="26">
        <v>0</v>
      </c>
      <c r="AA305" s="26">
        <f t="shared" si="43"/>
        <v>0</v>
      </c>
      <c r="AB305" s="107"/>
      <c r="AC305" s="107"/>
      <c r="AD305" s="107"/>
      <c r="AE305" s="107"/>
      <c r="AF305" s="107"/>
      <c r="AG305" s="107"/>
      <c r="AH305" s="107"/>
      <c r="AI305" s="107"/>
      <c r="AJ305" s="107"/>
      <c r="AK305" s="107"/>
      <c r="AL305" s="107"/>
      <c r="AM305" s="107"/>
      <c r="AN305" s="107"/>
      <c r="AO305" s="108"/>
      <c r="AP305" s="108"/>
      <c r="AQ305" s="108"/>
      <c r="AR305" s="108"/>
      <c r="AS305" s="108"/>
      <c r="AT305" s="108"/>
      <c r="AU305" s="108"/>
      <c r="AV305" s="108"/>
      <c r="AW305" s="108"/>
      <c r="AX305" s="108"/>
      <c r="AY305" s="108"/>
      <c r="AZ305" s="108"/>
      <c r="BA305" s="108"/>
      <c r="BB305" s="108"/>
    </row>
    <row r="306" spans="1:54" s="109" customFormat="1" ht="12" customHeight="1">
      <c r="A306" s="8">
        <v>403010129</v>
      </c>
      <c r="B306" s="8" t="s">
        <v>895</v>
      </c>
      <c r="C306" s="8"/>
      <c r="D306" s="92">
        <f>+VLOOKUP(A306,Clasificaciones!C:I,5,FALSE)</f>
        <v>-6147471</v>
      </c>
      <c r="E306" s="92">
        <v>0</v>
      </c>
      <c r="F306" s="92">
        <v>0</v>
      </c>
      <c r="G306" s="92">
        <v>0</v>
      </c>
      <c r="H306" s="92">
        <f t="shared" si="45"/>
        <v>-6147471</v>
      </c>
      <c r="I306" s="26">
        <v>0</v>
      </c>
      <c r="J306" s="26">
        <v>0</v>
      </c>
      <c r="K306" s="26">
        <v>0</v>
      </c>
      <c r="L306" s="26">
        <v>0</v>
      </c>
      <c r="M306" s="26">
        <v>0</v>
      </c>
      <c r="N306" s="26">
        <v>0</v>
      </c>
      <c r="O306" s="26">
        <v>0</v>
      </c>
      <c r="P306" s="26">
        <v>0</v>
      </c>
      <c r="Q306" s="26">
        <v>0</v>
      </c>
      <c r="R306" s="26">
        <v>0</v>
      </c>
      <c r="S306" s="26">
        <v>0</v>
      </c>
      <c r="T306" s="26">
        <f t="shared" si="50"/>
        <v>6147471</v>
      </c>
      <c r="U306" s="26">
        <v>0</v>
      </c>
      <c r="V306" s="26">
        <v>0</v>
      </c>
      <c r="W306" s="26">
        <v>0</v>
      </c>
      <c r="X306" s="26">
        <v>0</v>
      </c>
      <c r="Y306" s="26">
        <v>0</v>
      </c>
      <c r="Z306" s="26">
        <v>0</v>
      </c>
      <c r="AA306" s="26">
        <f t="shared" si="43"/>
        <v>0</v>
      </c>
      <c r="AB306" s="107"/>
      <c r="AC306" s="107"/>
      <c r="AD306" s="107"/>
      <c r="AE306" s="107"/>
      <c r="AF306" s="107"/>
      <c r="AG306" s="107"/>
      <c r="AH306" s="107"/>
      <c r="AI306" s="107"/>
      <c r="AJ306" s="107"/>
      <c r="AK306" s="107"/>
      <c r="AL306" s="107"/>
      <c r="AM306" s="107"/>
      <c r="AN306" s="107"/>
      <c r="AO306" s="108"/>
      <c r="AP306" s="108"/>
      <c r="AQ306" s="108"/>
      <c r="AR306" s="108"/>
      <c r="AS306" s="108"/>
      <c r="AT306" s="108"/>
      <c r="AU306" s="108"/>
      <c r="AV306" s="108"/>
      <c r="AW306" s="108"/>
      <c r="AX306" s="108"/>
      <c r="AY306" s="108"/>
      <c r="AZ306" s="108"/>
      <c r="BA306" s="108"/>
      <c r="BB306" s="108"/>
    </row>
    <row r="307" spans="1:54" s="109" customFormat="1" ht="12" customHeight="1">
      <c r="A307" s="8">
        <v>4030102</v>
      </c>
      <c r="B307" s="8" t="s">
        <v>896</v>
      </c>
      <c r="C307" s="8"/>
      <c r="D307" s="92">
        <f>+VLOOKUP(A307,Clasificaciones!C:I,5,FALSE)</f>
        <v>0</v>
      </c>
      <c r="E307" s="92">
        <v>0</v>
      </c>
      <c r="F307" s="92">
        <v>0</v>
      </c>
      <c r="G307" s="92">
        <v>0</v>
      </c>
      <c r="H307" s="92">
        <f t="shared" si="45"/>
        <v>0</v>
      </c>
      <c r="I307" s="26">
        <v>0</v>
      </c>
      <c r="J307" s="26">
        <v>0</v>
      </c>
      <c r="K307" s="26">
        <v>0</v>
      </c>
      <c r="L307" s="26">
        <v>0</v>
      </c>
      <c r="M307" s="26">
        <v>0</v>
      </c>
      <c r="N307" s="26">
        <v>0</v>
      </c>
      <c r="O307" s="26">
        <v>0</v>
      </c>
      <c r="P307" s="26">
        <v>0</v>
      </c>
      <c r="Q307" s="26">
        <v>0</v>
      </c>
      <c r="R307" s="26">
        <v>0</v>
      </c>
      <c r="S307" s="26">
        <v>0</v>
      </c>
      <c r="T307" s="26">
        <f t="shared" ref="T307" si="51">+H307</f>
        <v>0</v>
      </c>
      <c r="U307" s="26">
        <v>0</v>
      </c>
      <c r="V307" s="26">
        <v>0</v>
      </c>
      <c r="W307" s="26">
        <v>0</v>
      </c>
      <c r="X307" s="26">
        <v>0</v>
      </c>
      <c r="Y307" s="26">
        <v>0</v>
      </c>
      <c r="Z307" s="26">
        <v>0</v>
      </c>
      <c r="AA307" s="26">
        <f t="shared" si="43"/>
        <v>0</v>
      </c>
      <c r="AB307" s="107"/>
      <c r="AC307" s="107"/>
      <c r="AD307" s="107"/>
      <c r="AE307" s="107"/>
      <c r="AF307" s="107"/>
      <c r="AG307" s="107"/>
      <c r="AH307" s="107"/>
      <c r="AI307" s="107"/>
      <c r="AJ307" s="107"/>
      <c r="AK307" s="107"/>
      <c r="AL307" s="107"/>
      <c r="AM307" s="107"/>
      <c r="AN307" s="107"/>
      <c r="AO307" s="108"/>
      <c r="AP307" s="108"/>
      <c r="AQ307" s="108"/>
      <c r="AR307" s="108"/>
      <c r="AS307" s="108"/>
      <c r="AT307" s="108"/>
      <c r="AU307" s="108"/>
      <c r="AV307" s="108"/>
      <c r="AW307" s="108"/>
      <c r="AX307" s="108"/>
      <c r="AY307" s="108"/>
      <c r="AZ307" s="108"/>
      <c r="BA307" s="108"/>
      <c r="BB307" s="108"/>
    </row>
    <row r="308" spans="1:54" s="109" customFormat="1" ht="12" customHeight="1">
      <c r="A308" s="8">
        <v>403010201</v>
      </c>
      <c r="B308" s="8" t="s">
        <v>896</v>
      </c>
      <c r="C308" s="8"/>
      <c r="D308" s="92">
        <f>+VLOOKUP(A308,Clasificaciones!C:I,5,FALSE)</f>
        <v>-195616</v>
      </c>
      <c r="E308" s="92">
        <v>0</v>
      </c>
      <c r="F308" s="92">
        <v>0</v>
      </c>
      <c r="G308" s="92">
        <v>0</v>
      </c>
      <c r="H308" s="92">
        <f t="shared" si="45"/>
        <v>-195616</v>
      </c>
      <c r="I308" s="26">
        <v>0</v>
      </c>
      <c r="J308" s="26">
        <v>0</v>
      </c>
      <c r="K308" s="26">
        <v>0</v>
      </c>
      <c r="L308" s="26">
        <v>0</v>
      </c>
      <c r="M308" s="26">
        <v>0</v>
      </c>
      <c r="N308" s="26">
        <v>0</v>
      </c>
      <c r="O308" s="26">
        <v>0</v>
      </c>
      <c r="P308" s="26">
        <v>0</v>
      </c>
      <c r="Q308" s="26">
        <v>0</v>
      </c>
      <c r="R308" s="26">
        <v>0</v>
      </c>
      <c r="S308" s="26">
        <v>0</v>
      </c>
      <c r="T308" s="26">
        <v>0</v>
      </c>
      <c r="U308" s="26">
        <f>-H308</f>
        <v>195616</v>
      </c>
      <c r="V308" s="26">
        <v>0</v>
      </c>
      <c r="W308" s="26">
        <v>0</v>
      </c>
      <c r="X308" s="26">
        <v>0</v>
      </c>
      <c r="Y308" s="26">
        <v>0</v>
      </c>
      <c r="Z308" s="26">
        <v>0</v>
      </c>
      <c r="AA308" s="26">
        <f t="shared" si="43"/>
        <v>0</v>
      </c>
      <c r="AB308" s="107"/>
      <c r="AC308" s="107"/>
      <c r="AD308" s="107"/>
      <c r="AE308" s="107"/>
      <c r="AF308" s="107"/>
      <c r="AG308" s="107"/>
      <c r="AH308" s="107"/>
      <c r="AI308" s="107"/>
      <c r="AJ308" s="107"/>
      <c r="AK308" s="107"/>
      <c r="AL308" s="107"/>
      <c r="AM308" s="107"/>
      <c r="AN308" s="107"/>
      <c r="AO308" s="108"/>
      <c r="AP308" s="108"/>
      <c r="AQ308" s="108"/>
      <c r="AR308" s="108"/>
      <c r="AS308" s="108"/>
      <c r="AT308" s="108"/>
      <c r="AU308" s="108"/>
      <c r="AV308" s="108"/>
      <c r="AW308" s="108"/>
      <c r="AX308" s="108"/>
      <c r="AY308" s="108"/>
      <c r="AZ308" s="108"/>
      <c r="BA308" s="108"/>
      <c r="BB308" s="108"/>
    </row>
    <row r="309" spans="1:54" s="109" customFormat="1" ht="12" customHeight="1">
      <c r="A309" s="8">
        <v>40302</v>
      </c>
      <c r="B309" s="8" t="s">
        <v>897</v>
      </c>
      <c r="C309" s="8"/>
      <c r="D309" s="92">
        <f>+VLOOKUP(A309,Clasificaciones!C:I,5,FALSE)</f>
        <v>0</v>
      </c>
      <c r="E309" s="92">
        <v>0</v>
      </c>
      <c r="F309" s="92">
        <v>0</v>
      </c>
      <c r="G309" s="92">
        <v>0</v>
      </c>
      <c r="H309" s="92">
        <f t="shared" si="45"/>
        <v>0</v>
      </c>
      <c r="I309" s="26">
        <v>0</v>
      </c>
      <c r="J309" s="26">
        <v>0</v>
      </c>
      <c r="K309" s="26">
        <v>0</v>
      </c>
      <c r="L309" s="26">
        <v>0</v>
      </c>
      <c r="M309" s="26">
        <v>0</v>
      </c>
      <c r="N309" s="26">
        <v>0</v>
      </c>
      <c r="O309" s="26">
        <v>0</v>
      </c>
      <c r="P309" s="26">
        <v>0</v>
      </c>
      <c r="Q309" s="26">
        <v>0</v>
      </c>
      <c r="R309" s="26">
        <v>0</v>
      </c>
      <c r="S309" s="26">
        <v>0</v>
      </c>
      <c r="T309" s="26">
        <v>0</v>
      </c>
      <c r="U309" s="26">
        <v>0</v>
      </c>
      <c r="V309" s="26">
        <v>0</v>
      </c>
      <c r="W309" s="26">
        <v>0</v>
      </c>
      <c r="X309" s="26">
        <v>0</v>
      </c>
      <c r="Y309" s="26">
        <v>0</v>
      </c>
      <c r="Z309" s="26">
        <v>0</v>
      </c>
      <c r="AA309" s="26">
        <f t="shared" si="43"/>
        <v>0</v>
      </c>
      <c r="AB309" s="107"/>
      <c r="AC309" s="107"/>
      <c r="AD309" s="107"/>
      <c r="AE309" s="107"/>
      <c r="AF309" s="107"/>
      <c r="AG309" s="107"/>
      <c r="AH309" s="107"/>
      <c r="AI309" s="107"/>
      <c r="AJ309" s="107"/>
      <c r="AK309" s="107"/>
      <c r="AL309" s="107"/>
      <c r="AM309" s="107"/>
      <c r="AN309" s="107"/>
      <c r="AO309" s="108"/>
      <c r="AP309" s="108"/>
      <c r="AQ309" s="108"/>
      <c r="AR309" s="108"/>
      <c r="AS309" s="108"/>
      <c r="AT309" s="108"/>
      <c r="AU309" s="108"/>
      <c r="AV309" s="108"/>
      <c r="AW309" s="108"/>
      <c r="AX309" s="108"/>
      <c r="AY309" s="108"/>
      <c r="AZ309" s="108"/>
      <c r="BA309" s="108"/>
      <c r="BB309" s="108"/>
    </row>
    <row r="310" spans="1:54" s="109" customFormat="1" ht="12" customHeight="1">
      <c r="A310" s="8">
        <v>4030201</v>
      </c>
      <c r="B310" s="8" t="s">
        <v>898</v>
      </c>
      <c r="C310" s="8"/>
      <c r="D310" s="92">
        <f>+VLOOKUP(A310,Clasificaciones!C:I,5,FALSE)</f>
        <v>0</v>
      </c>
      <c r="E310" s="92">
        <v>0</v>
      </c>
      <c r="F310" s="92">
        <v>0</v>
      </c>
      <c r="G310" s="92">
        <v>0</v>
      </c>
      <c r="H310" s="92">
        <f t="shared" si="45"/>
        <v>0</v>
      </c>
      <c r="I310" s="26">
        <v>0</v>
      </c>
      <c r="J310" s="26">
        <v>0</v>
      </c>
      <c r="K310" s="26">
        <v>0</v>
      </c>
      <c r="L310" s="26">
        <v>0</v>
      </c>
      <c r="M310" s="26">
        <v>0</v>
      </c>
      <c r="N310" s="26">
        <v>0</v>
      </c>
      <c r="O310" s="26">
        <v>0</v>
      </c>
      <c r="P310" s="26">
        <v>0</v>
      </c>
      <c r="Q310" s="26">
        <v>0</v>
      </c>
      <c r="R310" s="26">
        <v>0</v>
      </c>
      <c r="S310" s="26">
        <v>0</v>
      </c>
      <c r="T310" s="26">
        <v>0</v>
      </c>
      <c r="U310" s="26">
        <v>0</v>
      </c>
      <c r="V310" s="26">
        <v>0</v>
      </c>
      <c r="W310" s="26">
        <v>0</v>
      </c>
      <c r="X310" s="26">
        <v>0</v>
      </c>
      <c r="Y310" s="26">
        <v>0</v>
      </c>
      <c r="Z310" s="26">
        <v>0</v>
      </c>
      <c r="AA310" s="26">
        <f t="shared" si="43"/>
        <v>0</v>
      </c>
      <c r="AB310" s="107"/>
      <c r="AC310" s="107"/>
      <c r="AD310" s="107"/>
      <c r="AE310" s="107"/>
      <c r="AF310" s="107"/>
      <c r="AG310" s="107"/>
      <c r="AH310" s="107"/>
      <c r="AI310" s="107"/>
      <c r="AJ310" s="107"/>
      <c r="AK310" s="107"/>
      <c r="AL310" s="107"/>
      <c r="AM310" s="107"/>
      <c r="AN310" s="107"/>
      <c r="AO310" s="108"/>
      <c r="AP310" s="108"/>
      <c r="AQ310" s="108"/>
      <c r="AR310" s="108"/>
      <c r="AS310" s="108"/>
      <c r="AT310" s="108"/>
      <c r="AU310" s="108"/>
      <c r="AV310" s="108"/>
      <c r="AW310" s="108"/>
      <c r="AX310" s="108"/>
      <c r="AY310" s="108"/>
      <c r="AZ310" s="108"/>
      <c r="BA310" s="108"/>
      <c r="BB310" s="108"/>
    </row>
    <row r="311" spans="1:54" s="109" customFormat="1" ht="12" customHeight="1">
      <c r="A311" s="8">
        <v>403020101</v>
      </c>
      <c r="B311" s="8" t="s">
        <v>884</v>
      </c>
      <c r="C311" s="8" t="str">
        <f>+VLOOKUP(A311,Clasificaciones!$C$4:$H$887,6,0)</f>
        <v>Ingresos por venta de cartera propia</v>
      </c>
      <c r="D311" s="92">
        <f>+VLOOKUP(A311,Clasificaciones!C:I,5,FALSE)</f>
        <v>-287339506</v>
      </c>
      <c r="E311" s="92">
        <v>0</v>
      </c>
      <c r="F311" s="92">
        <v>0</v>
      </c>
      <c r="G311" s="92">
        <v>0</v>
      </c>
      <c r="H311" s="92">
        <f t="shared" si="45"/>
        <v>-287339506</v>
      </c>
      <c r="I311" s="26">
        <v>0</v>
      </c>
      <c r="J311" s="26">
        <v>0</v>
      </c>
      <c r="K311" s="26">
        <v>0</v>
      </c>
      <c r="L311" s="26">
        <v>0</v>
      </c>
      <c r="M311" s="26">
        <v>0</v>
      </c>
      <c r="N311" s="26">
        <v>0</v>
      </c>
      <c r="O311" s="26">
        <v>0</v>
      </c>
      <c r="P311" s="26">
        <v>0</v>
      </c>
      <c r="Q311" s="26">
        <v>0</v>
      </c>
      <c r="R311" s="26">
        <v>0</v>
      </c>
      <c r="S311" s="920">
        <f>-H311</f>
        <v>287339506</v>
      </c>
      <c r="T311" s="26">
        <v>0</v>
      </c>
      <c r="U311" s="26">
        <v>0</v>
      </c>
      <c r="V311" s="26">
        <v>0</v>
      </c>
      <c r="W311" s="26">
        <v>0</v>
      </c>
      <c r="X311" s="26">
        <v>0</v>
      </c>
      <c r="Y311" s="26">
        <v>0</v>
      </c>
      <c r="Z311" s="26">
        <v>0</v>
      </c>
      <c r="AA311" s="26">
        <f t="shared" si="43"/>
        <v>0</v>
      </c>
      <c r="AB311" s="107"/>
      <c r="AC311" s="107"/>
      <c r="AD311" s="107"/>
      <c r="AE311" s="107"/>
      <c r="AF311" s="107"/>
      <c r="AG311" s="107"/>
      <c r="AH311" s="107"/>
      <c r="AI311" s="107"/>
      <c r="AJ311" s="107"/>
      <c r="AK311" s="107"/>
      <c r="AL311" s="107"/>
      <c r="AM311" s="107"/>
      <c r="AN311" s="107"/>
      <c r="AO311" s="108"/>
      <c r="AP311" s="108"/>
      <c r="AQ311" s="108"/>
      <c r="AR311" s="108"/>
      <c r="AS311" s="108"/>
      <c r="AT311" s="108"/>
      <c r="AU311" s="108"/>
      <c r="AV311" s="108"/>
      <c r="AW311" s="108"/>
      <c r="AX311" s="108"/>
      <c r="AY311" s="108"/>
      <c r="AZ311" s="108"/>
      <c r="BA311" s="108"/>
      <c r="BB311" s="108"/>
    </row>
    <row r="312" spans="1:54" s="109" customFormat="1" ht="12" customHeight="1">
      <c r="A312" s="8">
        <v>403020102</v>
      </c>
      <c r="B312" s="8" t="s">
        <v>899</v>
      </c>
      <c r="C312" s="8" t="str">
        <f>+VLOOKUP(A312,Clasificaciones!$C$4:$H$887,6,0)</f>
        <v>Ingresos por venta de cartera propia</v>
      </c>
      <c r="D312" s="92">
        <f>+VLOOKUP(A312,Clasificaciones!C:I,5,FALSE)</f>
        <v>-50810352</v>
      </c>
      <c r="E312" s="92">
        <v>0</v>
      </c>
      <c r="F312" s="92">
        <v>0</v>
      </c>
      <c r="G312" s="92">
        <v>0</v>
      </c>
      <c r="H312" s="92">
        <f t="shared" si="45"/>
        <v>-50810352</v>
      </c>
      <c r="I312" s="26">
        <v>0</v>
      </c>
      <c r="J312" s="26">
        <v>0</v>
      </c>
      <c r="K312" s="26">
        <v>0</v>
      </c>
      <c r="L312" s="26">
        <v>0</v>
      </c>
      <c r="M312" s="26">
        <v>0</v>
      </c>
      <c r="N312" s="26">
        <v>0</v>
      </c>
      <c r="O312" s="26">
        <v>0</v>
      </c>
      <c r="P312" s="26">
        <v>0</v>
      </c>
      <c r="Q312" s="26">
        <v>0</v>
      </c>
      <c r="R312" s="26">
        <v>0</v>
      </c>
      <c r="S312" s="920">
        <f t="shared" ref="S312:S314" si="52">-H312</f>
        <v>50810352</v>
      </c>
      <c r="T312" s="26">
        <v>0</v>
      </c>
      <c r="U312" s="26">
        <v>0</v>
      </c>
      <c r="V312" s="26">
        <v>0</v>
      </c>
      <c r="W312" s="26">
        <v>0</v>
      </c>
      <c r="X312" s="26">
        <v>0</v>
      </c>
      <c r="Y312" s="26">
        <v>0</v>
      </c>
      <c r="Z312" s="26">
        <v>0</v>
      </c>
      <c r="AA312" s="26">
        <f t="shared" si="43"/>
        <v>0</v>
      </c>
      <c r="AB312" s="107"/>
      <c r="AC312" s="107"/>
      <c r="AD312" s="107"/>
      <c r="AE312" s="107"/>
      <c r="AF312" s="107"/>
      <c r="AG312" s="107"/>
      <c r="AH312" s="107"/>
      <c r="AI312" s="107"/>
      <c r="AJ312" s="107"/>
      <c r="AK312" s="107"/>
      <c r="AL312" s="107"/>
      <c r="AM312" s="107"/>
      <c r="AN312" s="107"/>
      <c r="AO312" s="108"/>
      <c r="AP312" s="108"/>
      <c r="AQ312" s="108"/>
      <c r="AR312" s="108"/>
      <c r="AS312" s="108"/>
      <c r="AT312" s="108"/>
      <c r="AU312" s="108"/>
      <c r="AV312" s="108"/>
      <c r="AW312" s="108"/>
      <c r="AX312" s="108"/>
      <c r="AY312" s="108"/>
      <c r="AZ312" s="108"/>
      <c r="BA312" s="108"/>
      <c r="BB312" s="108"/>
    </row>
    <row r="313" spans="1:54" s="109" customFormat="1" ht="12" customHeight="1">
      <c r="A313" s="8">
        <v>403020103</v>
      </c>
      <c r="B313" s="8" t="s">
        <v>885</v>
      </c>
      <c r="C313" s="8" t="str">
        <f>+VLOOKUP(A313,Clasificaciones!$C$4:$H$887,6,0)</f>
        <v>Ingresos por venta de cartera propia</v>
      </c>
      <c r="D313" s="92">
        <f>+VLOOKUP(A313,Clasificaciones!C:I,5,FALSE)</f>
        <v>-26698767</v>
      </c>
      <c r="E313" s="92">
        <v>0</v>
      </c>
      <c r="F313" s="92">
        <v>0</v>
      </c>
      <c r="G313" s="92">
        <v>0</v>
      </c>
      <c r="H313" s="92">
        <f t="shared" si="45"/>
        <v>-26698767</v>
      </c>
      <c r="I313" s="26">
        <v>0</v>
      </c>
      <c r="J313" s="26">
        <v>0</v>
      </c>
      <c r="K313" s="26">
        <v>0</v>
      </c>
      <c r="L313" s="26">
        <v>0</v>
      </c>
      <c r="M313" s="26">
        <v>0</v>
      </c>
      <c r="N313" s="26">
        <v>0</v>
      </c>
      <c r="O313" s="26">
        <v>0</v>
      </c>
      <c r="P313" s="26">
        <v>0</v>
      </c>
      <c r="Q313" s="26">
        <v>0</v>
      </c>
      <c r="R313" s="26">
        <v>0</v>
      </c>
      <c r="S313" s="920">
        <f t="shared" si="52"/>
        <v>26698767</v>
      </c>
      <c r="T313" s="26">
        <v>0</v>
      </c>
      <c r="U313" s="26">
        <v>0</v>
      </c>
      <c r="V313" s="26">
        <v>0</v>
      </c>
      <c r="W313" s="26">
        <v>0</v>
      </c>
      <c r="X313" s="26">
        <v>0</v>
      </c>
      <c r="Y313" s="26">
        <v>0</v>
      </c>
      <c r="Z313" s="26">
        <v>0</v>
      </c>
      <c r="AA313" s="26">
        <f t="shared" si="43"/>
        <v>0</v>
      </c>
      <c r="AB313" s="107"/>
      <c r="AC313" s="107"/>
      <c r="AD313" s="107"/>
      <c r="AE313" s="107"/>
      <c r="AF313" s="107"/>
      <c r="AG313" s="107"/>
      <c r="AH313" s="107"/>
      <c r="AI313" s="107"/>
      <c r="AJ313" s="107"/>
      <c r="AK313" s="107"/>
      <c r="AL313" s="107"/>
      <c r="AM313" s="107"/>
      <c r="AN313" s="107"/>
      <c r="AO313" s="108"/>
      <c r="AP313" s="108"/>
      <c r="AQ313" s="108"/>
      <c r="AR313" s="108"/>
      <c r="AS313" s="108"/>
      <c r="AT313" s="108"/>
      <c r="AU313" s="108"/>
      <c r="AV313" s="108"/>
      <c r="AW313" s="108"/>
      <c r="AX313" s="108"/>
      <c r="AY313" s="108"/>
      <c r="AZ313" s="108"/>
      <c r="BA313" s="108"/>
      <c r="BB313" s="108"/>
    </row>
    <row r="314" spans="1:54" s="109" customFormat="1" ht="12" customHeight="1">
      <c r="A314" s="8">
        <v>403020104</v>
      </c>
      <c r="B314" s="8" t="s">
        <v>900</v>
      </c>
      <c r="C314" s="8" t="str">
        <f>+VLOOKUP(A314,Clasificaciones!$C$4:$H$887,6,0)</f>
        <v>Ingresos por venta de cartera propia</v>
      </c>
      <c r="D314" s="92">
        <f>+VLOOKUP(A314,Clasificaciones!C:I,5,FALSE)</f>
        <v>-1045538193</v>
      </c>
      <c r="E314" s="92">
        <v>0</v>
      </c>
      <c r="F314" s="92">
        <v>0</v>
      </c>
      <c r="G314" s="92">
        <v>0</v>
      </c>
      <c r="H314" s="92">
        <f t="shared" si="45"/>
        <v>-1045538193</v>
      </c>
      <c r="I314" s="26">
        <v>0</v>
      </c>
      <c r="J314" s="26">
        <v>0</v>
      </c>
      <c r="K314" s="26">
        <v>0</v>
      </c>
      <c r="L314" s="26">
        <v>0</v>
      </c>
      <c r="M314" s="26">
        <v>0</v>
      </c>
      <c r="N314" s="26">
        <v>0</v>
      </c>
      <c r="O314" s="26">
        <v>0</v>
      </c>
      <c r="P314" s="26">
        <v>0</v>
      </c>
      <c r="Q314" s="26">
        <v>0</v>
      </c>
      <c r="R314" s="26">
        <v>0</v>
      </c>
      <c r="S314" s="920">
        <f t="shared" si="52"/>
        <v>1045538193</v>
      </c>
      <c r="T314" s="26">
        <v>0</v>
      </c>
      <c r="U314" s="26">
        <v>0</v>
      </c>
      <c r="V314" s="26">
        <v>0</v>
      </c>
      <c r="W314" s="26">
        <v>0</v>
      </c>
      <c r="X314" s="26">
        <v>0</v>
      </c>
      <c r="Y314" s="26">
        <v>0</v>
      </c>
      <c r="Z314" s="26">
        <v>0</v>
      </c>
      <c r="AA314" s="26">
        <f t="shared" si="43"/>
        <v>0</v>
      </c>
      <c r="AB314" s="107"/>
      <c r="AC314" s="107"/>
      <c r="AD314" s="107"/>
      <c r="AE314" s="107"/>
      <c r="AF314" s="107"/>
      <c r="AG314" s="107"/>
      <c r="AH314" s="107"/>
      <c r="AI314" s="107"/>
      <c r="AJ314" s="107"/>
      <c r="AK314" s="107"/>
      <c r="AL314" s="107"/>
      <c r="AM314" s="107"/>
      <c r="AN314" s="107"/>
      <c r="AO314" s="108"/>
      <c r="AP314" s="108"/>
      <c r="AQ314" s="108"/>
      <c r="AR314" s="108"/>
      <c r="AS314" s="108"/>
      <c r="AT314" s="108"/>
      <c r="AU314" s="108"/>
      <c r="AV314" s="108"/>
      <c r="AW314" s="108"/>
      <c r="AX314" s="108"/>
      <c r="AY314" s="108"/>
      <c r="AZ314" s="108"/>
      <c r="BA314" s="108"/>
      <c r="BB314" s="108"/>
    </row>
    <row r="315" spans="1:54" s="109" customFormat="1" ht="12" customHeight="1">
      <c r="A315" s="8">
        <v>403020105</v>
      </c>
      <c r="B315" s="8" t="s">
        <v>887</v>
      </c>
      <c r="C315" s="918" t="str">
        <f>+VLOOKUP(A315,Clasificaciones!$C$4:$H$887,6,0)</f>
        <v>Ingresos por operaciones y servicios extrabursátiles</v>
      </c>
      <c r="D315" s="92">
        <f>+VLOOKUP(A315,Clasificaciones!C:I,5,FALSE)</f>
        <v>-2031005218</v>
      </c>
      <c r="E315" s="92">
        <v>0</v>
      </c>
      <c r="F315" s="92">
        <v>0</v>
      </c>
      <c r="G315" s="92">
        <v>0</v>
      </c>
      <c r="H315" s="92">
        <f t="shared" si="45"/>
        <v>-2031005218</v>
      </c>
      <c r="I315" s="26">
        <f>-H315</f>
        <v>2031005218</v>
      </c>
      <c r="J315" s="26">
        <v>0</v>
      </c>
      <c r="K315" s="26">
        <v>0</v>
      </c>
      <c r="L315" s="26">
        <v>0</v>
      </c>
      <c r="M315" s="26">
        <v>0</v>
      </c>
      <c r="N315" s="26">
        <v>0</v>
      </c>
      <c r="O315" s="26">
        <v>0</v>
      </c>
      <c r="P315" s="26">
        <v>0</v>
      </c>
      <c r="Q315" s="26">
        <v>0</v>
      </c>
      <c r="R315" s="26">
        <v>0</v>
      </c>
      <c r="S315" s="920"/>
      <c r="T315" s="26">
        <v>0</v>
      </c>
      <c r="U315" s="26">
        <v>0</v>
      </c>
      <c r="V315" s="26">
        <v>0</v>
      </c>
      <c r="W315" s="26">
        <v>0</v>
      </c>
      <c r="X315" s="26">
        <v>0</v>
      </c>
      <c r="Y315" s="26">
        <v>0</v>
      </c>
      <c r="Z315" s="26">
        <v>0</v>
      </c>
      <c r="AA315" s="26">
        <f t="shared" si="43"/>
        <v>0</v>
      </c>
      <c r="AB315" s="107"/>
      <c r="AC315" s="107"/>
      <c r="AD315" s="107"/>
      <c r="AE315" s="107"/>
      <c r="AF315" s="107"/>
      <c r="AG315" s="107"/>
      <c r="AH315" s="107"/>
      <c r="AI315" s="107"/>
      <c r="AJ315" s="107"/>
      <c r="AK315" s="107"/>
      <c r="AL315" s="107"/>
      <c r="AM315" s="107"/>
      <c r="AN315" s="107"/>
      <c r="AO315" s="108"/>
      <c r="AP315" s="108"/>
      <c r="AQ315" s="108"/>
      <c r="AR315" s="108"/>
      <c r="AS315" s="108"/>
      <c r="AT315" s="108"/>
      <c r="AU315" s="108"/>
      <c r="AV315" s="108"/>
      <c r="AW315" s="108"/>
      <c r="AX315" s="108"/>
      <c r="AY315" s="108"/>
      <c r="AZ315" s="108"/>
      <c r="BA315" s="108"/>
      <c r="BB315" s="108"/>
    </row>
    <row r="316" spans="1:54" s="109" customFormat="1" ht="12" customHeight="1">
      <c r="A316" s="8">
        <v>403020106</v>
      </c>
      <c r="B316" s="8" t="s">
        <v>773</v>
      </c>
      <c r="C316" s="918" t="str">
        <f>+VLOOKUP(A316,Clasificaciones!$C$4:$H$887,6,0)</f>
        <v>Ingresos por operaciones y servicios extrabursátiles</v>
      </c>
      <c r="D316" s="92">
        <f>+VLOOKUP(A316,Clasificaciones!C:I,5,FALSE)</f>
        <v>-2040036768</v>
      </c>
      <c r="E316" s="92">
        <v>0</v>
      </c>
      <c r="F316" s="92">
        <v>0</v>
      </c>
      <c r="G316" s="92">
        <v>0</v>
      </c>
      <c r="H316" s="92">
        <f t="shared" si="45"/>
        <v>-2040036768</v>
      </c>
      <c r="I316" s="26">
        <f t="shared" ref="I316:I327" si="53">-H316</f>
        <v>2040036768</v>
      </c>
      <c r="J316" s="26">
        <v>0</v>
      </c>
      <c r="K316" s="26">
        <v>0</v>
      </c>
      <c r="L316" s="26">
        <v>0</v>
      </c>
      <c r="M316" s="26">
        <v>0</v>
      </c>
      <c r="N316" s="26">
        <v>0</v>
      </c>
      <c r="O316" s="26">
        <v>0</v>
      </c>
      <c r="P316" s="26">
        <v>0</v>
      </c>
      <c r="Q316" s="26">
        <v>0</v>
      </c>
      <c r="R316" s="26">
        <v>0</v>
      </c>
      <c r="S316" s="920"/>
      <c r="T316" s="26">
        <v>0</v>
      </c>
      <c r="U316" s="26">
        <v>0</v>
      </c>
      <c r="V316" s="26">
        <v>0</v>
      </c>
      <c r="W316" s="26">
        <v>0</v>
      </c>
      <c r="X316" s="26">
        <v>0</v>
      </c>
      <c r="Y316" s="26">
        <v>0</v>
      </c>
      <c r="Z316" s="26">
        <v>0</v>
      </c>
      <c r="AA316" s="26">
        <f t="shared" si="43"/>
        <v>0</v>
      </c>
      <c r="AB316" s="107"/>
      <c r="AC316" s="107"/>
      <c r="AD316" s="107"/>
      <c r="AE316" s="107"/>
      <c r="AF316" s="107"/>
      <c r="AG316" s="107"/>
      <c r="AH316" s="107"/>
      <c r="AI316" s="107"/>
      <c r="AJ316" s="107"/>
      <c r="AK316" s="107"/>
      <c r="AL316" s="107"/>
      <c r="AM316" s="107"/>
      <c r="AN316" s="107"/>
      <c r="AO316" s="108"/>
      <c r="AP316" s="108"/>
      <c r="AQ316" s="108"/>
      <c r="AR316" s="108"/>
      <c r="AS316" s="108"/>
      <c r="AT316" s="108"/>
      <c r="AU316" s="108"/>
      <c r="AV316" s="108"/>
      <c r="AW316" s="108"/>
      <c r="AX316" s="108"/>
      <c r="AY316" s="108"/>
      <c r="AZ316" s="108"/>
      <c r="BA316" s="108"/>
      <c r="BB316" s="108"/>
    </row>
    <row r="317" spans="1:54" s="109" customFormat="1" ht="12" customHeight="1">
      <c r="A317" s="8">
        <v>403020107</v>
      </c>
      <c r="B317" s="8" t="s">
        <v>888</v>
      </c>
      <c r="C317" s="918" t="str">
        <f>+VLOOKUP(A317,Clasificaciones!$C$4:$H$887,6,0)</f>
        <v>Ingresos por venta de cartera propia</v>
      </c>
      <c r="D317" s="92">
        <f>+VLOOKUP(A317,Clasificaciones!C:I,5,FALSE)</f>
        <v>-1631143199</v>
      </c>
      <c r="E317" s="92">
        <v>0</v>
      </c>
      <c r="F317" s="92">
        <v>0</v>
      </c>
      <c r="G317" s="92">
        <v>0</v>
      </c>
      <c r="H317" s="92">
        <f t="shared" si="45"/>
        <v>-1631143199</v>
      </c>
      <c r="I317" s="26">
        <f t="shared" si="53"/>
        <v>1631143199</v>
      </c>
      <c r="J317" s="26">
        <v>0</v>
      </c>
      <c r="K317" s="26">
        <v>0</v>
      </c>
      <c r="L317" s="26">
        <v>0</v>
      </c>
      <c r="M317" s="26">
        <v>0</v>
      </c>
      <c r="N317" s="26">
        <v>0</v>
      </c>
      <c r="O317" s="26">
        <v>0</v>
      </c>
      <c r="P317" s="26">
        <v>0</v>
      </c>
      <c r="Q317" s="26">
        <v>0</v>
      </c>
      <c r="R317" s="26">
        <v>0</v>
      </c>
      <c r="S317" s="920"/>
      <c r="T317" s="26">
        <v>0</v>
      </c>
      <c r="U317" s="26">
        <v>0</v>
      </c>
      <c r="V317" s="26">
        <v>0</v>
      </c>
      <c r="W317" s="26">
        <v>0</v>
      </c>
      <c r="X317" s="26">
        <v>0</v>
      </c>
      <c r="Y317" s="26">
        <v>0</v>
      </c>
      <c r="Z317" s="26">
        <v>0</v>
      </c>
      <c r="AA317" s="26">
        <f t="shared" si="43"/>
        <v>0</v>
      </c>
      <c r="AB317" s="107"/>
      <c r="AC317" s="107"/>
      <c r="AD317" s="107"/>
      <c r="AE317" s="107"/>
      <c r="AF317" s="107"/>
      <c r="AG317" s="107"/>
      <c r="AH317" s="107"/>
      <c r="AI317" s="107"/>
      <c r="AJ317" s="107"/>
      <c r="AK317" s="107"/>
      <c r="AL317" s="107"/>
      <c r="AM317" s="107"/>
      <c r="AN317" s="107"/>
      <c r="AO317" s="108"/>
      <c r="AP317" s="108"/>
      <c r="AQ317" s="108"/>
      <c r="AR317" s="108"/>
      <c r="AS317" s="108"/>
      <c r="AT317" s="108"/>
      <c r="AU317" s="108"/>
      <c r="AV317" s="108"/>
      <c r="AW317" s="108"/>
      <c r="AX317" s="108"/>
      <c r="AY317" s="108"/>
      <c r="AZ317" s="108"/>
      <c r="BA317" s="108"/>
      <c r="BB317" s="108"/>
    </row>
    <row r="318" spans="1:54" s="109" customFormat="1" ht="12" customHeight="1">
      <c r="A318" s="8">
        <v>403020108</v>
      </c>
      <c r="B318" s="8" t="s">
        <v>889</v>
      </c>
      <c r="C318" s="918" t="str">
        <f>+VLOOKUP(A318,Clasificaciones!$C$4:$H$887,6,0)</f>
        <v>Ingresos por venta de cartera propia</v>
      </c>
      <c r="D318" s="92">
        <f>+VLOOKUP(A318,Clasificaciones!C:I,5,FALSE)</f>
        <v>-148298340</v>
      </c>
      <c r="E318" s="92">
        <v>0</v>
      </c>
      <c r="F318" s="92">
        <v>0</v>
      </c>
      <c r="G318" s="92">
        <v>0</v>
      </c>
      <c r="H318" s="92">
        <f t="shared" si="45"/>
        <v>-148298340</v>
      </c>
      <c r="I318" s="26">
        <f t="shared" si="53"/>
        <v>148298340</v>
      </c>
      <c r="J318" s="26">
        <v>0</v>
      </c>
      <c r="K318" s="26">
        <v>0</v>
      </c>
      <c r="L318" s="26">
        <v>0</v>
      </c>
      <c r="M318" s="26">
        <v>0</v>
      </c>
      <c r="N318" s="26">
        <v>0</v>
      </c>
      <c r="O318" s="26">
        <v>0</v>
      </c>
      <c r="P318" s="26">
        <v>0</v>
      </c>
      <c r="Q318" s="26">
        <v>0</v>
      </c>
      <c r="R318" s="26">
        <v>0</v>
      </c>
      <c r="S318" s="920"/>
      <c r="T318" s="26">
        <v>0</v>
      </c>
      <c r="U318" s="26">
        <v>0</v>
      </c>
      <c r="V318" s="26">
        <v>0</v>
      </c>
      <c r="W318" s="26">
        <v>0</v>
      </c>
      <c r="X318" s="26">
        <v>0</v>
      </c>
      <c r="Y318" s="26">
        <v>0</v>
      </c>
      <c r="Z318" s="26">
        <v>0</v>
      </c>
      <c r="AA318" s="26">
        <f t="shared" si="43"/>
        <v>0</v>
      </c>
      <c r="AB318" s="107"/>
      <c r="AC318" s="107"/>
      <c r="AD318" s="107"/>
      <c r="AE318" s="107"/>
      <c r="AF318" s="107"/>
      <c r="AG318" s="107"/>
      <c r="AH318" s="107"/>
      <c r="AI318" s="107"/>
      <c r="AJ318" s="107"/>
      <c r="AK318" s="107"/>
      <c r="AL318" s="107"/>
      <c r="AM318" s="107"/>
      <c r="AN318" s="107"/>
      <c r="AO318" s="108"/>
      <c r="AP318" s="108"/>
      <c r="AQ318" s="108"/>
      <c r="AR318" s="108"/>
      <c r="AS318" s="108"/>
      <c r="AT318" s="108"/>
      <c r="AU318" s="108"/>
      <c r="AV318" s="108"/>
      <c r="AW318" s="108"/>
      <c r="AX318" s="108"/>
      <c r="AY318" s="108"/>
      <c r="AZ318" s="108"/>
      <c r="BA318" s="108"/>
      <c r="BB318" s="108"/>
    </row>
    <row r="319" spans="1:54" s="109" customFormat="1" ht="12" customHeight="1">
      <c r="A319" s="8">
        <v>403020109</v>
      </c>
      <c r="B319" s="8" t="s">
        <v>890</v>
      </c>
      <c r="C319" s="918" t="str">
        <f>+VLOOKUP(A319,Clasificaciones!$C$4:$H$887,6,0)</f>
        <v>Ingresos por venta de cartera propia</v>
      </c>
      <c r="D319" s="92">
        <f>+VLOOKUP(A319,Clasificaciones!C:I,5,FALSE)</f>
        <v>-4845379</v>
      </c>
      <c r="E319" s="92">
        <v>0</v>
      </c>
      <c r="F319" s="92">
        <v>0</v>
      </c>
      <c r="G319" s="92">
        <v>0</v>
      </c>
      <c r="H319" s="92">
        <f t="shared" si="45"/>
        <v>-4845379</v>
      </c>
      <c r="I319" s="26">
        <f t="shared" si="53"/>
        <v>4845379</v>
      </c>
      <c r="J319" s="26">
        <v>0</v>
      </c>
      <c r="K319" s="26">
        <v>0</v>
      </c>
      <c r="L319" s="26">
        <v>0</v>
      </c>
      <c r="M319" s="26">
        <v>0</v>
      </c>
      <c r="N319" s="26">
        <v>0</v>
      </c>
      <c r="O319" s="26">
        <v>0</v>
      </c>
      <c r="P319" s="26">
        <v>0</v>
      </c>
      <c r="Q319" s="26">
        <v>0</v>
      </c>
      <c r="R319" s="26">
        <v>0</v>
      </c>
      <c r="S319" s="920"/>
      <c r="T319" s="26">
        <v>0</v>
      </c>
      <c r="U319" s="26">
        <v>0</v>
      </c>
      <c r="V319" s="26">
        <v>0</v>
      </c>
      <c r="W319" s="26">
        <v>0</v>
      </c>
      <c r="X319" s="26">
        <v>0</v>
      </c>
      <c r="Y319" s="26">
        <v>0</v>
      </c>
      <c r="Z319" s="26">
        <v>0</v>
      </c>
      <c r="AA319" s="26">
        <f t="shared" si="43"/>
        <v>0</v>
      </c>
      <c r="AB319" s="107"/>
      <c r="AC319" s="107"/>
      <c r="AD319" s="107"/>
      <c r="AE319" s="107"/>
      <c r="AF319" s="107"/>
      <c r="AG319" s="107"/>
      <c r="AH319" s="107"/>
      <c r="AI319" s="107"/>
      <c r="AJ319" s="107"/>
      <c r="AK319" s="107"/>
      <c r="AL319" s="107"/>
      <c r="AM319" s="107"/>
      <c r="AN319" s="107"/>
      <c r="AO319" s="108"/>
      <c r="AP319" s="108"/>
      <c r="AQ319" s="108"/>
      <c r="AR319" s="108"/>
      <c r="AS319" s="108"/>
      <c r="AT319" s="108"/>
      <c r="AU319" s="108"/>
      <c r="AV319" s="108"/>
      <c r="AW319" s="108"/>
      <c r="AX319" s="108"/>
      <c r="AY319" s="108"/>
      <c r="AZ319" s="108"/>
      <c r="BA319" s="108"/>
      <c r="BB319" s="108"/>
    </row>
    <row r="320" spans="1:54" s="109" customFormat="1" ht="12" customHeight="1">
      <c r="A320" s="8">
        <v>403020113</v>
      </c>
      <c r="B320" s="8" t="s">
        <v>901</v>
      </c>
      <c r="C320" s="918" t="str">
        <f>+VLOOKUP(A320,Clasificaciones!$C$4:$H$887,6,0)</f>
        <v>Ingresos por venta de cartera propia a personas y empresas relacionadas</v>
      </c>
      <c r="D320" s="92">
        <f>+VLOOKUP(A320,Clasificaciones!C:I,5,FALSE)</f>
        <v>-1138</v>
      </c>
      <c r="E320" s="92">
        <v>0</v>
      </c>
      <c r="F320" s="92">
        <v>0</v>
      </c>
      <c r="G320" s="92">
        <v>0</v>
      </c>
      <c r="H320" s="92">
        <f t="shared" si="45"/>
        <v>-1138</v>
      </c>
      <c r="I320" s="26">
        <f t="shared" si="53"/>
        <v>1138</v>
      </c>
      <c r="J320" s="26">
        <v>0</v>
      </c>
      <c r="K320" s="26">
        <v>0</v>
      </c>
      <c r="L320" s="26">
        <v>0</v>
      </c>
      <c r="M320" s="26">
        <v>0</v>
      </c>
      <c r="N320" s="26">
        <v>0</v>
      </c>
      <c r="O320" s="26">
        <v>0</v>
      </c>
      <c r="P320" s="26">
        <v>0</v>
      </c>
      <c r="Q320" s="26">
        <v>0</v>
      </c>
      <c r="R320" s="26">
        <v>0</v>
      </c>
      <c r="S320" s="920"/>
      <c r="T320" s="26">
        <v>0</v>
      </c>
      <c r="U320" s="26">
        <v>0</v>
      </c>
      <c r="V320" s="26">
        <v>0</v>
      </c>
      <c r="W320" s="26">
        <v>0</v>
      </c>
      <c r="X320" s="26">
        <v>0</v>
      </c>
      <c r="Y320" s="26">
        <v>0</v>
      </c>
      <c r="Z320" s="26">
        <v>0</v>
      </c>
      <c r="AA320" s="26">
        <f t="shared" si="43"/>
        <v>0</v>
      </c>
      <c r="AB320" s="107"/>
      <c r="AC320" s="107"/>
      <c r="AD320" s="107"/>
      <c r="AE320" s="107"/>
      <c r="AF320" s="107"/>
      <c r="AG320" s="107"/>
      <c r="AH320" s="107"/>
      <c r="AI320" s="107"/>
      <c r="AJ320" s="107"/>
      <c r="AK320" s="107"/>
      <c r="AL320" s="107"/>
      <c r="AM320" s="107"/>
      <c r="AN320" s="107"/>
      <c r="AO320" s="108"/>
      <c r="AP320" s="108"/>
      <c r="AQ320" s="108"/>
      <c r="AR320" s="108"/>
      <c r="AS320" s="108"/>
      <c r="AT320" s="108"/>
      <c r="AU320" s="108"/>
      <c r="AV320" s="108"/>
      <c r="AW320" s="108"/>
      <c r="AX320" s="108"/>
      <c r="AY320" s="108"/>
      <c r="AZ320" s="108"/>
      <c r="BA320" s="108"/>
      <c r="BB320" s="108"/>
    </row>
    <row r="321" spans="1:54" s="109" customFormat="1" ht="12" customHeight="1">
      <c r="A321" s="8">
        <v>403020117</v>
      </c>
      <c r="B321" s="8" t="s">
        <v>893</v>
      </c>
      <c r="C321" s="918" t="str">
        <f>+VLOOKUP(A321,Clasificaciones!$C$4:$H$887,6,0)</f>
        <v>Ingresos por venta de cartera propia a personas y empresas relacionadas</v>
      </c>
      <c r="D321" s="92">
        <f>+VLOOKUP(A321,Clasificaciones!C:I,5,FALSE)</f>
        <v>-5033923127</v>
      </c>
      <c r="E321" s="92">
        <v>0</v>
      </c>
      <c r="F321" s="92">
        <v>0</v>
      </c>
      <c r="G321" s="92">
        <v>0</v>
      </c>
      <c r="H321" s="92">
        <f t="shared" si="45"/>
        <v>-5033923127</v>
      </c>
      <c r="I321" s="26">
        <f t="shared" si="53"/>
        <v>5033923127</v>
      </c>
      <c r="J321" s="26">
        <v>0</v>
      </c>
      <c r="K321" s="26">
        <v>0</v>
      </c>
      <c r="L321" s="26">
        <v>0</v>
      </c>
      <c r="M321" s="26">
        <v>0</v>
      </c>
      <c r="N321" s="26">
        <v>0</v>
      </c>
      <c r="O321" s="26">
        <v>0</v>
      </c>
      <c r="P321" s="26">
        <v>0</v>
      </c>
      <c r="Q321" s="26">
        <v>0</v>
      </c>
      <c r="R321" s="26">
        <v>0</v>
      </c>
      <c r="S321" s="920"/>
      <c r="T321" s="26">
        <v>0</v>
      </c>
      <c r="U321" s="26">
        <v>0</v>
      </c>
      <c r="V321" s="26">
        <v>0</v>
      </c>
      <c r="W321" s="26">
        <v>0</v>
      </c>
      <c r="X321" s="26">
        <v>0</v>
      </c>
      <c r="Y321" s="26">
        <v>0</v>
      </c>
      <c r="Z321" s="26">
        <v>0</v>
      </c>
      <c r="AA321" s="26">
        <f t="shared" si="43"/>
        <v>0</v>
      </c>
      <c r="AB321" s="107"/>
      <c r="AC321" s="107"/>
      <c r="AD321" s="107"/>
      <c r="AE321" s="107"/>
      <c r="AF321" s="107"/>
      <c r="AG321" s="107"/>
      <c r="AH321" s="107"/>
      <c r="AI321" s="107"/>
      <c r="AJ321" s="107"/>
      <c r="AK321" s="107"/>
      <c r="AL321" s="107"/>
      <c r="AM321" s="107"/>
      <c r="AN321" s="107"/>
      <c r="AO321" s="108"/>
      <c r="AP321" s="108"/>
      <c r="AQ321" s="108"/>
      <c r="AR321" s="108"/>
      <c r="AS321" s="108"/>
      <c r="AT321" s="108"/>
      <c r="AU321" s="108"/>
      <c r="AV321" s="108"/>
      <c r="AW321" s="108"/>
      <c r="AX321" s="108"/>
      <c r="AY321" s="108"/>
      <c r="AZ321" s="108"/>
      <c r="BA321" s="108"/>
      <c r="BB321" s="108"/>
    </row>
    <row r="322" spans="1:54" s="109" customFormat="1" ht="12" customHeight="1">
      <c r="A322" s="8">
        <v>403020118</v>
      </c>
      <c r="B322" s="8" t="s">
        <v>894</v>
      </c>
      <c r="C322" s="918" t="str">
        <f>+VLOOKUP(A322,Clasificaciones!$C$4:$H$887,6,0)</f>
        <v>Ingresos por venta de cartera propia a personas y empresas relacionadas</v>
      </c>
      <c r="D322" s="92">
        <f>+VLOOKUP(A322,Clasificaciones!C:I,5,FALSE)</f>
        <v>-326940640</v>
      </c>
      <c r="E322" s="92">
        <v>0</v>
      </c>
      <c r="F322" s="92">
        <v>0</v>
      </c>
      <c r="G322" s="92">
        <v>0</v>
      </c>
      <c r="H322" s="92">
        <f t="shared" si="45"/>
        <v>-326940640</v>
      </c>
      <c r="I322" s="26">
        <f t="shared" si="53"/>
        <v>326940640</v>
      </c>
      <c r="J322" s="26">
        <v>0</v>
      </c>
      <c r="K322" s="26">
        <v>0</v>
      </c>
      <c r="L322" s="26">
        <v>0</v>
      </c>
      <c r="M322" s="26">
        <v>0</v>
      </c>
      <c r="N322" s="26">
        <v>0</v>
      </c>
      <c r="O322" s="26">
        <v>0</v>
      </c>
      <c r="P322" s="26">
        <v>0</v>
      </c>
      <c r="Q322" s="26">
        <v>0</v>
      </c>
      <c r="R322" s="26">
        <v>0</v>
      </c>
      <c r="S322" s="920"/>
      <c r="T322" s="26">
        <v>0</v>
      </c>
      <c r="U322" s="26">
        <v>0</v>
      </c>
      <c r="V322" s="26">
        <v>0</v>
      </c>
      <c r="W322" s="26">
        <v>0</v>
      </c>
      <c r="X322" s="26">
        <v>0</v>
      </c>
      <c r="Y322" s="26">
        <v>0</v>
      </c>
      <c r="Z322" s="26">
        <v>0</v>
      </c>
      <c r="AA322" s="26">
        <f t="shared" si="43"/>
        <v>0</v>
      </c>
      <c r="AB322" s="107"/>
      <c r="AC322" s="107"/>
      <c r="AD322" s="107"/>
      <c r="AE322" s="107"/>
      <c r="AF322" s="107"/>
      <c r="AG322" s="107"/>
      <c r="AH322" s="107"/>
      <c r="AI322" s="107"/>
      <c r="AJ322" s="107"/>
      <c r="AK322" s="107"/>
      <c r="AL322" s="107"/>
      <c r="AM322" s="107"/>
      <c r="AN322" s="107"/>
      <c r="AO322" s="108"/>
      <c r="AP322" s="108"/>
      <c r="AQ322" s="108"/>
      <c r="AR322" s="108"/>
      <c r="AS322" s="108"/>
      <c r="AT322" s="108"/>
      <c r="AU322" s="108"/>
      <c r="AV322" s="108"/>
      <c r="AW322" s="108"/>
      <c r="AX322" s="108"/>
      <c r="AY322" s="108"/>
      <c r="AZ322" s="108"/>
      <c r="BA322" s="108"/>
      <c r="BB322" s="108"/>
    </row>
    <row r="323" spans="1:54" s="109" customFormat="1" ht="12" customHeight="1">
      <c r="A323" s="8">
        <v>403020119</v>
      </c>
      <c r="B323" s="8" t="s">
        <v>1174</v>
      </c>
      <c r="C323" s="918" t="str">
        <f>+VLOOKUP(A323,Clasificaciones!$C$4:$H$887,6,0)</f>
        <v>Ingresos por venta de cartera propia a personas y empresas relacionadas</v>
      </c>
      <c r="D323" s="92">
        <f>+VLOOKUP(A323,Clasificaciones!C:I,5,FALSE)</f>
        <v>-1253618015</v>
      </c>
      <c r="E323" s="92">
        <v>0</v>
      </c>
      <c r="F323" s="92">
        <v>0</v>
      </c>
      <c r="G323" s="92">
        <v>0</v>
      </c>
      <c r="H323" s="92">
        <f t="shared" si="45"/>
        <v>-1253618015</v>
      </c>
      <c r="I323" s="26">
        <f t="shared" si="53"/>
        <v>1253618015</v>
      </c>
      <c r="J323" s="26">
        <v>0</v>
      </c>
      <c r="K323" s="26">
        <v>0</v>
      </c>
      <c r="L323" s="26">
        <v>0</v>
      </c>
      <c r="M323" s="26">
        <v>0</v>
      </c>
      <c r="N323" s="26">
        <v>0</v>
      </c>
      <c r="O323" s="26">
        <v>0</v>
      </c>
      <c r="P323" s="26">
        <v>0</v>
      </c>
      <c r="Q323" s="26">
        <v>0</v>
      </c>
      <c r="R323" s="26">
        <v>0</v>
      </c>
      <c r="S323" s="920"/>
      <c r="T323" s="26">
        <v>0</v>
      </c>
      <c r="U323" s="26">
        <v>0</v>
      </c>
      <c r="V323" s="26">
        <v>0</v>
      </c>
      <c r="W323" s="26">
        <v>0</v>
      </c>
      <c r="X323" s="26">
        <v>0</v>
      </c>
      <c r="Y323" s="26">
        <v>0</v>
      </c>
      <c r="Z323" s="26">
        <v>0</v>
      </c>
      <c r="AA323" s="26">
        <f t="shared" si="43"/>
        <v>0</v>
      </c>
      <c r="AB323" s="107"/>
      <c r="AC323" s="107"/>
      <c r="AD323" s="107"/>
      <c r="AE323" s="107"/>
      <c r="AF323" s="107"/>
      <c r="AG323" s="107"/>
      <c r="AH323" s="107"/>
      <c r="AI323" s="107"/>
      <c r="AJ323" s="107"/>
      <c r="AK323" s="107"/>
      <c r="AL323" s="107"/>
      <c r="AM323" s="107"/>
      <c r="AN323" s="107"/>
      <c r="AO323" s="108"/>
      <c r="AP323" s="108"/>
      <c r="AQ323" s="108"/>
      <c r="AR323" s="108"/>
      <c r="AS323" s="108"/>
      <c r="AT323" s="108"/>
      <c r="AU323" s="108"/>
      <c r="AV323" s="108"/>
      <c r="AW323" s="108"/>
      <c r="AX323" s="108"/>
      <c r="AY323" s="108"/>
      <c r="AZ323" s="108"/>
      <c r="BA323" s="108"/>
      <c r="BB323" s="108"/>
    </row>
    <row r="324" spans="1:54" s="109" customFormat="1" ht="12" customHeight="1">
      <c r="A324" s="8">
        <v>403020121</v>
      </c>
      <c r="B324" s="8" t="s">
        <v>902</v>
      </c>
      <c r="C324" s="918" t="str">
        <f>+VLOOKUP(A324,Clasificaciones!$C$4:$H$887,6,0)</f>
        <v>Ingresos por venta de cartera propia a personas y empresas relacionadas</v>
      </c>
      <c r="D324" s="92">
        <f>+VLOOKUP(A324,Clasificaciones!C:I,5,FALSE)</f>
        <v>-226700074</v>
      </c>
      <c r="E324" s="92">
        <v>0</v>
      </c>
      <c r="F324" s="92">
        <v>0</v>
      </c>
      <c r="G324" s="92">
        <v>0</v>
      </c>
      <c r="H324" s="92">
        <f t="shared" si="45"/>
        <v>-226700074</v>
      </c>
      <c r="I324" s="26">
        <f t="shared" si="53"/>
        <v>226700074</v>
      </c>
      <c r="J324" s="26">
        <v>0</v>
      </c>
      <c r="K324" s="26">
        <v>0</v>
      </c>
      <c r="L324" s="26">
        <v>0</v>
      </c>
      <c r="M324" s="26">
        <v>0</v>
      </c>
      <c r="N324" s="26">
        <v>0</v>
      </c>
      <c r="O324" s="26">
        <v>0</v>
      </c>
      <c r="P324" s="26">
        <v>0</v>
      </c>
      <c r="Q324" s="26">
        <v>0</v>
      </c>
      <c r="R324" s="26">
        <v>0</v>
      </c>
      <c r="S324" s="920"/>
      <c r="T324" s="26">
        <v>0</v>
      </c>
      <c r="U324" s="26">
        <v>0</v>
      </c>
      <c r="V324" s="26">
        <v>0</v>
      </c>
      <c r="W324" s="26">
        <v>0</v>
      </c>
      <c r="X324" s="26">
        <v>0</v>
      </c>
      <c r="Y324" s="26">
        <v>0</v>
      </c>
      <c r="Z324" s="26">
        <v>0</v>
      </c>
      <c r="AA324" s="26">
        <f t="shared" si="43"/>
        <v>0</v>
      </c>
      <c r="AB324" s="107"/>
      <c r="AC324" s="107"/>
      <c r="AD324" s="107"/>
      <c r="AE324" s="107"/>
      <c r="AF324" s="107"/>
      <c r="AG324" s="107"/>
      <c r="AH324" s="107"/>
      <c r="AI324" s="107"/>
      <c r="AJ324" s="107"/>
      <c r="AK324" s="107"/>
      <c r="AL324" s="107"/>
      <c r="AM324" s="107"/>
      <c r="AN324" s="107"/>
      <c r="AO324" s="108"/>
      <c r="AP324" s="108"/>
      <c r="AQ324" s="108"/>
      <c r="AR324" s="108"/>
      <c r="AS324" s="108"/>
      <c r="AT324" s="108"/>
      <c r="AU324" s="108"/>
      <c r="AV324" s="108"/>
      <c r="AW324" s="108"/>
      <c r="AX324" s="108"/>
      <c r="AY324" s="108"/>
      <c r="AZ324" s="108"/>
      <c r="BA324" s="108"/>
      <c r="BB324" s="108"/>
    </row>
    <row r="325" spans="1:54" s="109" customFormat="1" ht="12" customHeight="1">
      <c r="A325" s="8">
        <v>403020129</v>
      </c>
      <c r="B325" s="8" t="s">
        <v>895</v>
      </c>
      <c r="C325" s="918" t="str">
        <f>+VLOOKUP(A325,Clasificaciones!$C$4:$H$887,6,0)</f>
        <v>Ingresos por venta de cartera propia</v>
      </c>
      <c r="D325" s="92">
        <f>+VLOOKUP(A325,Clasificaciones!C:I,5,FALSE)</f>
        <v>-347379263</v>
      </c>
      <c r="E325" s="92">
        <v>0</v>
      </c>
      <c r="F325" s="92">
        <v>0</v>
      </c>
      <c r="G325" s="92">
        <v>0</v>
      </c>
      <c r="H325" s="92">
        <f t="shared" si="45"/>
        <v>-347379263</v>
      </c>
      <c r="I325" s="26">
        <f t="shared" si="53"/>
        <v>347379263</v>
      </c>
      <c r="J325" s="26">
        <v>0</v>
      </c>
      <c r="K325" s="26">
        <v>0</v>
      </c>
      <c r="L325" s="26">
        <v>0</v>
      </c>
      <c r="M325" s="26">
        <v>0</v>
      </c>
      <c r="N325" s="26">
        <v>0</v>
      </c>
      <c r="O325" s="26">
        <v>0</v>
      </c>
      <c r="P325" s="26">
        <v>0</v>
      </c>
      <c r="Q325" s="26">
        <v>0</v>
      </c>
      <c r="R325" s="26">
        <v>0</v>
      </c>
      <c r="S325" s="920"/>
      <c r="T325" s="26">
        <v>0</v>
      </c>
      <c r="U325" s="26">
        <v>0</v>
      </c>
      <c r="V325" s="26">
        <v>0</v>
      </c>
      <c r="W325" s="26">
        <v>0</v>
      </c>
      <c r="X325" s="26">
        <v>0</v>
      </c>
      <c r="Y325" s="26">
        <v>0</v>
      </c>
      <c r="Z325" s="26">
        <v>0</v>
      </c>
      <c r="AA325" s="26">
        <f t="shared" si="43"/>
        <v>0</v>
      </c>
      <c r="AB325" s="107"/>
      <c r="AC325" s="107"/>
      <c r="AD325" s="107"/>
      <c r="AE325" s="107"/>
      <c r="AF325" s="107"/>
      <c r="AG325" s="107"/>
      <c r="AH325" s="107"/>
      <c r="AI325" s="107"/>
      <c r="AJ325" s="107"/>
      <c r="AK325" s="107"/>
      <c r="AL325" s="107"/>
      <c r="AM325" s="107"/>
      <c r="AN325" s="107"/>
      <c r="AO325" s="108"/>
      <c r="AP325" s="108"/>
      <c r="AQ325" s="108"/>
      <c r="AR325" s="108"/>
      <c r="AS325" s="108"/>
      <c r="AT325" s="108"/>
      <c r="AU325" s="108"/>
      <c r="AV325" s="108"/>
      <c r="AW325" s="108"/>
      <c r="AX325" s="108"/>
      <c r="AY325" s="108"/>
      <c r="AZ325" s="108"/>
      <c r="BA325" s="108"/>
      <c r="BB325" s="108"/>
    </row>
    <row r="326" spans="1:54" s="109" customFormat="1" ht="12" customHeight="1">
      <c r="A326" s="8">
        <v>403020131</v>
      </c>
      <c r="B326" s="8" t="s">
        <v>903</v>
      </c>
      <c r="C326" s="918" t="str">
        <f>+VLOOKUP(A326,Clasificaciones!$C$4:$H$887,6,0)</f>
        <v>Ingresos por venta de cartera propia</v>
      </c>
      <c r="D326" s="92">
        <f>+VLOOKUP(A326,Clasificaciones!C:I,5,FALSE)</f>
        <v>-51189968</v>
      </c>
      <c r="E326" s="92">
        <v>0</v>
      </c>
      <c r="F326" s="92">
        <v>0</v>
      </c>
      <c r="G326" s="92">
        <v>0</v>
      </c>
      <c r="H326" s="92">
        <f t="shared" si="45"/>
        <v>-51189968</v>
      </c>
      <c r="I326" s="26">
        <f t="shared" si="53"/>
        <v>51189968</v>
      </c>
      <c r="J326" s="26">
        <v>0</v>
      </c>
      <c r="K326" s="26">
        <v>0</v>
      </c>
      <c r="L326" s="26">
        <v>0</v>
      </c>
      <c r="M326" s="26">
        <v>0</v>
      </c>
      <c r="N326" s="26">
        <v>0</v>
      </c>
      <c r="O326" s="26">
        <v>0</v>
      </c>
      <c r="P326" s="26">
        <v>0</v>
      </c>
      <c r="Q326" s="26">
        <v>0</v>
      </c>
      <c r="R326" s="26">
        <v>0</v>
      </c>
      <c r="S326" s="920"/>
      <c r="T326" s="26">
        <v>0</v>
      </c>
      <c r="U326" s="26">
        <v>0</v>
      </c>
      <c r="V326" s="26">
        <v>0</v>
      </c>
      <c r="W326" s="26">
        <v>0</v>
      </c>
      <c r="X326" s="26">
        <v>0</v>
      </c>
      <c r="Y326" s="26">
        <v>0</v>
      </c>
      <c r="Z326" s="26">
        <v>0</v>
      </c>
      <c r="AA326" s="26">
        <f t="shared" ref="AA326:AA389" si="54">SUM(H326:Z326)</f>
        <v>0</v>
      </c>
      <c r="AB326" s="107"/>
      <c r="AC326" s="107"/>
      <c r="AD326" s="107"/>
      <c r="AE326" s="107"/>
      <c r="AF326" s="107"/>
      <c r="AG326" s="107"/>
      <c r="AH326" s="107"/>
      <c r="AI326" s="107"/>
      <c r="AJ326" s="107"/>
      <c r="AK326" s="107"/>
      <c r="AL326" s="107"/>
      <c r="AM326" s="107"/>
      <c r="AN326" s="107"/>
      <c r="AO326" s="108"/>
      <c r="AP326" s="108"/>
      <c r="AQ326" s="108"/>
      <c r="AR326" s="108"/>
      <c r="AS326" s="108"/>
      <c r="AT326" s="108"/>
      <c r="AU326" s="108"/>
      <c r="AV326" s="108"/>
      <c r="AW326" s="108"/>
      <c r="AX326" s="108"/>
      <c r="AY326" s="108"/>
      <c r="AZ326" s="108"/>
      <c r="BA326" s="108"/>
      <c r="BB326" s="108"/>
    </row>
    <row r="327" spans="1:54" s="109" customFormat="1" ht="12" customHeight="1">
      <c r="A327" s="8">
        <v>403020133</v>
      </c>
      <c r="B327" s="8" t="s">
        <v>904</v>
      </c>
      <c r="C327" s="918" t="str">
        <f>+VLOOKUP(A327,Clasificaciones!$C$4:$H$887,6,0)</f>
        <v>Ingresos por venta de cartera propia a personas y empresas relacionadas</v>
      </c>
      <c r="D327" s="92">
        <f>+VLOOKUP(A327,Clasificaciones!C:I,5,FALSE)</f>
        <v>-610001703</v>
      </c>
      <c r="E327" s="92">
        <v>0</v>
      </c>
      <c r="F327" s="92">
        <v>0</v>
      </c>
      <c r="G327" s="92">
        <v>0</v>
      </c>
      <c r="H327" s="92">
        <f t="shared" si="45"/>
        <v>-610001703</v>
      </c>
      <c r="I327" s="26">
        <f t="shared" si="53"/>
        <v>610001703</v>
      </c>
      <c r="J327" s="26">
        <v>0</v>
      </c>
      <c r="K327" s="26">
        <v>0</v>
      </c>
      <c r="L327" s="26">
        <v>0</v>
      </c>
      <c r="M327" s="26">
        <v>0</v>
      </c>
      <c r="N327" s="26">
        <v>0</v>
      </c>
      <c r="O327" s="26">
        <v>0</v>
      </c>
      <c r="P327" s="26">
        <v>0</v>
      </c>
      <c r="Q327" s="26">
        <v>0</v>
      </c>
      <c r="R327" s="26">
        <v>0</v>
      </c>
      <c r="S327" s="920"/>
      <c r="T327" s="26">
        <v>0</v>
      </c>
      <c r="U327" s="26">
        <v>0</v>
      </c>
      <c r="V327" s="26">
        <v>0</v>
      </c>
      <c r="W327" s="26">
        <v>0</v>
      </c>
      <c r="X327" s="26">
        <v>0</v>
      </c>
      <c r="Y327" s="26">
        <v>0</v>
      </c>
      <c r="Z327" s="26">
        <v>0</v>
      </c>
      <c r="AA327" s="26">
        <f t="shared" si="54"/>
        <v>0</v>
      </c>
      <c r="AB327" s="107"/>
      <c r="AC327" s="107"/>
      <c r="AD327" s="107"/>
      <c r="AE327" s="107"/>
      <c r="AF327" s="107"/>
      <c r="AG327" s="107"/>
      <c r="AH327" s="107"/>
      <c r="AI327" s="107"/>
      <c r="AJ327" s="107"/>
      <c r="AK327" s="107"/>
      <c r="AL327" s="107"/>
      <c r="AM327" s="107"/>
      <c r="AN327" s="107"/>
      <c r="AO327" s="108"/>
      <c r="AP327" s="108"/>
      <c r="AQ327" s="108"/>
      <c r="AR327" s="108"/>
      <c r="AS327" s="108"/>
      <c r="AT327" s="108"/>
      <c r="AU327" s="108"/>
      <c r="AV327" s="108"/>
      <c r="AW327" s="108"/>
      <c r="AX327" s="108"/>
      <c r="AY327" s="108"/>
      <c r="AZ327" s="108"/>
      <c r="BA327" s="108"/>
      <c r="BB327" s="108"/>
    </row>
    <row r="328" spans="1:54" s="109" customFormat="1" ht="12" customHeight="1">
      <c r="A328" s="8">
        <v>4030202</v>
      </c>
      <c r="B328" s="8" t="s">
        <v>1186</v>
      </c>
      <c r="C328" s="8"/>
      <c r="D328" s="92">
        <f>+VLOOKUP(A328,Clasificaciones!C:I,5,FALSE)</f>
        <v>0</v>
      </c>
      <c r="E328" s="92">
        <v>0</v>
      </c>
      <c r="F328" s="92">
        <v>0</v>
      </c>
      <c r="G328" s="92">
        <v>0</v>
      </c>
      <c r="H328" s="92">
        <f t="shared" si="45"/>
        <v>0</v>
      </c>
      <c r="I328" s="26">
        <v>0</v>
      </c>
      <c r="J328" s="26">
        <v>0</v>
      </c>
      <c r="K328" s="26">
        <v>0</v>
      </c>
      <c r="L328" s="26">
        <v>0</v>
      </c>
      <c r="M328" s="26">
        <v>0</v>
      </c>
      <c r="N328" s="26">
        <v>0</v>
      </c>
      <c r="O328" s="26">
        <v>0</v>
      </c>
      <c r="P328" s="26">
        <v>0</v>
      </c>
      <c r="Q328" s="26">
        <v>0</v>
      </c>
      <c r="R328" s="26">
        <v>0</v>
      </c>
      <c r="S328" s="26">
        <f t="shared" ref="S328" si="55">-H328</f>
        <v>0</v>
      </c>
      <c r="T328" s="26">
        <v>0</v>
      </c>
      <c r="U328" s="26">
        <v>0</v>
      </c>
      <c r="V328" s="26">
        <v>0</v>
      </c>
      <c r="W328" s="26">
        <v>0</v>
      </c>
      <c r="X328" s="26">
        <v>0</v>
      </c>
      <c r="Y328" s="26">
        <v>0</v>
      </c>
      <c r="Z328" s="26">
        <v>0</v>
      </c>
      <c r="AA328" s="26">
        <f t="shared" si="54"/>
        <v>0</v>
      </c>
      <c r="AB328" s="107"/>
      <c r="AC328" s="107"/>
      <c r="AD328" s="107"/>
      <c r="AE328" s="107"/>
      <c r="AF328" s="107"/>
      <c r="AG328" s="107"/>
      <c r="AH328" s="107"/>
      <c r="AI328" s="107"/>
      <c r="AJ328" s="107"/>
      <c r="AK328" s="107"/>
      <c r="AL328" s="107"/>
      <c r="AM328" s="107"/>
      <c r="AN328" s="107"/>
      <c r="AO328" s="108"/>
      <c r="AP328" s="108"/>
      <c r="AQ328" s="108"/>
      <c r="AR328" s="108"/>
      <c r="AS328" s="108"/>
      <c r="AT328" s="108"/>
      <c r="AU328" s="108"/>
      <c r="AV328" s="108"/>
      <c r="AW328" s="108"/>
      <c r="AX328" s="108"/>
      <c r="AY328" s="108"/>
      <c r="AZ328" s="108"/>
      <c r="BA328" s="108"/>
      <c r="BB328" s="108"/>
    </row>
    <row r="329" spans="1:54" s="109" customFormat="1" ht="12" customHeight="1">
      <c r="A329" s="8">
        <v>403020202</v>
      </c>
      <c r="B329" s="8" t="s">
        <v>899</v>
      </c>
      <c r="C329" s="918" t="str">
        <f>+VLOOKUP(A329,Clasificaciones!$C$4:$H$887,6,0)</f>
        <v>Otros Ingresos Operativos</v>
      </c>
      <c r="D329" s="92">
        <f>+VLOOKUP(A329,Clasificaciones!C:I,5,FALSE)</f>
        <v>-265305</v>
      </c>
      <c r="E329" s="92">
        <v>0</v>
      </c>
      <c r="F329" s="92">
        <v>0</v>
      </c>
      <c r="G329" s="92">
        <v>0</v>
      </c>
      <c r="H329" s="92">
        <f t="shared" si="45"/>
        <v>-265305</v>
      </c>
      <c r="I329" s="26">
        <f>-H329</f>
        <v>265305</v>
      </c>
      <c r="J329" s="26">
        <v>0</v>
      </c>
      <c r="K329" s="26">
        <v>0</v>
      </c>
      <c r="L329" s="26">
        <v>0</v>
      </c>
      <c r="M329" s="26">
        <v>0</v>
      </c>
      <c r="N329" s="26">
        <v>0</v>
      </c>
      <c r="O329" s="26">
        <v>0</v>
      </c>
      <c r="P329" s="26">
        <v>0</v>
      </c>
      <c r="Q329" s="26">
        <v>0</v>
      </c>
      <c r="R329" s="26">
        <v>0</v>
      </c>
      <c r="S329" s="920"/>
      <c r="T329" s="26">
        <v>0</v>
      </c>
      <c r="U329" s="26">
        <v>0</v>
      </c>
      <c r="V329" s="26">
        <v>0</v>
      </c>
      <c r="W329" s="26">
        <v>0</v>
      </c>
      <c r="X329" s="26">
        <v>0</v>
      </c>
      <c r="Y329" s="26">
        <v>0</v>
      </c>
      <c r="Z329" s="26">
        <v>0</v>
      </c>
      <c r="AA329" s="26">
        <f t="shared" si="54"/>
        <v>0</v>
      </c>
      <c r="AB329" s="107"/>
      <c r="AC329" s="107"/>
      <c r="AD329" s="107"/>
      <c r="AE329" s="107"/>
      <c r="AF329" s="107"/>
      <c r="AG329" s="107"/>
      <c r="AH329" s="107"/>
      <c r="AI329" s="107"/>
      <c r="AJ329" s="107"/>
      <c r="AK329" s="107"/>
      <c r="AL329" s="107"/>
      <c r="AM329" s="107"/>
      <c r="AN329" s="107"/>
      <c r="AO329" s="108"/>
      <c r="AP329" s="108"/>
      <c r="AQ329" s="108"/>
      <c r="AR329" s="108"/>
      <c r="AS329" s="108"/>
      <c r="AT329" s="108"/>
      <c r="AU329" s="108"/>
      <c r="AV329" s="108"/>
      <c r="AW329" s="108"/>
      <c r="AX329" s="108"/>
      <c r="AY329" s="108"/>
      <c r="AZ329" s="108"/>
      <c r="BA329" s="108"/>
      <c r="BB329" s="108"/>
    </row>
    <row r="330" spans="1:54" s="109" customFormat="1" ht="12" customHeight="1">
      <c r="A330" s="8">
        <v>404</v>
      </c>
      <c r="B330" s="8" t="s">
        <v>1187</v>
      </c>
      <c r="C330" s="8"/>
      <c r="D330" s="92">
        <f>+VLOOKUP(A330,Clasificaciones!C:I,5,FALSE)</f>
        <v>0</v>
      </c>
      <c r="E330" s="92">
        <v>0</v>
      </c>
      <c r="F330" s="92">
        <v>0</v>
      </c>
      <c r="G330" s="92">
        <v>0</v>
      </c>
      <c r="H330" s="92">
        <f t="shared" ref="H330:H334" si="56">+D330-G330+E330-F330</f>
        <v>0</v>
      </c>
      <c r="I330" s="26"/>
      <c r="J330" s="26">
        <v>0</v>
      </c>
      <c r="K330" s="26">
        <v>0</v>
      </c>
      <c r="L330" s="26">
        <v>0</v>
      </c>
      <c r="M330" s="26">
        <v>0</v>
      </c>
      <c r="N330" s="26">
        <v>0</v>
      </c>
      <c r="O330" s="26">
        <v>0</v>
      </c>
      <c r="P330" s="26">
        <v>0</v>
      </c>
      <c r="Q330" s="26">
        <v>0</v>
      </c>
      <c r="R330" s="26">
        <v>0</v>
      </c>
      <c r="S330" s="26">
        <f t="shared" ref="S330:S331" si="57">-H330</f>
        <v>0</v>
      </c>
      <c r="T330" s="26">
        <v>0</v>
      </c>
      <c r="U330" s="26">
        <v>0</v>
      </c>
      <c r="V330" s="26">
        <v>0</v>
      </c>
      <c r="W330" s="26">
        <v>0</v>
      </c>
      <c r="X330" s="26">
        <v>0</v>
      </c>
      <c r="Y330" s="26">
        <v>0</v>
      </c>
      <c r="Z330" s="26">
        <v>0</v>
      </c>
      <c r="AA330" s="26">
        <f t="shared" si="54"/>
        <v>0</v>
      </c>
      <c r="AB330" s="107"/>
      <c r="AC330" s="107"/>
      <c r="AD330" s="107"/>
      <c r="AE330" s="107"/>
      <c r="AF330" s="107"/>
      <c r="AG330" s="107"/>
      <c r="AH330" s="107"/>
      <c r="AI330" s="107"/>
      <c r="AJ330" s="107"/>
      <c r="AK330" s="107"/>
      <c r="AL330" s="107"/>
      <c r="AM330" s="107"/>
      <c r="AN330" s="107"/>
      <c r="AO330" s="108"/>
      <c r="AP330" s="108"/>
      <c r="AQ330" s="108"/>
      <c r="AR330" s="108"/>
      <c r="AS330" s="108"/>
      <c r="AT330" s="108"/>
      <c r="AU330" s="108"/>
      <c r="AV330" s="108"/>
      <c r="AW330" s="108"/>
      <c r="AX330" s="108"/>
      <c r="AY330" s="108"/>
      <c r="AZ330" s="108"/>
      <c r="BA330" s="108"/>
      <c r="BB330" s="108"/>
    </row>
    <row r="331" spans="1:54" s="109" customFormat="1" ht="12" customHeight="1">
      <c r="A331" s="8">
        <v>40401</v>
      </c>
      <c r="B331" s="8" t="s">
        <v>1188</v>
      </c>
      <c r="C331" s="8"/>
      <c r="D331" s="92">
        <f>+VLOOKUP(A331,Clasificaciones!C:I,5,FALSE)</f>
        <v>0</v>
      </c>
      <c r="E331" s="92">
        <v>0</v>
      </c>
      <c r="F331" s="92">
        <v>0</v>
      </c>
      <c r="G331" s="92">
        <v>0</v>
      </c>
      <c r="H331" s="92">
        <f t="shared" si="56"/>
        <v>0</v>
      </c>
      <c r="I331" s="26"/>
      <c r="J331" s="26">
        <v>0</v>
      </c>
      <c r="K331" s="26">
        <v>0</v>
      </c>
      <c r="L331" s="26">
        <v>0</v>
      </c>
      <c r="M331" s="26">
        <v>0</v>
      </c>
      <c r="N331" s="26">
        <v>0</v>
      </c>
      <c r="O331" s="26">
        <v>0</v>
      </c>
      <c r="P331" s="26">
        <v>0</v>
      </c>
      <c r="Q331" s="26">
        <v>0</v>
      </c>
      <c r="R331" s="26">
        <v>0</v>
      </c>
      <c r="S331" s="26">
        <f t="shared" si="57"/>
        <v>0</v>
      </c>
      <c r="T331" s="26">
        <v>0</v>
      </c>
      <c r="U331" s="26">
        <v>0</v>
      </c>
      <c r="V331" s="26">
        <v>0</v>
      </c>
      <c r="W331" s="26">
        <v>0</v>
      </c>
      <c r="X331" s="26">
        <v>0</v>
      </c>
      <c r="Y331" s="26">
        <v>0</v>
      </c>
      <c r="Z331" s="26">
        <v>0</v>
      </c>
      <c r="AA331" s="26">
        <f t="shared" si="54"/>
        <v>0</v>
      </c>
      <c r="AB331" s="107"/>
      <c r="AC331" s="107"/>
      <c r="AD331" s="107"/>
      <c r="AE331" s="107"/>
      <c r="AF331" s="107"/>
      <c r="AG331" s="107"/>
      <c r="AH331" s="107"/>
      <c r="AI331" s="107"/>
      <c r="AJ331" s="107"/>
      <c r="AK331" s="107"/>
      <c r="AL331" s="107"/>
      <c r="AM331" s="107"/>
      <c r="AN331" s="107"/>
      <c r="AO331" s="108"/>
      <c r="AP331" s="108"/>
      <c r="AQ331" s="108"/>
      <c r="AR331" s="108"/>
      <c r="AS331" s="108"/>
      <c r="AT331" s="108"/>
      <c r="AU331" s="108"/>
      <c r="AV331" s="108"/>
      <c r="AW331" s="108"/>
      <c r="AX331" s="108"/>
      <c r="AY331" s="108"/>
      <c r="AZ331" s="108"/>
      <c r="BA331" s="108"/>
      <c r="BB331" s="108"/>
    </row>
    <row r="332" spans="1:54" s="109" customFormat="1" ht="12" customHeight="1">
      <c r="A332" s="8">
        <v>4040101</v>
      </c>
      <c r="B332" s="8" t="s">
        <v>1425</v>
      </c>
      <c r="C332" s="8"/>
      <c r="D332" s="92">
        <f>+VLOOKUP(A332,Clasificaciones!C:I,5,FALSE)</f>
        <v>-11011210</v>
      </c>
      <c r="E332" s="92">
        <v>0</v>
      </c>
      <c r="F332" s="92">
        <v>0</v>
      </c>
      <c r="G332" s="92">
        <v>0</v>
      </c>
      <c r="H332" s="92">
        <f t="shared" si="56"/>
        <v>-11011210</v>
      </c>
      <c r="I332" s="26">
        <f>-H332</f>
        <v>11011210</v>
      </c>
      <c r="J332" s="26">
        <v>0</v>
      </c>
      <c r="K332" s="26">
        <v>0</v>
      </c>
      <c r="L332" s="26">
        <v>0</v>
      </c>
      <c r="M332" s="26">
        <v>0</v>
      </c>
      <c r="N332" s="26">
        <v>0</v>
      </c>
      <c r="O332" s="26">
        <v>0</v>
      </c>
      <c r="P332" s="26">
        <v>0</v>
      </c>
      <c r="Q332" s="26">
        <v>0</v>
      </c>
      <c r="R332" s="26">
        <v>0</v>
      </c>
      <c r="S332" s="26">
        <v>0</v>
      </c>
      <c r="T332" s="26">
        <v>0</v>
      </c>
      <c r="U332" s="26">
        <v>0</v>
      </c>
      <c r="V332" s="26">
        <v>0</v>
      </c>
      <c r="W332" s="26">
        <v>0</v>
      </c>
      <c r="X332" s="26">
        <v>0</v>
      </c>
      <c r="Y332" s="26">
        <v>0</v>
      </c>
      <c r="Z332" s="26">
        <v>0</v>
      </c>
      <c r="AA332" s="26">
        <f t="shared" si="54"/>
        <v>0</v>
      </c>
      <c r="AB332" s="107"/>
      <c r="AC332" s="107"/>
      <c r="AD332" s="107"/>
      <c r="AE332" s="107"/>
      <c r="AF332" s="107"/>
      <c r="AG332" s="107"/>
      <c r="AH332" s="107"/>
      <c r="AI332" s="107"/>
      <c r="AJ332" s="107"/>
      <c r="AK332" s="107"/>
      <c r="AL332" s="107"/>
      <c r="AM332" s="107"/>
      <c r="AN332" s="107"/>
      <c r="AO332" s="108"/>
      <c r="AP332" s="108"/>
      <c r="AQ332" s="108"/>
      <c r="AR332" s="108"/>
      <c r="AS332" s="108"/>
      <c r="AT332" s="108"/>
      <c r="AU332" s="108"/>
      <c r="AV332" s="108"/>
      <c r="AW332" s="108"/>
      <c r="AX332" s="108"/>
      <c r="AY332" s="108"/>
      <c r="AZ332" s="108"/>
      <c r="BA332" s="108"/>
      <c r="BB332" s="108"/>
    </row>
    <row r="333" spans="1:54" s="109" customFormat="1" ht="12" customHeight="1">
      <c r="A333" s="8">
        <v>4040102</v>
      </c>
      <c r="B333" s="8" t="s">
        <v>1426</v>
      </c>
      <c r="C333" s="8"/>
      <c r="D333" s="92">
        <f>+VLOOKUP(A333,Clasificaciones!C:I,5,FALSE)</f>
        <v>-16516815</v>
      </c>
      <c r="E333" s="92">
        <v>0</v>
      </c>
      <c r="F333" s="92">
        <v>0</v>
      </c>
      <c r="G333" s="92">
        <v>0</v>
      </c>
      <c r="H333" s="92">
        <f t="shared" si="56"/>
        <v>-16516815</v>
      </c>
      <c r="I333" s="26">
        <f t="shared" ref="I333:I334" si="58">-H333</f>
        <v>16516815</v>
      </c>
      <c r="J333" s="26">
        <v>0</v>
      </c>
      <c r="K333" s="26">
        <v>0</v>
      </c>
      <c r="L333" s="26">
        <v>0</v>
      </c>
      <c r="M333" s="26">
        <v>0</v>
      </c>
      <c r="N333" s="26">
        <v>0</v>
      </c>
      <c r="O333" s="26">
        <v>0</v>
      </c>
      <c r="P333" s="26">
        <v>0</v>
      </c>
      <c r="Q333" s="26">
        <v>0</v>
      </c>
      <c r="R333" s="26">
        <v>0</v>
      </c>
      <c r="S333" s="26">
        <v>0</v>
      </c>
      <c r="T333" s="26">
        <v>0</v>
      </c>
      <c r="U333" s="26">
        <v>0</v>
      </c>
      <c r="V333" s="26">
        <v>0</v>
      </c>
      <c r="W333" s="26">
        <v>0</v>
      </c>
      <c r="X333" s="26">
        <v>0</v>
      </c>
      <c r="Y333" s="26">
        <v>0</v>
      </c>
      <c r="Z333" s="26">
        <v>0</v>
      </c>
      <c r="AA333" s="26">
        <f t="shared" si="54"/>
        <v>0</v>
      </c>
      <c r="AB333" s="107"/>
      <c r="AC333" s="107"/>
      <c r="AD333" s="107"/>
      <c r="AE333" s="107"/>
      <c r="AF333" s="107"/>
      <c r="AG333" s="107"/>
      <c r="AH333" s="107"/>
      <c r="AI333" s="107"/>
      <c r="AJ333" s="107"/>
      <c r="AK333" s="107"/>
      <c r="AL333" s="107"/>
      <c r="AM333" s="107"/>
      <c r="AN333" s="107"/>
      <c r="AO333" s="108"/>
      <c r="AP333" s="108"/>
      <c r="AQ333" s="108"/>
      <c r="AR333" s="108"/>
      <c r="AS333" s="108"/>
      <c r="AT333" s="108"/>
      <c r="AU333" s="108"/>
      <c r="AV333" s="108"/>
      <c r="AW333" s="108"/>
      <c r="AX333" s="108"/>
      <c r="AY333" s="108"/>
      <c r="AZ333" s="108"/>
      <c r="BA333" s="108"/>
      <c r="BB333" s="108"/>
    </row>
    <row r="334" spans="1:54" s="109" customFormat="1" ht="12" customHeight="1">
      <c r="A334" s="8">
        <v>4040103</v>
      </c>
      <c r="B334" s="8" t="s">
        <v>1427</v>
      </c>
      <c r="C334" s="8"/>
      <c r="D334" s="92">
        <f>+VLOOKUP(A334,Clasificaciones!C:I,5,FALSE)</f>
        <v>-55056050</v>
      </c>
      <c r="E334" s="92">
        <v>0</v>
      </c>
      <c r="F334" s="92">
        <v>0</v>
      </c>
      <c r="G334" s="92">
        <v>0</v>
      </c>
      <c r="H334" s="92">
        <f t="shared" si="56"/>
        <v>-55056050</v>
      </c>
      <c r="I334" s="26">
        <f t="shared" si="58"/>
        <v>55056050</v>
      </c>
      <c r="J334" s="26">
        <v>0</v>
      </c>
      <c r="K334" s="26">
        <v>0</v>
      </c>
      <c r="L334" s="26">
        <v>0</v>
      </c>
      <c r="M334" s="26">
        <v>0</v>
      </c>
      <c r="N334" s="26">
        <v>0</v>
      </c>
      <c r="O334" s="26">
        <v>0</v>
      </c>
      <c r="P334" s="26">
        <v>0</v>
      </c>
      <c r="Q334" s="26">
        <v>0</v>
      </c>
      <c r="R334" s="26">
        <v>0</v>
      </c>
      <c r="S334" s="26">
        <v>0</v>
      </c>
      <c r="T334" s="26">
        <v>0</v>
      </c>
      <c r="U334" s="26">
        <v>0</v>
      </c>
      <c r="V334" s="26">
        <v>0</v>
      </c>
      <c r="W334" s="26">
        <v>0</v>
      </c>
      <c r="X334" s="26">
        <v>0</v>
      </c>
      <c r="Y334" s="26">
        <v>0</v>
      </c>
      <c r="Z334" s="26">
        <v>0</v>
      </c>
      <c r="AA334" s="26">
        <f t="shared" si="54"/>
        <v>0</v>
      </c>
      <c r="AB334" s="107"/>
      <c r="AC334" s="107"/>
      <c r="AD334" s="107"/>
      <c r="AE334" s="107"/>
      <c r="AF334" s="107"/>
      <c r="AG334" s="107"/>
      <c r="AH334" s="107"/>
      <c r="AI334" s="107"/>
      <c r="AJ334" s="107"/>
      <c r="AK334" s="107"/>
      <c r="AL334" s="107"/>
      <c r="AM334" s="107"/>
      <c r="AN334" s="107"/>
      <c r="AO334" s="108"/>
      <c r="AP334" s="108"/>
      <c r="AQ334" s="108"/>
      <c r="AR334" s="108"/>
      <c r="AS334" s="108"/>
      <c r="AT334" s="108"/>
      <c r="AU334" s="108"/>
      <c r="AV334" s="108"/>
      <c r="AW334" s="108"/>
      <c r="AX334" s="108"/>
      <c r="AY334" s="108"/>
      <c r="AZ334" s="108"/>
      <c r="BA334" s="108"/>
      <c r="BB334" s="108"/>
    </row>
    <row r="335" spans="1:54" s="109" customFormat="1" ht="12" customHeight="1">
      <c r="A335" s="8">
        <v>406</v>
      </c>
      <c r="B335" s="8" t="s">
        <v>905</v>
      </c>
      <c r="C335" s="8"/>
      <c r="D335" s="92">
        <f>+VLOOKUP(A335,Clasificaciones!C:I,5,FALSE)</f>
        <v>0</v>
      </c>
      <c r="E335" s="92">
        <v>0</v>
      </c>
      <c r="F335" s="92">
        <v>0</v>
      </c>
      <c r="G335" s="92">
        <v>0</v>
      </c>
      <c r="H335" s="92">
        <f t="shared" si="45"/>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c r="Z335" s="26">
        <v>0</v>
      </c>
      <c r="AA335" s="26">
        <f t="shared" si="54"/>
        <v>0</v>
      </c>
      <c r="AB335" s="107"/>
      <c r="AC335" s="107"/>
      <c r="AD335" s="107"/>
      <c r="AE335" s="107"/>
      <c r="AF335" s="107"/>
      <c r="AG335" s="107"/>
      <c r="AH335" s="107"/>
      <c r="AI335" s="107"/>
      <c r="AJ335" s="107"/>
      <c r="AK335" s="107"/>
      <c r="AL335" s="107"/>
      <c r="AM335" s="107"/>
      <c r="AN335" s="107"/>
      <c r="AO335" s="108"/>
      <c r="AP335" s="108"/>
      <c r="AQ335" s="108"/>
      <c r="AR335" s="108"/>
      <c r="AS335" s="108"/>
      <c r="AT335" s="108"/>
      <c r="AU335" s="108"/>
      <c r="AV335" s="108"/>
      <c r="AW335" s="108"/>
      <c r="AX335" s="108"/>
      <c r="AY335" s="108"/>
      <c r="AZ335" s="108"/>
      <c r="BA335" s="108"/>
      <c r="BB335" s="108"/>
    </row>
    <row r="336" spans="1:54" s="109" customFormat="1" ht="12" customHeight="1">
      <c r="A336" s="8">
        <v>40601</v>
      </c>
      <c r="B336" s="8" t="s">
        <v>1189</v>
      </c>
      <c r="C336" s="8"/>
      <c r="D336" s="92">
        <f>+VLOOKUP(A336,Clasificaciones!C:I,5,FALSE)</f>
        <v>0</v>
      </c>
      <c r="E336" s="92">
        <v>0</v>
      </c>
      <c r="F336" s="92">
        <v>0</v>
      </c>
      <c r="G336" s="92">
        <v>0</v>
      </c>
      <c r="H336" s="92">
        <f t="shared" si="45"/>
        <v>0</v>
      </c>
      <c r="I336" s="26">
        <v>0</v>
      </c>
      <c r="J336" s="26">
        <v>0</v>
      </c>
      <c r="K336" s="26">
        <v>0</v>
      </c>
      <c r="L336" s="26">
        <v>0</v>
      </c>
      <c r="M336" s="26">
        <v>0</v>
      </c>
      <c r="N336" s="26">
        <v>0</v>
      </c>
      <c r="O336" s="26">
        <v>0</v>
      </c>
      <c r="P336" s="26">
        <v>0</v>
      </c>
      <c r="Q336" s="26">
        <v>0</v>
      </c>
      <c r="R336" s="26">
        <v>0</v>
      </c>
      <c r="S336" s="26">
        <v>0</v>
      </c>
      <c r="T336" s="26">
        <v>0</v>
      </c>
      <c r="U336" s="26">
        <v>0</v>
      </c>
      <c r="V336" s="26">
        <v>0</v>
      </c>
      <c r="W336" s="26">
        <v>0</v>
      </c>
      <c r="X336" s="26">
        <v>0</v>
      </c>
      <c r="Y336" s="26">
        <v>0</v>
      </c>
      <c r="Z336" s="26">
        <f>-H336</f>
        <v>0</v>
      </c>
      <c r="AA336" s="26">
        <f t="shared" si="54"/>
        <v>0</v>
      </c>
      <c r="AB336" s="107"/>
      <c r="AC336" s="107"/>
      <c r="AD336" s="107"/>
      <c r="AE336" s="107"/>
      <c r="AF336" s="107"/>
      <c r="AG336" s="107"/>
      <c r="AH336" s="107"/>
      <c r="AI336" s="107"/>
      <c r="AJ336" s="107"/>
      <c r="AK336" s="107"/>
      <c r="AL336" s="107"/>
      <c r="AM336" s="107"/>
      <c r="AN336" s="107"/>
      <c r="AO336" s="108"/>
      <c r="AP336" s="108"/>
      <c r="AQ336" s="108"/>
      <c r="AR336" s="108"/>
      <c r="AS336" s="108"/>
      <c r="AT336" s="108"/>
      <c r="AU336" s="108"/>
      <c r="AV336" s="108"/>
      <c r="AW336" s="108"/>
      <c r="AX336" s="108"/>
      <c r="AY336" s="108"/>
      <c r="AZ336" s="108"/>
      <c r="BA336" s="108"/>
      <c r="BB336" s="108"/>
    </row>
    <row r="337" spans="1:54" s="109" customFormat="1" ht="12" customHeight="1">
      <c r="A337" s="8">
        <v>4060101</v>
      </c>
      <c r="B337" s="8" t="s">
        <v>1190</v>
      </c>
      <c r="C337" s="8"/>
      <c r="D337" s="92">
        <f>+VLOOKUP(A337,Clasificaciones!C:I,5,FALSE)</f>
        <v>-11000000</v>
      </c>
      <c r="E337" s="92">
        <v>0</v>
      </c>
      <c r="F337" s="92">
        <v>0</v>
      </c>
      <c r="G337" s="92">
        <v>0</v>
      </c>
      <c r="H337" s="92">
        <f t="shared" si="45"/>
        <v>-11000000</v>
      </c>
      <c r="I337" s="26">
        <f>-H337</f>
        <v>11000000</v>
      </c>
      <c r="J337" s="26">
        <v>0</v>
      </c>
      <c r="K337" s="26">
        <v>0</v>
      </c>
      <c r="L337" s="26">
        <v>0</v>
      </c>
      <c r="M337" s="26">
        <v>0</v>
      </c>
      <c r="N337" s="26">
        <v>0</v>
      </c>
      <c r="O337" s="26">
        <v>0</v>
      </c>
      <c r="P337" s="26">
        <v>0</v>
      </c>
      <c r="Q337" s="26">
        <v>0</v>
      </c>
      <c r="R337" s="26">
        <v>0</v>
      </c>
      <c r="S337" s="26">
        <v>0</v>
      </c>
      <c r="T337" s="26">
        <v>0</v>
      </c>
      <c r="U337" s="26">
        <v>0</v>
      </c>
      <c r="V337" s="26">
        <v>0</v>
      </c>
      <c r="W337" s="26">
        <v>0</v>
      </c>
      <c r="X337" s="26">
        <v>0</v>
      </c>
      <c r="Y337" s="26">
        <v>0</v>
      </c>
      <c r="Z337" s="26">
        <v>0</v>
      </c>
      <c r="AA337" s="26">
        <f t="shared" si="54"/>
        <v>0</v>
      </c>
      <c r="AB337" s="107"/>
      <c r="AC337" s="107"/>
      <c r="AD337" s="107"/>
      <c r="AE337" s="107"/>
      <c r="AF337" s="107"/>
      <c r="AG337" s="107"/>
      <c r="AH337" s="107"/>
      <c r="AI337" s="107"/>
      <c r="AJ337" s="107"/>
      <c r="AK337" s="107"/>
      <c r="AL337" s="107"/>
      <c r="AM337" s="107"/>
      <c r="AN337" s="107"/>
      <c r="AO337" s="108"/>
      <c r="AP337" s="108"/>
      <c r="AQ337" s="108"/>
      <c r="AR337" s="108"/>
      <c r="AS337" s="108"/>
      <c r="AT337" s="108"/>
      <c r="AU337" s="108"/>
      <c r="AV337" s="108"/>
      <c r="AW337" s="108"/>
      <c r="AX337" s="108"/>
      <c r="AY337" s="108"/>
      <c r="AZ337" s="108"/>
      <c r="BA337" s="108"/>
      <c r="BB337" s="108"/>
    </row>
    <row r="338" spans="1:54" s="109" customFormat="1" ht="12" customHeight="1">
      <c r="A338" s="8">
        <v>40604</v>
      </c>
      <c r="B338" s="8" t="s">
        <v>906</v>
      </c>
      <c r="C338" s="8"/>
      <c r="D338" s="92">
        <f>+VLOOKUP(A338,Clasificaciones!C:I,5,FALSE)</f>
        <v>0</v>
      </c>
      <c r="E338" s="92">
        <v>0</v>
      </c>
      <c r="F338" s="92">
        <v>0</v>
      </c>
      <c r="G338" s="92">
        <v>0</v>
      </c>
      <c r="H338" s="92">
        <f t="shared" si="45"/>
        <v>0</v>
      </c>
      <c r="I338" s="26">
        <v>0</v>
      </c>
      <c r="J338" s="26">
        <v>0</v>
      </c>
      <c r="K338" s="26">
        <v>0</v>
      </c>
      <c r="L338" s="26">
        <v>0</v>
      </c>
      <c r="M338" s="26">
        <v>0</v>
      </c>
      <c r="N338" s="26">
        <v>0</v>
      </c>
      <c r="O338" s="26">
        <v>0</v>
      </c>
      <c r="P338" s="26">
        <v>0</v>
      </c>
      <c r="Q338" s="26">
        <v>0</v>
      </c>
      <c r="R338" s="26">
        <v>0</v>
      </c>
      <c r="S338" s="26">
        <v>0</v>
      </c>
      <c r="T338" s="26">
        <v>0</v>
      </c>
      <c r="U338" s="26">
        <v>0</v>
      </c>
      <c r="V338" s="26">
        <v>0</v>
      </c>
      <c r="W338" s="26">
        <v>0</v>
      </c>
      <c r="X338" s="26">
        <v>0</v>
      </c>
      <c r="Y338" s="26">
        <v>0</v>
      </c>
      <c r="Z338" s="26">
        <v>0</v>
      </c>
      <c r="AA338" s="26">
        <f t="shared" si="54"/>
        <v>0</v>
      </c>
      <c r="AB338" s="107"/>
      <c r="AC338" s="107"/>
      <c r="AD338" s="107"/>
      <c r="AE338" s="107"/>
      <c r="AF338" s="107"/>
      <c r="AG338" s="107"/>
      <c r="AH338" s="107"/>
      <c r="AI338" s="107"/>
      <c r="AJ338" s="107"/>
      <c r="AK338" s="107"/>
      <c r="AL338" s="107"/>
      <c r="AM338" s="107"/>
      <c r="AN338" s="107"/>
      <c r="AO338" s="108"/>
      <c r="AP338" s="108"/>
      <c r="AQ338" s="108"/>
      <c r="AR338" s="108"/>
      <c r="AS338" s="108"/>
      <c r="AT338" s="108"/>
      <c r="AU338" s="108"/>
      <c r="AV338" s="108"/>
      <c r="AW338" s="108"/>
      <c r="AX338" s="108"/>
      <c r="AY338" s="108"/>
      <c r="AZ338" s="108"/>
      <c r="BA338" s="108"/>
      <c r="BB338" s="108"/>
    </row>
    <row r="339" spans="1:54" s="109" customFormat="1" ht="12" customHeight="1">
      <c r="A339" s="8">
        <v>4060401</v>
      </c>
      <c r="B339" s="8" t="s">
        <v>907</v>
      </c>
      <c r="C339" s="8"/>
      <c r="D339" s="92">
        <f>+VLOOKUP(A339,Clasificaciones!C:I,5,FALSE)</f>
        <v>-77220978</v>
      </c>
      <c r="E339" s="92">
        <v>0</v>
      </c>
      <c r="F339" s="92">
        <v>0</v>
      </c>
      <c r="G339" s="92">
        <v>0</v>
      </c>
      <c r="H339" s="92">
        <f t="shared" si="45"/>
        <v>-77220978</v>
      </c>
      <c r="I339" s="26">
        <f t="shared" ref="I339:I348" si="59">-H339</f>
        <v>77220978</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c r="Z339" s="26">
        <v>0</v>
      </c>
      <c r="AA339" s="26">
        <f t="shared" si="54"/>
        <v>0</v>
      </c>
      <c r="AB339" s="107"/>
      <c r="AC339" s="107"/>
      <c r="AD339" s="107"/>
      <c r="AE339" s="107"/>
      <c r="AF339" s="107"/>
      <c r="AG339" s="107"/>
      <c r="AH339" s="107"/>
      <c r="AI339" s="107"/>
      <c r="AJ339" s="107"/>
      <c r="AK339" s="107"/>
      <c r="AL339" s="107"/>
      <c r="AM339" s="107"/>
      <c r="AN339" s="107"/>
      <c r="AO339" s="108"/>
      <c r="AP339" s="108"/>
      <c r="AQ339" s="108"/>
      <c r="AR339" s="108"/>
      <c r="AS339" s="108"/>
      <c r="AT339" s="108"/>
      <c r="AU339" s="108"/>
      <c r="AV339" s="108"/>
      <c r="AW339" s="108"/>
      <c r="AX339" s="108"/>
      <c r="AY339" s="108"/>
      <c r="AZ339" s="108"/>
      <c r="BA339" s="108"/>
      <c r="BB339" s="108"/>
    </row>
    <row r="340" spans="1:54" s="109" customFormat="1" ht="12" customHeight="1">
      <c r="A340" s="8">
        <v>4060402</v>
      </c>
      <c r="B340" s="8" t="s">
        <v>908</v>
      </c>
      <c r="C340" s="8"/>
      <c r="D340" s="92">
        <f>+VLOOKUP(A340,Clasificaciones!C:I,5,FALSE)</f>
        <v>-8655356</v>
      </c>
      <c r="E340" s="92">
        <v>0</v>
      </c>
      <c r="F340" s="92">
        <v>0</v>
      </c>
      <c r="G340" s="92">
        <v>0</v>
      </c>
      <c r="H340" s="92">
        <f t="shared" si="45"/>
        <v>-8655356</v>
      </c>
      <c r="I340" s="26">
        <f t="shared" si="59"/>
        <v>8655356</v>
      </c>
      <c r="J340" s="26">
        <v>0</v>
      </c>
      <c r="K340" s="26">
        <v>0</v>
      </c>
      <c r="L340" s="26">
        <v>0</v>
      </c>
      <c r="M340" s="26">
        <v>0</v>
      </c>
      <c r="N340" s="26">
        <v>0</v>
      </c>
      <c r="O340" s="26">
        <v>0</v>
      </c>
      <c r="P340" s="26">
        <v>0</v>
      </c>
      <c r="Q340" s="26">
        <v>0</v>
      </c>
      <c r="R340" s="26">
        <v>0</v>
      </c>
      <c r="S340" s="26">
        <v>0</v>
      </c>
      <c r="T340" s="26">
        <v>0</v>
      </c>
      <c r="U340" s="26">
        <v>0</v>
      </c>
      <c r="V340" s="26">
        <v>0</v>
      </c>
      <c r="W340" s="26">
        <v>0</v>
      </c>
      <c r="X340" s="26">
        <v>0</v>
      </c>
      <c r="Y340" s="26">
        <v>0</v>
      </c>
      <c r="Z340" s="26">
        <v>0</v>
      </c>
      <c r="AA340" s="26">
        <f t="shared" si="54"/>
        <v>0</v>
      </c>
      <c r="AB340" s="107"/>
      <c r="AC340" s="107"/>
      <c r="AD340" s="107"/>
      <c r="AE340" s="107"/>
      <c r="AF340" s="107"/>
      <c r="AG340" s="107"/>
      <c r="AH340" s="107"/>
      <c r="AI340" s="107"/>
      <c r="AJ340" s="107"/>
      <c r="AK340" s="107"/>
      <c r="AL340" s="107"/>
      <c r="AM340" s="107"/>
      <c r="AN340" s="107"/>
      <c r="AO340" s="108"/>
      <c r="AP340" s="108"/>
      <c r="AQ340" s="108"/>
      <c r="AR340" s="108"/>
      <c r="AS340" s="108"/>
      <c r="AT340" s="108"/>
      <c r="AU340" s="108"/>
      <c r="AV340" s="108"/>
      <c r="AW340" s="108"/>
      <c r="AX340" s="108"/>
      <c r="AY340" s="108"/>
      <c r="AZ340" s="108"/>
      <c r="BA340" s="108"/>
      <c r="BB340" s="108"/>
    </row>
    <row r="341" spans="1:54" s="109" customFormat="1" ht="12" customHeight="1">
      <c r="A341" s="8">
        <v>40605</v>
      </c>
      <c r="B341" s="8" t="s">
        <v>284</v>
      </c>
      <c r="C341" s="8"/>
      <c r="D341" s="92">
        <f>+VLOOKUP(A341,Clasificaciones!C:I,5,FALSE)</f>
        <v>0</v>
      </c>
      <c r="E341" s="92">
        <v>0</v>
      </c>
      <c r="F341" s="92">
        <v>0</v>
      </c>
      <c r="G341" s="92">
        <v>0</v>
      </c>
      <c r="H341" s="92">
        <f t="shared" si="45"/>
        <v>0</v>
      </c>
      <c r="I341" s="26">
        <v>0</v>
      </c>
      <c r="J341" s="26">
        <v>0</v>
      </c>
      <c r="K341" s="26">
        <v>0</v>
      </c>
      <c r="L341" s="26">
        <v>0</v>
      </c>
      <c r="M341" s="26">
        <v>0</v>
      </c>
      <c r="N341" s="26">
        <v>0</v>
      </c>
      <c r="O341" s="26">
        <v>0</v>
      </c>
      <c r="P341" s="26">
        <v>0</v>
      </c>
      <c r="Q341" s="26">
        <v>0</v>
      </c>
      <c r="R341" s="26">
        <v>0</v>
      </c>
      <c r="S341" s="26">
        <v>0</v>
      </c>
      <c r="T341" s="26">
        <v>0</v>
      </c>
      <c r="U341" s="26">
        <v>0</v>
      </c>
      <c r="V341" s="26">
        <v>0</v>
      </c>
      <c r="W341" s="26">
        <v>0</v>
      </c>
      <c r="X341" s="26">
        <v>0</v>
      </c>
      <c r="Y341" s="26">
        <v>0</v>
      </c>
      <c r="Z341" s="26">
        <v>0</v>
      </c>
      <c r="AA341" s="26">
        <f t="shared" si="54"/>
        <v>0</v>
      </c>
      <c r="AB341" s="107"/>
      <c r="AC341" s="107"/>
      <c r="AD341" s="107"/>
      <c r="AE341" s="107"/>
      <c r="AF341" s="107"/>
      <c r="AG341" s="107"/>
      <c r="AH341" s="107"/>
      <c r="AI341" s="107"/>
      <c r="AJ341" s="107"/>
      <c r="AK341" s="107"/>
      <c r="AL341" s="107"/>
      <c r="AM341" s="107"/>
      <c r="AN341" s="107"/>
      <c r="AO341" s="108"/>
      <c r="AP341" s="108"/>
      <c r="AQ341" s="108"/>
      <c r="AR341" s="108"/>
      <c r="AS341" s="108"/>
      <c r="AT341" s="108"/>
      <c r="AU341" s="108"/>
      <c r="AV341" s="108"/>
      <c r="AW341" s="108"/>
      <c r="AX341" s="108"/>
      <c r="AY341" s="108"/>
      <c r="AZ341" s="108"/>
      <c r="BA341" s="108"/>
      <c r="BB341" s="108"/>
    </row>
    <row r="342" spans="1:54" s="109" customFormat="1" ht="12" customHeight="1">
      <c r="A342" s="8">
        <v>4060501</v>
      </c>
      <c r="B342" s="8" t="s">
        <v>909</v>
      </c>
      <c r="C342" s="8"/>
      <c r="D342" s="92">
        <f>+VLOOKUP(A342,Clasificaciones!C:I,5,FALSE)</f>
        <v>-19128253</v>
      </c>
      <c r="E342" s="92">
        <v>0</v>
      </c>
      <c r="F342" s="92">
        <v>0</v>
      </c>
      <c r="G342" s="92">
        <v>0</v>
      </c>
      <c r="H342" s="92">
        <f t="shared" si="45"/>
        <v>-19128253</v>
      </c>
      <c r="I342" s="26">
        <f t="shared" si="59"/>
        <v>19128253</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c r="Z342" s="26">
        <v>0</v>
      </c>
      <c r="AA342" s="26">
        <f t="shared" si="54"/>
        <v>0</v>
      </c>
      <c r="AB342" s="107"/>
      <c r="AC342" s="107"/>
      <c r="AD342" s="107"/>
      <c r="AE342" s="107"/>
      <c r="AF342" s="107"/>
      <c r="AG342" s="107"/>
      <c r="AH342" s="107"/>
      <c r="AI342" s="107"/>
      <c r="AJ342" s="107"/>
      <c r="AK342" s="107"/>
      <c r="AL342" s="107"/>
      <c r="AM342" s="107"/>
      <c r="AN342" s="107"/>
      <c r="AO342" s="108"/>
      <c r="AP342" s="108"/>
      <c r="AQ342" s="108"/>
      <c r="AR342" s="108"/>
      <c r="AS342" s="108"/>
      <c r="AT342" s="108"/>
      <c r="AU342" s="108"/>
      <c r="AV342" s="108"/>
      <c r="AW342" s="108"/>
      <c r="AX342" s="108"/>
      <c r="AY342" s="108"/>
      <c r="AZ342" s="108"/>
      <c r="BA342" s="108"/>
      <c r="BB342" s="108"/>
    </row>
    <row r="343" spans="1:54" s="109" customFormat="1" ht="12" customHeight="1">
      <c r="A343" s="8">
        <v>4060502</v>
      </c>
      <c r="B343" s="8" t="s">
        <v>910</v>
      </c>
      <c r="C343" s="8"/>
      <c r="D343" s="92">
        <f>+VLOOKUP(A343,Clasificaciones!C:I,5,FALSE)</f>
        <v>-2090413</v>
      </c>
      <c r="E343" s="92">
        <v>0</v>
      </c>
      <c r="F343" s="92">
        <v>0</v>
      </c>
      <c r="G343" s="92">
        <v>0</v>
      </c>
      <c r="H343" s="92">
        <f t="shared" si="45"/>
        <v>-2090413</v>
      </c>
      <c r="I343" s="26">
        <f t="shared" si="59"/>
        <v>2090413</v>
      </c>
      <c r="J343" s="26">
        <v>0</v>
      </c>
      <c r="K343" s="26">
        <v>0</v>
      </c>
      <c r="L343" s="26">
        <v>0</v>
      </c>
      <c r="M343" s="26">
        <v>0</v>
      </c>
      <c r="N343" s="26">
        <v>0</v>
      </c>
      <c r="O343" s="26">
        <v>0</v>
      </c>
      <c r="P343" s="26">
        <v>0</v>
      </c>
      <c r="Q343" s="26">
        <v>0</v>
      </c>
      <c r="R343" s="26">
        <v>0</v>
      </c>
      <c r="S343" s="26">
        <v>0</v>
      </c>
      <c r="T343" s="26">
        <v>0</v>
      </c>
      <c r="U343" s="26">
        <v>0</v>
      </c>
      <c r="V343" s="26">
        <v>0</v>
      </c>
      <c r="W343" s="26">
        <v>0</v>
      </c>
      <c r="X343" s="26">
        <v>0</v>
      </c>
      <c r="Y343" s="26">
        <v>0</v>
      </c>
      <c r="Z343" s="26">
        <v>0</v>
      </c>
      <c r="AA343" s="26">
        <f t="shared" si="54"/>
        <v>0</v>
      </c>
      <c r="AB343" s="107"/>
      <c r="AC343" s="107"/>
      <c r="AD343" s="107"/>
      <c r="AE343" s="107"/>
      <c r="AF343" s="107"/>
      <c r="AG343" s="107"/>
      <c r="AH343" s="107"/>
      <c r="AI343" s="107"/>
      <c r="AJ343" s="107"/>
      <c r="AK343" s="107"/>
      <c r="AL343" s="107"/>
      <c r="AM343" s="107"/>
      <c r="AN343" s="107"/>
      <c r="AO343" s="108"/>
      <c r="AP343" s="108"/>
      <c r="AQ343" s="108"/>
      <c r="AR343" s="108"/>
      <c r="AS343" s="108"/>
      <c r="AT343" s="108"/>
      <c r="AU343" s="108"/>
      <c r="AV343" s="108"/>
      <c r="AW343" s="108"/>
      <c r="AX343" s="108"/>
      <c r="AY343" s="108"/>
      <c r="AZ343" s="108"/>
      <c r="BA343" s="108"/>
      <c r="BB343" s="108"/>
    </row>
    <row r="344" spans="1:54" s="109" customFormat="1" ht="12" customHeight="1">
      <c r="A344" s="8">
        <v>40606</v>
      </c>
      <c r="B344" s="8" t="s">
        <v>233</v>
      </c>
      <c r="C344" s="8"/>
      <c r="D344" s="92">
        <f>+VLOOKUP(A344,Clasificaciones!C:I,5,FALSE)</f>
        <v>0</v>
      </c>
      <c r="E344" s="92">
        <v>0</v>
      </c>
      <c r="F344" s="92">
        <v>0</v>
      </c>
      <c r="G344" s="92">
        <v>0</v>
      </c>
      <c r="H344" s="92">
        <f t="shared" si="45"/>
        <v>0</v>
      </c>
      <c r="I344" s="26">
        <v>0</v>
      </c>
      <c r="J344" s="26">
        <v>0</v>
      </c>
      <c r="K344" s="26">
        <v>0</v>
      </c>
      <c r="L344" s="26">
        <v>0</v>
      </c>
      <c r="M344" s="26">
        <v>0</v>
      </c>
      <c r="N344" s="26">
        <v>0</v>
      </c>
      <c r="O344" s="26">
        <v>0</v>
      </c>
      <c r="P344" s="26">
        <v>0</v>
      </c>
      <c r="Q344" s="26">
        <v>0</v>
      </c>
      <c r="R344" s="26">
        <v>0</v>
      </c>
      <c r="S344" s="26">
        <v>0</v>
      </c>
      <c r="T344" s="26">
        <v>0</v>
      </c>
      <c r="U344" s="26">
        <v>0</v>
      </c>
      <c r="V344" s="26">
        <v>0</v>
      </c>
      <c r="W344" s="26">
        <v>0</v>
      </c>
      <c r="X344" s="26">
        <v>0</v>
      </c>
      <c r="Y344" s="26">
        <v>0</v>
      </c>
      <c r="Z344" s="26">
        <v>0</v>
      </c>
      <c r="AA344" s="26">
        <f t="shared" si="54"/>
        <v>0</v>
      </c>
      <c r="AB344" s="107"/>
      <c r="AC344" s="107"/>
      <c r="AD344" s="107"/>
      <c r="AE344" s="107"/>
      <c r="AF344" s="107"/>
      <c r="AG344" s="107"/>
      <c r="AH344" s="107"/>
      <c r="AI344" s="107"/>
      <c r="AJ344" s="107"/>
      <c r="AK344" s="107"/>
      <c r="AL344" s="107"/>
      <c r="AM344" s="107"/>
      <c r="AN344" s="107"/>
      <c r="AO344" s="108"/>
      <c r="AP344" s="108"/>
      <c r="AQ344" s="108"/>
      <c r="AR344" s="108"/>
      <c r="AS344" s="108"/>
      <c r="AT344" s="108"/>
      <c r="AU344" s="108"/>
      <c r="AV344" s="108"/>
      <c r="AW344" s="108"/>
      <c r="AX344" s="108"/>
      <c r="AY344" s="108"/>
      <c r="AZ344" s="108"/>
      <c r="BA344" s="108"/>
      <c r="BB344" s="108"/>
    </row>
    <row r="345" spans="1:54" s="109" customFormat="1" ht="12" customHeight="1">
      <c r="A345" s="8">
        <v>4060601</v>
      </c>
      <c r="B345" s="8" t="s">
        <v>911</v>
      </c>
      <c r="C345" s="8"/>
      <c r="D345" s="92">
        <f>+VLOOKUP(A345,Clasificaciones!C:I,5,FALSE)</f>
        <v>-235150</v>
      </c>
      <c r="E345" s="92">
        <v>0</v>
      </c>
      <c r="F345" s="92">
        <v>0</v>
      </c>
      <c r="G345" s="92">
        <v>0</v>
      </c>
      <c r="H345" s="92">
        <f t="shared" si="45"/>
        <v>-235150</v>
      </c>
      <c r="I345" s="26">
        <f t="shared" si="59"/>
        <v>235150</v>
      </c>
      <c r="J345" s="26">
        <v>0</v>
      </c>
      <c r="K345" s="26">
        <v>0</v>
      </c>
      <c r="L345" s="26">
        <v>0</v>
      </c>
      <c r="M345" s="26">
        <v>0</v>
      </c>
      <c r="N345" s="26">
        <v>0</v>
      </c>
      <c r="O345" s="26">
        <v>0</v>
      </c>
      <c r="P345" s="26">
        <v>0</v>
      </c>
      <c r="Q345" s="26">
        <v>0</v>
      </c>
      <c r="R345" s="26">
        <v>0</v>
      </c>
      <c r="S345" s="26">
        <v>0</v>
      </c>
      <c r="T345" s="26">
        <v>0</v>
      </c>
      <c r="U345" s="26">
        <v>0</v>
      </c>
      <c r="V345" s="26">
        <v>0</v>
      </c>
      <c r="W345" s="26">
        <v>0</v>
      </c>
      <c r="X345" s="26">
        <v>0</v>
      </c>
      <c r="Y345" s="26">
        <v>0</v>
      </c>
      <c r="Z345" s="26">
        <v>0</v>
      </c>
      <c r="AA345" s="26">
        <f t="shared" si="54"/>
        <v>0</v>
      </c>
      <c r="AB345" s="107"/>
      <c r="AC345" s="107"/>
      <c r="AD345" s="107"/>
      <c r="AE345" s="107"/>
      <c r="AF345" s="107"/>
      <c r="AG345" s="107"/>
      <c r="AH345" s="107"/>
      <c r="AI345" s="107"/>
      <c r="AJ345" s="107"/>
      <c r="AK345" s="107"/>
      <c r="AL345" s="107"/>
      <c r="AM345" s="107"/>
      <c r="AN345" s="107"/>
      <c r="AO345" s="108"/>
      <c r="AP345" s="108"/>
      <c r="AQ345" s="108"/>
      <c r="AR345" s="108"/>
      <c r="AS345" s="108"/>
      <c r="AT345" s="108"/>
      <c r="AU345" s="108"/>
      <c r="AV345" s="108"/>
      <c r="AW345" s="108"/>
      <c r="AX345" s="108"/>
      <c r="AY345" s="108"/>
      <c r="AZ345" s="108"/>
      <c r="BA345" s="108"/>
      <c r="BB345" s="108"/>
    </row>
    <row r="346" spans="1:54" s="109" customFormat="1" ht="12" customHeight="1">
      <c r="A346" s="8">
        <v>4060602</v>
      </c>
      <c r="B346" s="8" t="s">
        <v>1197</v>
      </c>
      <c r="C346" s="8"/>
      <c r="D346" s="92">
        <f>+VLOOKUP(A346,Clasificaciones!C:I,5,FALSE)</f>
        <v>-2049375</v>
      </c>
      <c r="E346" s="92">
        <v>0</v>
      </c>
      <c r="F346" s="92">
        <v>0</v>
      </c>
      <c r="G346" s="92">
        <v>0</v>
      </c>
      <c r="H346" s="92">
        <f t="shared" si="45"/>
        <v>-2049375</v>
      </c>
      <c r="I346" s="26">
        <f t="shared" ref="I346" si="60">-H346</f>
        <v>2049375</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c r="Z346" s="26">
        <v>0</v>
      </c>
      <c r="AA346" s="26">
        <f t="shared" si="54"/>
        <v>0</v>
      </c>
      <c r="AB346" s="107"/>
      <c r="AC346" s="107"/>
      <c r="AD346" s="107"/>
      <c r="AE346" s="107"/>
      <c r="AF346" s="107"/>
      <c r="AG346" s="107"/>
      <c r="AH346" s="107"/>
      <c r="AI346" s="107"/>
      <c r="AJ346" s="107"/>
      <c r="AK346" s="107"/>
      <c r="AL346" s="107"/>
      <c r="AM346" s="107"/>
      <c r="AN346" s="107"/>
      <c r="AO346" s="108"/>
      <c r="AP346" s="108"/>
      <c r="AQ346" s="108"/>
      <c r="AR346" s="108"/>
      <c r="AS346" s="108"/>
      <c r="AT346" s="108"/>
      <c r="AU346" s="108"/>
      <c r="AV346" s="108"/>
      <c r="AW346" s="108"/>
      <c r="AX346" s="108"/>
      <c r="AY346" s="108"/>
      <c r="AZ346" s="108"/>
      <c r="BA346" s="108"/>
      <c r="BB346" s="108"/>
    </row>
    <row r="347" spans="1:54" s="109" customFormat="1" ht="12" customHeight="1">
      <c r="A347" s="8">
        <v>407</v>
      </c>
      <c r="B347" s="8" t="s">
        <v>286</v>
      </c>
      <c r="C347" s="8"/>
      <c r="D347" s="92">
        <f>+VLOOKUP(A347,Clasificaciones!C:I,5,FALSE)</f>
        <v>0</v>
      </c>
      <c r="E347" s="92">
        <v>0</v>
      </c>
      <c r="F347" s="92">
        <v>0</v>
      </c>
      <c r="G347" s="92">
        <v>0</v>
      </c>
      <c r="H347" s="92">
        <f t="shared" si="45"/>
        <v>0</v>
      </c>
      <c r="I347" s="26">
        <v>0</v>
      </c>
      <c r="J347" s="26">
        <v>0</v>
      </c>
      <c r="K347" s="26">
        <v>0</v>
      </c>
      <c r="L347" s="26">
        <v>0</v>
      </c>
      <c r="M347" s="26">
        <v>0</v>
      </c>
      <c r="N347" s="26">
        <v>0</v>
      </c>
      <c r="O347" s="26">
        <v>0</v>
      </c>
      <c r="P347" s="26">
        <v>0</v>
      </c>
      <c r="Q347" s="26">
        <v>0</v>
      </c>
      <c r="R347" s="26">
        <v>0</v>
      </c>
      <c r="S347" s="26">
        <v>0</v>
      </c>
      <c r="T347" s="26">
        <v>0</v>
      </c>
      <c r="U347" s="26">
        <v>0</v>
      </c>
      <c r="V347" s="26">
        <v>0</v>
      </c>
      <c r="W347" s="26">
        <v>0</v>
      </c>
      <c r="X347" s="26">
        <v>0</v>
      </c>
      <c r="Y347" s="26">
        <v>0</v>
      </c>
      <c r="Z347" s="26">
        <v>0</v>
      </c>
      <c r="AA347" s="26">
        <f t="shared" si="54"/>
        <v>0</v>
      </c>
      <c r="AB347" s="107"/>
      <c r="AC347" s="107"/>
      <c r="AD347" s="107"/>
      <c r="AE347" s="107"/>
      <c r="AF347" s="107"/>
      <c r="AG347" s="107"/>
      <c r="AH347" s="107"/>
      <c r="AI347" s="107"/>
      <c r="AJ347" s="107"/>
      <c r="AK347" s="107"/>
      <c r="AL347" s="107"/>
      <c r="AM347" s="107"/>
      <c r="AN347" s="107"/>
      <c r="AO347" s="108"/>
      <c r="AP347" s="108"/>
      <c r="AQ347" s="108"/>
      <c r="AR347" s="108"/>
      <c r="AS347" s="108"/>
      <c r="AT347" s="108"/>
      <c r="AU347" s="108"/>
      <c r="AV347" s="108"/>
      <c r="AW347" s="108"/>
      <c r="AX347" s="108"/>
      <c r="AY347" s="108"/>
      <c r="AZ347" s="108"/>
      <c r="BA347" s="108"/>
      <c r="BB347" s="108"/>
    </row>
    <row r="348" spans="1:54" s="109" customFormat="1" ht="12" customHeight="1">
      <c r="A348" s="8">
        <v>40701</v>
      </c>
      <c r="B348" s="8" t="s">
        <v>124</v>
      </c>
      <c r="C348" s="8"/>
      <c r="D348" s="92">
        <f>+VLOOKUP(A348,Clasificaciones!C:I,5,FALSE)</f>
        <v>-3714440</v>
      </c>
      <c r="E348" s="92">
        <v>0</v>
      </c>
      <c r="F348" s="92">
        <v>0</v>
      </c>
      <c r="G348" s="92">
        <v>0</v>
      </c>
      <c r="H348" s="92">
        <f t="shared" si="45"/>
        <v>-3714440</v>
      </c>
      <c r="I348" s="26">
        <f t="shared" si="59"/>
        <v>3714440</v>
      </c>
      <c r="J348" s="26">
        <v>0</v>
      </c>
      <c r="K348" s="26">
        <v>0</v>
      </c>
      <c r="L348" s="26">
        <v>0</v>
      </c>
      <c r="M348" s="26">
        <v>0</v>
      </c>
      <c r="N348" s="26">
        <v>0</v>
      </c>
      <c r="O348" s="26">
        <v>0</v>
      </c>
      <c r="P348" s="26">
        <v>0</v>
      </c>
      <c r="Q348" s="26">
        <v>0</v>
      </c>
      <c r="R348" s="26">
        <v>0</v>
      </c>
      <c r="S348" s="26">
        <v>0</v>
      </c>
      <c r="T348" s="26">
        <v>0</v>
      </c>
      <c r="U348" s="26">
        <v>0</v>
      </c>
      <c r="V348" s="26">
        <v>0</v>
      </c>
      <c r="W348" s="26">
        <v>0</v>
      </c>
      <c r="X348" s="26">
        <v>0</v>
      </c>
      <c r="Y348" s="26">
        <v>0</v>
      </c>
      <c r="Z348" s="26">
        <v>0</v>
      </c>
      <c r="AA348" s="26">
        <f t="shared" si="54"/>
        <v>0</v>
      </c>
      <c r="AB348" s="107"/>
      <c r="AC348" s="107"/>
      <c r="AD348" s="107"/>
      <c r="AE348" s="107"/>
      <c r="AF348" s="107"/>
      <c r="AG348" s="107"/>
      <c r="AH348" s="107"/>
      <c r="AI348" s="107"/>
      <c r="AJ348" s="107"/>
      <c r="AK348" s="107"/>
      <c r="AL348" s="107"/>
      <c r="AM348" s="107"/>
      <c r="AN348" s="107"/>
      <c r="AO348" s="108"/>
      <c r="AP348" s="108"/>
      <c r="AQ348" s="108"/>
      <c r="AR348" s="108"/>
      <c r="AS348" s="108"/>
      <c r="AT348" s="108"/>
      <c r="AU348" s="108"/>
      <c r="AV348" s="108"/>
      <c r="AW348" s="108"/>
      <c r="AX348" s="108"/>
      <c r="AY348" s="108"/>
      <c r="AZ348" s="108"/>
      <c r="BA348" s="108"/>
      <c r="BB348" s="108"/>
    </row>
    <row r="349" spans="1:54" s="109" customFormat="1" ht="12" customHeight="1">
      <c r="A349" s="8">
        <v>40702</v>
      </c>
      <c r="B349" s="8" t="s">
        <v>912</v>
      </c>
      <c r="C349" s="8"/>
      <c r="D349" s="92">
        <f>+VLOOKUP(A349,Clasificaciones!C:I,5,FALSE)</f>
        <v>0</v>
      </c>
      <c r="E349" s="92">
        <v>0</v>
      </c>
      <c r="F349" s="92">
        <v>0</v>
      </c>
      <c r="G349" s="92">
        <v>0</v>
      </c>
      <c r="H349" s="92">
        <f t="shared" si="45"/>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c r="Z349" s="26">
        <v>0</v>
      </c>
      <c r="AA349" s="26">
        <f t="shared" si="54"/>
        <v>0</v>
      </c>
      <c r="AB349" s="107"/>
      <c r="AC349" s="107"/>
      <c r="AD349" s="107"/>
      <c r="AE349" s="107"/>
      <c r="AF349" s="107"/>
      <c r="AG349" s="107"/>
      <c r="AH349" s="107"/>
      <c r="AI349" s="107"/>
      <c r="AJ349" s="107"/>
      <c r="AK349" s="107"/>
      <c r="AL349" s="107"/>
      <c r="AM349" s="107"/>
      <c r="AN349" s="107"/>
      <c r="AO349" s="108"/>
      <c r="AP349" s="108"/>
      <c r="AQ349" s="108"/>
      <c r="AR349" s="108"/>
      <c r="AS349" s="108"/>
      <c r="AT349" s="108"/>
      <c r="AU349" s="108"/>
      <c r="AV349" s="108"/>
      <c r="AW349" s="108"/>
      <c r="AX349" s="108"/>
      <c r="AY349" s="108"/>
      <c r="AZ349" s="108"/>
      <c r="BA349" s="108"/>
      <c r="BB349" s="108"/>
    </row>
    <row r="350" spans="1:54" s="109" customFormat="1" ht="12" customHeight="1">
      <c r="A350" s="8">
        <v>4070201</v>
      </c>
      <c r="B350" s="8" t="s">
        <v>913</v>
      </c>
      <c r="C350" s="8"/>
      <c r="D350" s="92">
        <f>+VLOOKUP(A350,Clasificaciones!C:I,5,FALSE)</f>
        <v>-2354409344</v>
      </c>
      <c r="E350" s="92">
        <v>0</v>
      </c>
      <c r="F350" s="92">
        <v>0</v>
      </c>
      <c r="G350" s="92">
        <v>0</v>
      </c>
      <c r="H350" s="92">
        <f t="shared" ref="H350:H358" si="61">+D350-G350+E350-F350</f>
        <v>-2354409344</v>
      </c>
      <c r="I350" s="26">
        <v>0</v>
      </c>
      <c r="J350" s="26">
        <v>0</v>
      </c>
      <c r="K350" s="26">
        <v>0</v>
      </c>
      <c r="L350" s="26">
        <v>0</v>
      </c>
      <c r="M350" s="26">
        <v>0</v>
      </c>
      <c r="N350" s="26">
        <v>0</v>
      </c>
      <c r="O350" s="26">
        <v>0</v>
      </c>
      <c r="P350" s="26">
        <v>0</v>
      </c>
      <c r="Q350" s="26">
        <v>0</v>
      </c>
      <c r="R350" s="26">
        <v>0</v>
      </c>
      <c r="S350" s="26">
        <v>0</v>
      </c>
      <c r="T350" s="26">
        <v>0</v>
      </c>
      <c r="U350" s="26">
        <v>0</v>
      </c>
      <c r="V350" s="26">
        <v>0</v>
      </c>
      <c r="W350" s="26">
        <v>0</v>
      </c>
      <c r="X350" s="26">
        <v>0</v>
      </c>
      <c r="Y350" s="26">
        <v>0</v>
      </c>
      <c r="Z350" s="26">
        <f>-H350</f>
        <v>2354409344</v>
      </c>
      <c r="AA350" s="26">
        <f t="shared" si="54"/>
        <v>0</v>
      </c>
      <c r="AB350" s="107"/>
      <c r="AC350" s="107"/>
      <c r="AD350" s="107"/>
      <c r="AE350" s="107"/>
      <c r="AF350" s="107"/>
      <c r="AG350" s="107"/>
      <c r="AH350" s="107"/>
      <c r="AI350" s="107"/>
      <c r="AJ350" s="107"/>
      <c r="AK350" s="107"/>
      <c r="AL350" s="107"/>
      <c r="AM350" s="107"/>
      <c r="AN350" s="107"/>
      <c r="AO350" s="108"/>
      <c r="AP350" s="108"/>
      <c r="AQ350" s="108"/>
      <c r="AR350" s="108"/>
      <c r="AS350" s="108"/>
      <c r="AT350" s="108"/>
      <c r="AU350" s="108"/>
      <c r="AV350" s="108"/>
      <c r="AW350" s="108"/>
      <c r="AX350" s="108"/>
      <c r="AY350" s="108"/>
      <c r="AZ350" s="108"/>
      <c r="BA350" s="108"/>
      <c r="BB350" s="108"/>
    </row>
    <row r="351" spans="1:54" s="109" customFormat="1" ht="12" customHeight="1">
      <c r="A351" s="8">
        <v>4070202</v>
      </c>
      <c r="B351" s="8" t="s">
        <v>914</v>
      </c>
      <c r="C351" s="8"/>
      <c r="D351" s="92">
        <f>+VLOOKUP(A351,Clasificaciones!C:I,5,FALSE)</f>
        <v>-1195814894</v>
      </c>
      <c r="E351" s="92">
        <v>0</v>
      </c>
      <c r="F351" s="92">
        <v>0</v>
      </c>
      <c r="G351" s="92">
        <v>0</v>
      </c>
      <c r="H351" s="92">
        <f t="shared" si="61"/>
        <v>-1195814894</v>
      </c>
      <c r="I351" s="26">
        <v>0</v>
      </c>
      <c r="J351" s="26">
        <v>0</v>
      </c>
      <c r="K351" s="26">
        <v>0</v>
      </c>
      <c r="L351" s="26">
        <v>0</v>
      </c>
      <c r="M351" s="26">
        <v>0</v>
      </c>
      <c r="N351" s="26">
        <v>0</v>
      </c>
      <c r="O351" s="26">
        <v>0</v>
      </c>
      <c r="P351" s="26">
        <v>0</v>
      </c>
      <c r="Q351" s="26">
        <v>0</v>
      </c>
      <c r="R351" s="26">
        <v>0</v>
      </c>
      <c r="S351" s="26">
        <v>0</v>
      </c>
      <c r="T351" s="26">
        <v>0</v>
      </c>
      <c r="U351" s="26">
        <v>0</v>
      </c>
      <c r="V351" s="26">
        <v>0</v>
      </c>
      <c r="W351" s="26">
        <v>0</v>
      </c>
      <c r="X351" s="26">
        <v>0</v>
      </c>
      <c r="Y351" s="26">
        <v>0</v>
      </c>
      <c r="Z351" s="26">
        <f>-H351</f>
        <v>1195814894</v>
      </c>
      <c r="AA351" s="26">
        <f t="shared" si="54"/>
        <v>0</v>
      </c>
      <c r="AB351" s="107"/>
      <c r="AC351" s="107"/>
      <c r="AD351" s="107"/>
      <c r="AE351" s="107"/>
      <c r="AF351" s="107"/>
      <c r="AG351" s="107"/>
      <c r="AH351" s="107"/>
      <c r="AI351" s="107"/>
      <c r="AJ351" s="107"/>
      <c r="AK351" s="107"/>
      <c r="AL351" s="107"/>
      <c r="AM351" s="107"/>
      <c r="AN351" s="107"/>
      <c r="AO351" s="108"/>
      <c r="AP351" s="108"/>
      <c r="AQ351" s="108"/>
      <c r="AR351" s="108"/>
      <c r="AS351" s="108"/>
      <c r="AT351" s="108"/>
      <c r="AU351" s="108"/>
      <c r="AV351" s="108"/>
      <c r="AW351" s="108"/>
      <c r="AX351" s="108"/>
      <c r="AY351" s="108"/>
      <c r="AZ351" s="108"/>
      <c r="BA351" s="108"/>
      <c r="BB351" s="108"/>
    </row>
    <row r="352" spans="1:54" s="109" customFormat="1" ht="12" customHeight="1">
      <c r="A352" s="8">
        <v>408</v>
      </c>
      <c r="B352" s="8" t="s">
        <v>915</v>
      </c>
      <c r="C352" s="8"/>
      <c r="D352" s="92">
        <f>+VLOOKUP(A352,Clasificaciones!C:I,5,FALSE)</f>
        <v>0</v>
      </c>
      <c r="E352" s="92">
        <v>0</v>
      </c>
      <c r="F352" s="92">
        <v>0</v>
      </c>
      <c r="G352" s="92">
        <v>0</v>
      </c>
      <c r="H352" s="92">
        <f t="shared" si="61"/>
        <v>0</v>
      </c>
      <c r="I352" s="26">
        <v>0</v>
      </c>
      <c r="J352" s="26">
        <v>0</v>
      </c>
      <c r="K352" s="26">
        <v>0</v>
      </c>
      <c r="L352" s="26">
        <v>0</v>
      </c>
      <c r="M352" s="26">
        <v>0</v>
      </c>
      <c r="N352" s="26">
        <v>0</v>
      </c>
      <c r="O352" s="26">
        <v>0</v>
      </c>
      <c r="P352" s="26">
        <v>0</v>
      </c>
      <c r="Q352" s="26">
        <v>0</v>
      </c>
      <c r="R352" s="26">
        <v>0</v>
      </c>
      <c r="S352" s="26">
        <v>0</v>
      </c>
      <c r="T352" s="26">
        <v>0</v>
      </c>
      <c r="U352" s="26">
        <v>0</v>
      </c>
      <c r="V352" s="26">
        <v>0</v>
      </c>
      <c r="W352" s="26">
        <v>0</v>
      </c>
      <c r="X352" s="26">
        <v>0</v>
      </c>
      <c r="Y352" s="26">
        <v>0</v>
      </c>
      <c r="Z352" s="26">
        <v>0</v>
      </c>
      <c r="AA352" s="26">
        <f t="shared" si="54"/>
        <v>0</v>
      </c>
      <c r="AB352" s="107"/>
      <c r="AC352" s="107"/>
      <c r="AD352" s="107"/>
      <c r="AE352" s="107"/>
      <c r="AF352" s="107"/>
      <c r="AG352" s="107"/>
      <c r="AH352" s="107"/>
      <c r="AI352" s="107"/>
      <c r="AJ352" s="107"/>
      <c r="AK352" s="107"/>
      <c r="AL352" s="107"/>
      <c r="AM352" s="107"/>
      <c r="AN352" s="107"/>
      <c r="AO352" s="108"/>
      <c r="AP352" s="108"/>
      <c r="AQ352" s="108"/>
      <c r="AR352" s="108"/>
      <c r="AS352" s="108"/>
      <c r="AT352" s="108"/>
      <c r="AU352" s="108"/>
      <c r="AV352" s="108"/>
      <c r="AW352" s="108"/>
      <c r="AX352" s="108"/>
      <c r="AY352" s="108"/>
      <c r="AZ352" s="108"/>
      <c r="BA352" s="108"/>
      <c r="BB352" s="108"/>
    </row>
    <row r="353" spans="1:54" s="109" customFormat="1" ht="12" customHeight="1">
      <c r="A353" s="8">
        <v>40802</v>
      </c>
      <c r="B353" s="8" t="s">
        <v>916</v>
      </c>
      <c r="C353" s="8" t="str">
        <f>+VLOOKUP(A353,Clasificaciones!$C$4:$H$887,6,0)</f>
        <v>Otros Ingresos</v>
      </c>
      <c r="D353" s="92">
        <f>+VLOOKUP(A353,Clasificaciones!C:I,5,FALSE)</f>
        <v>-8177</v>
      </c>
      <c r="E353" s="92">
        <v>0</v>
      </c>
      <c r="F353" s="92">
        <v>0</v>
      </c>
      <c r="G353" s="92">
        <v>0</v>
      </c>
      <c r="H353" s="92">
        <f t="shared" si="61"/>
        <v>-8177</v>
      </c>
      <c r="I353" s="26">
        <f>-H353</f>
        <v>8177</v>
      </c>
      <c r="J353" s="26">
        <v>0</v>
      </c>
      <c r="K353" s="26"/>
      <c r="L353" s="26">
        <v>0</v>
      </c>
      <c r="M353" s="26"/>
      <c r="N353" s="26">
        <v>0</v>
      </c>
      <c r="O353" s="26">
        <v>0</v>
      </c>
      <c r="P353" s="26">
        <v>0</v>
      </c>
      <c r="Q353" s="26">
        <v>0</v>
      </c>
      <c r="R353" s="26">
        <v>0</v>
      </c>
      <c r="S353" s="26">
        <v>0</v>
      </c>
      <c r="T353" s="26">
        <v>0</v>
      </c>
      <c r="U353" s="26">
        <v>0</v>
      </c>
      <c r="V353" s="26">
        <v>0</v>
      </c>
      <c r="W353" s="26">
        <v>0</v>
      </c>
      <c r="X353" s="26">
        <v>0</v>
      </c>
      <c r="Y353" s="26">
        <v>0</v>
      </c>
      <c r="Z353" s="26">
        <v>0</v>
      </c>
      <c r="AA353" s="26">
        <f t="shared" si="54"/>
        <v>0</v>
      </c>
      <c r="AB353" s="107"/>
      <c r="AC353" s="107"/>
      <c r="AD353" s="107"/>
      <c r="AE353" s="107"/>
      <c r="AF353" s="107"/>
      <c r="AG353" s="107"/>
      <c r="AH353" s="107"/>
      <c r="AI353" s="107"/>
      <c r="AJ353" s="107"/>
      <c r="AK353" s="107"/>
      <c r="AL353" s="107"/>
      <c r="AM353" s="107"/>
      <c r="AN353" s="107"/>
      <c r="AO353" s="108"/>
      <c r="AP353" s="108"/>
      <c r="AQ353" s="108"/>
      <c r="AR353" s="108"/>
      <c r="AS353" s="108"/>
      <c r="AT353" s="108"/>
      <c r="AU353" s="108"/>
      <c r="AV353" s="108"/>
      <c r="AW353" s="108"/>
      <c r="AX353" s="108"/>
      <c r="AY353" s="108"/>
      <c r="AZ353" s="108"/>
      <c r="BA353" s="108"/>
      <c r="BB353" s="108"/>
    </row>
    <row r="354" spans="1:54" s="109" customFormat="1" ht="12" customHeight="1">
      <c r="A354" s="8">
        <v>40803</v>
      </c>
      <c r="B354" s="8" t="s">
        <v>733</v>
      </c>
      <c r="C354" s="8" t="str">
        <f>+VLOOKUP(A354,Clasificaciones!$C$4:$H$887,6,0)</f>
        <v>Ingresos extraordinarios</v>
      </c>
      <c r="D354" s="92">
        <f>+VLOOKUP(A354,Clasificaciones!C:I,5,FALSE)</f>
        <v>-49787771</v>
      </c>
      <c r="E354" s="177">
        <v>181620</v>
      </c>
      <c r="F354" s="92">
        <v>0</v>
      </c>
      <c r="G354" s="92">
        <v>0</v>
      </c>
      <c r="H354" s="92">
        <f t="shared" si="61"/>
        <v>-49606151</v>
      </c>
      <c r="I354" s="26">
        <f>-H354</f>
        <v>49606151</v>
      </c>
      <c r="J354" s="26">
        <v>0</v>
      </c>
      <c r="K354" s="26"/>
      <c r="L354" s="26">
        <v>0</v>
      </c>
      <c r="M354" s="26"/>
      <c r="N354" s="26">
        <v>0</v>
      </c>
      <c r="O354" s="26">
        <v>0</v>
      </c>
      <c r="P354" s="26">
        <v>0</v>
      </c>
      <c r="Q354" s="26">
        <v>0</v>
      </c>
      <c r="R354" s="26">
        <v>0</v>
      </c>
      <c r="S354" s="26">
        <v>0</v>
      </c>
      <c r="T354" s="26">
        <v>0</v>
      </c>
      <c r="U354" s="26">
        <v>0</v>
      </c>
      <c r="V354" s="26">
        <v>0</v>
      </c>
      <c r="W354" s="26">
        <v>0</v>
      </c>
      <c r="X354" s="26">
        <v>0</v>
      </c>
      <c r="Y354" s="26">
        <v>0</v>
      </c>
      <c r="Z354" s="26">
        <v>0</v>
      </c>
      <c r="AA354" s="26">
        <f t="shared" si="54"/>
        <v>0</v>
      </c>
      <c r="AB354" s="107"/>
      <c r="AC354" s="107"/>
      <c r="AD354" s="107"/>
      <c r="AE354" s="107"/>
      <c r="AF354" s="107"/>
      <c r="AG354" s="107"/>
      <c r="AH354" s="107"/>
      <c r="AI354" s="107"/>
      <c r="AJ354" s="107"/>
      <c r="AK354" s="107"/>
      <c r="AL354" s="107"/>
      <c r="AM354" s="107"/>
      <c r="AN354" s="107"/>
      <c r="AO354" s="108"/>
      <c r="AP354" s="108"/>
      <c r="AQ354" s="108"/>
      <c r="AR354" s="108"/>
      <c r="AS354" s="108"/>
      <c r="AT354" s="108"/>
      <c r="AU354" s="108"/>
      <c r="AV354" s="108"/>
      <c r="AW354" s="108"/>
      <c r="AX354" s="108"/>
      <c r="AY354" s="108"/>
      <c r="AZ354" s="108"/>
      <c r="BA354" s="108"/>
      <c r="BB354" s="108"/>
    </row>
    <row r="355" spans="1:54" s="109" customFormat="1" ht="12" customHeight="1">
      <c r="A355" s="8">
        <v>40808</v>
      </c>
      <c r="B355" s="8" t="s">
        <v>611</v>
      </c>
      <c r="C355" s="8"/>
      <c r="D355" s="92">
        <f>+VLOOKUP(A355,Clasificaciones!C:I,5,FALSE)</f>
        <v>-1943416237</v>
      </c>
      <c r="E355" s="177">
        <f>-D355</f>
        <v>1943416237</v>
      </c>
      <c r="F355" s="92">
        <v>0</v>
      </c>
      <c r="G355" s="92">
        <v>0</v>
      </c>
      <c r="H355" s="92">
        <f t="shared" si="61"/>
        <v>0</v>
      </c>
      <c r="I355" s="26">
        <v>0</v>
      </c>
      <c r="J355" s="26">
        <v>0</v>
      </c>
      <c r="K355" s="26">
        <f>-H355</f>
        <v>0</v>
      </c>
      <c r="L355" s="26">
        <v>0</v>
      </c>
      <c r="M355" s="26">
        <v>0</v>
      </c>
      <c r="N355" s="26">
        <v>0</v>
      </c>
      <c r="O355" s="26">
        <v>0</v>
      </c>
      <c r="P355" s="26">
        <v>0</v>
      </c>
      <c r="Q355" s="26">
        <v>0</v>
      </c>
      <c r="R355" s="26">
        <v>0</v>
      </c>
      <c r="S355" s="26">
        <v>0</v>
      </c>
      <c r="T355" s="26">
        <v>0</v>
      </c>
      <c r="U355" s="26">
        <v>0</v>
      </c>
      <c r="V355" s="26">
        <v>0</v>
      </c>
      <c r="W355" s="26">
        <v>0</v>
      </c>
      <c r="X355" s="26">
        <v>0</v>
      </c>
      <c r="Y355" s="26">
        <v>0</v>
      </c>
      <c r="Z355" s="26">
        <v>0</v>
      </c>
      <c r="AA355" s="26">
        <f t="shared" si="54"/>
        <v>0</v>
      </c>
      <c r="AB355" s="107"/>
      <c r="AC355" s="107"/>
      <c r="AD355" s="107"/>
      <c r="AE355" s="107"/>
      <c r="AF355" s="107"/>
      <c r="AG355" s="107"/>
      <c r="AH355" s="107"/>
      <c r="AI355" s="107"/>
      <c r="AJ355" s="107"/>
      <c r="AK355" s="107"/>
      <c r="AL355" s="107"/>
      <c r="AM355" s="107"/>
      <c r="AN355" s="107"/>
      <c r="AO355" s="108"/>
      <c r="AP355" s="108"/>
      <c r="AQ355" s="108"/>
      <c r="AR355" s="108"/>
      <c r="AS355" s="108"/>
      <c r="AT355" s="108"/>
      <c r="AU355" s="108"/>
      <c r="AV355" s="108"/>
      <c r="AW355" s="108"/>
      <c r="AX355" s="108"/>
      <c r="AY355" s="108"/>
      <c r="AZ355" s="108"/>
      <c r="BA355" s="108"/>
      <c r="BB355" s="108"/>
    </row>
    <row r="356" spans="1:54" s="109" customFormat="1" ht="12" customHeight="1">
      <c r="A356" s="8">
        <v>40809</v>
      </c>
      <c r="B356" s="8" t="s">
        <v>1368</v>
      </c>
      <c r="C356" s="8"/>
      <c r="D356" s="92">
        <f>+VLOOKUP(A356,Clasificaciones!C:I,5,FALSE)</f>
        <v>-12670644</v>
      </c>
      <c r="E356" s="92">
        <v>0</v>
      </c>
      <c r="F356" s="92">
        <v>0</v>
      </c>
      <c r="G356" s="92">
        <v>0</v>
      </c>
      <c r="H356" s="92">
        <f t="shared" si="61"/>
        <v>-12670644</v>
      </c>
      <c r="I356" s="26">
        <f>-H356</f>
        <v>12670644</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c r="Z356" s="26">
        <v>0</v>
      </c>
      <c r="AA356" s="26">
        <f t="shared" si="54"/>
        <v>0</v>
      </c>
      <c r="AB356" s="107"/>
      <c r="AC356" s="107"/>
      <c r="AD356" s="107"/>
      <c r="AE356" s="107"/>
      <c r="AF356" s="107"/>
      <c r="AG356" s="107"/>
      <c r="AH356" s="107"/>
      <c r="AI356" s="107"/>
      <c r="AJ356" s="107"/>
      <c r="AK356" s="107"/>
      <c r="AL356" s="107"/>
      <c r="AM356" s="107"/>
      <c r="AN356" s="107"/>
      <c r="AO356" s="108"/>
      <c r="AP356" s="108"/>
      <c r="AQ356" s="108"/>
      <c r="AR356" s="108"/>
      <c r="AS356" s="108"/>
      <c r="AT356" s="108"/>
      <c r="AU356" s="108"/>
      <c r="AV356" s="108"/>
      <c r="AW356" s="108"/>
      <c r="AX356" s="108"/>
      <c r="AY356" s="108"/>
      <c r="AZ356" s="108"/>
      <c r="BA356" s="108"/>
      <c r="BB356" s="108"/>
    </row>
    <row r="357" spans="1:54" s="109" customFormat="1" ht="12" customHeight="1">
      <c r="A357" s="8">
        <v>40811</v>
      </c>
      <c r="B357" s="8" t="s">
        <v>1327</v>
      </c>
      <c r="C357" s="8"/>
      <c r="D357" s="92">
        <f>+VLOOKUP(A357,Clasificaciones!C:I,5,FALSE)</f>
        <v>-168921218</v>
      </c>
      <c r="E357" s="92">
        <v>0</v>
      </c>
      <c r="F357" s="92">
        <v>0</v>
      </c>
      <c r="G357" s="92">
        <v>0</v>
      </c>
      <c r="H357" s="92">
        <f t="shared" si="61"/>
        <v>-168921218</v>
      </c>
      <c r="I357" s="26">
        <f>-H357</f>
        <v>168921218</v>
      </c>
      <c r="J357" s="26">
        <v>0</v>
      </c>
      <c r="K357" s="26">
        <v>0</v>
      </c>
      <c r="L357" s="26">
        <v>0</v>
      </c>
      <c r="M357" s="26">
        <v>0</v>
      </c>
      <c r="N357" s="26">
        <v>0</v>
      </c>
      <c r="O357" s="26">
        <v>0</v>
      </c>
      <c r="P357" s="26">
        <v>0</v>
      </c>
      <c r="Q357" s="26">
        <v>0</v>
      </c>
      <c r="R357" s="26">
        <v>0</v>
      </c>
      <c r="S357" s="26">
        <v>0</v>
      </c>
      <c r="T357" s="26">
        <v>0</v>
      </c>
      <c r="U357" s="26">
        <v>0</v>
      </c>
      <c r="V357" s="26">
        <v>0</v>
      </c>
      <c r="W357" s="26">
        <v>0</v>
      </c>
      <c r="X357" s="26">
        <v>0</v>
      </c>
      <c r="Y357" s="26">
        <v>0</v>
      </c>
      <c r="Z357" s="26">
        <v>0</v>
      </c>
      <c r="AA357" s="26">
        <f t="shared" si="54"/>
        <v>0</v>
      </c>
      <c r="AB357" s="107"/>
      <c r="AC357" s="107"/>
      <c r="AD357" s="107"/>
      <c r="AE357" s="107"/>
      <c r="AF357" s="107"/>
      <c r="AG357" s="107"/>
      <c r="AH357" s="107"/>
      <c r="AI357" s="107"/>
      <c r="AJ357" s="107"/>
      <c r="AK357" s="107"/>
      <c r="AL357" s="107"/>
      <c r="AM357" s="107"/>
      <c r="AN357" s="107"/>
      <c r="AO357" s="108"/>
      <c r="AP357" s="108"/>
      <c r="AQ357" s="108"/>
      <c r="AR357" s="108"/>
      <c r="AS357" s="108"/>
      <c r="AT357" s="108"/>
      <c r="AU357" s="108"/>
      <c r="AV357" s="108"/>
      <c r="AW357" s="108"/>
      <c r="AX357" s="108"/>
      <c r="AY357" s="108"/>
      <c r="AZ357" s="108"/>
      <c r="BA357" s="108"/>
      <c r="BB357" s="108"/>
    </row>
    <row r="358" spans="1:54" s="109" customFormat="1" ht="12" customHeight="1">
      <c r="A358" s="8">
        <v>40812</v>
      </c>
      <c r="B358" s="8" t="s">
        <v>1369</v>
      </c>
      <c r="C358" s="8"/>
      <c r="D358" s="92">
        <f>+VLOOKUP(A358,Clasificaciones!C:I,5,FALSE)</f>
        <v>-20514102</v>
      </c>
      <c r="E358" s="92">
        <v>0</v>
      </c>
      <c r="F358" s="92">
        <v>0</v>
      </c>
      <c r="G358" s="92">
        <v>0</v>
      </c>
      <c r="H358" s="92">
        <f t="shared" si="61"/>
        <v>-20514102</v>
      </c>
      <c r="I358" s="26">
        <f t="shared" ref="I358" si="62">-H358</f>
        <v>20514102</v>
      </c>
      <c r="J358" s="26">
        <v>0</v>
      </c>
      <c r="K358" s="26">
        <v>0</v>
      </c>
      <c r="L358" s="26">
        <v>0</v>
      </c>
      <c r="M358" s="26">
        <v>0</v>
      </c>
      <c r="N358" s="26">
        <v>0</v>
      </c>
      <c r="O358" s="26">
        <v>0</v>
      </c>
      <c r="P358" s="26">
        <v>0</v>
      </c>
      <c r="Q358" s="26">
        <v>0</v>
      </c>
      <c r="R358" s="26">
        <v>0</v>
      </c>
      <c r="S358" s="26">
        <v>0</v>
      </c>
      <c r="T358" s="26">
        <v>0</v>
      </c>
      <c r="U358" s="26">
        <v>0</v>
      </c>
      <c r="V358" s="26">
        <v>0</v>
      </c>
      <c r="W358" s="26">
        <v>0</v>
      </c>
      <c r="X358" s="26">
        <v>0</v>
      </c>
      <c r="Y358" s="26">
        <v>0</v>
      </c>
      <c r="Z358" s="26">
        <v>0</v>
      </c>
      <c r="AA358" s="26">
        <f t="shared" si="54"/>
        <v>0</v>
      </c>
      <c r="AB358" s="107"/>
      <c r="AC358" s="107"/>
      <c r="AD358" s="107"/>
      <c r="AE358" s="107"/>
      <c r="AF358" s="107"/>
      <c r="AG358" s="107"/>
      <c r="AH358" s="107"/>
      <c r="AI358" s="107"/>
      <c r="AJ358" s="107"/>
      <c r="AK358" s="107"/>
      <c r="AL358" s="107"/>
      <c r="AM358" s="107"/>
      <c r="AN358" s="107"/>
      <c r="AO358" s="108"/>
      <c r="AP358" s="108"/>
      <c r="AQ358" s="108"/>
      <c r="AR358" s="108"/>
      <c r="AS358" s="108"/>
      <c r="AT358" s="108"/>
      <c r="AU358" s="108"/>
      <c r="AV358" s="108"/>
      <c r="AW358" s="108"/>
      <c r="AX358" s="108"/>
      <c r="AY358" s="108"/>
      <c r="AZ358" s="108"/>
      <c r="BA358" s="108"/>
      <c r="BB358" s="108"/>
    </row>
    <row r="359" spans="1:54" s="109" customFormat="1" ht="12" customHeight="1">
      <c r="A359" s="8"/>
      <c r="B359" s="8"/>
      <c r="C359" s="8"/>
      <c r="D359" s="92"/>
      <c r="E359" s="92">
        <v>0</v>
      </c>
      <c r="F359" s="92">
        <v>0</v>
      </c>
      <c r="G359" s="92">
        <v>0</v>
      </c>
      <c r="H359" s="92">
        <f t="shared" ref="H359:H364" si="63">+D359-G359+E359-F359</f>
        <v>0</v>
      </c>
      <c r="I359" s="26"/>
      <c r="J359" s="26"/>
      <c r="K359" s="26"/>
      <c r="L359" s="26"/>
      <c r="M359" s="26"/>
      <c r="N359" s="26"/>
      <c r="O359" s="26"/>
      <c r="P359" s="26">
        <v>0</v>
      </c>
      <c r="Q359" s="26"/>
      <c r="R359" s="26"/>
      <c r="S359" s="26"/>
      <c r="T359" s="26"/>
      <c r="U359" s="26"/>
      <c r="V359" s="26"/>
      <c r="W359" s="26"/>
      <c r="X359" s="26"/>
      <c r="Y359" s="26"/>
      <c r="Z359" s="26"/>
      <c r="AA359" s="26">
        <f t="shared" si="54"/>
        <v>0</v>
      </c>
      <c r="AB359" s="107"/>
      <c r="AC359" s="107"/>
      <c r="AD359" s="107"/>
      <c r="AE359" s="107"/>
      <c r="AF359" s="107"/>
      <c r="AG359" s="107"/>
      <c r="AH359" s="107"/>
      <c r="AI359" s="107"/>
      <c r="AJ359" s="107"/>
      <c r="AK359" s="107"/>
      <c r="AL359" s="107"/>
      <c r="AM359" s="107"/>
      <c r="AN359" s="107"/>
      <c r="AO359" s="108"/>
      <c r="AP359" s="108"/>
      <c r="AQ359" s="108"/>
      <c r="AR359" s="108"/>
      <c r="AS359" s="108"/>
      <c r="AT359" s="108"/>
      <c r="AU359" s="108"/>
      <c r="AV359" s="108"/>
      <c r="AW359" s="108"/>
      <c r="AX359" s="108"/>
      <c r="AY359" s="108"/>
      <c r="AZ359" s="108"/>
      <c r="BA359" s="108"/>
      <c r="BB359" s="108"/>
    </row>
    <row r="360" spans="1:54" s="109" customFormat="1" ht="12" customHeight="1">
      <c r="A360" s="8">
        <v>5</v>
      </c>
      <c r="B360" s="8" t="s">
        <v>232</v>
      </c>
      <c r="C360" s="8"/>
      <c r="D360" s="92">
        <f>+SUM(D361:D486)-'BG 2021'!C323</f>
        <v>0</v>
      </c>
      <c r="E360" s="92">
        <v>0</v>
      </c>
      <c r="F360" s="92">
        <v>0</v>
      </c>
      <c r="G360" s="92">
        <v>0</v>
      </c>
      <c r="H360" s="92">
        <f t="shared" si="63"/>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c r="Z360" s="26">
        <v>0</v>
      </c>
      <c r="AA360" s="26">
        <f t="shared" si="54"/>
        <v>0</v>
      </c>
      <c r="AB360" s="107"/>
      <c r="AC360" s="107"/>
      <c r="AD360" s="107"/>
      <c r="AE360" s="107"/>
      <c r="AF360" s="107"/>
      <c r="AG360" s="107"/>
      <c r="AH360" s="107"/>
      <c r="AI360" s="107"/>
      <c r="AJ360" s="107"/>
      <c r="AK360" s="107"/>
      <c r="AL360" s="107"/>
      <c r="AM360" s="107"/>
      <c r="AN360" s="107"/>
      <c r="AO360" s="108"/>
      <c r="AP360" s="108"/>
      <c r="AQ360" s="108"/>
      <c r="AR360" s="108"/>
      <c r="AS360" s="108"/>
      <c r="AT360" s="108"/>
      <c r="AU360" s="108"/>
      <c r="AV360" s="108"/>
      <c r="AW360" s="108"/>
      <c r="AX360" s="108"/>
      <c r="AY360" s="108"/>
      <c r="AZ360" s="108"/>
      <c r="BA360" s="108"/>
      <c r="BB360" s="108"/>
    </row>
    <row r="361" spans="1:54" s="109" customFormat="1" ht="12" customHeight="1">
      <c r="A361" s="8">
        <v>51</v>
      </c>
      <c r="B361" s="8" t="s">
        <v>917</v>
      </c>
      <c r="C361" s="8"/>
      <c r="D361" s="92">
        <f>+VLOOKUP(A361,Clasificaciones!C:I,5,FALSE)</f>
        <v>0</v>
      </c>
      <c r="E361" s="92">
        <v>0</v>
      </c>
      <c r="F361" s="92">
        <v>0</v>
      </c>
      <c r="G361" s="92">
        <v>0</v>
      </c>
      <c r="H361" s="92">
        <f t="shared" si="63"/>
        <v>0</v>
      </c>
      <c r="I361" s="26">
        <v>0</v>
      </c>
      <c r="J361" s="26">
        <v>0</v>
      </c>
      <c r="K361" s="26">
        <v>0</v>
      </c>
      <c r="L361" s="26">
        <v>0</v>
      </c>
      <c r="M361" s="26">
        <v>0</v>
      </c>
      <c r="N361" s="26">
        <v>0</v>
      </c>
      <c r="O361" s="26">
        <v>0</v>
      </c>
      <c r="P361" s="26">
        <v>0</v>
      </c>
      <c r="Q361" s="26">
        <v>0</v>
      </c>
      <c r="R361" s="26">
        <v>0</v>
      </c>
      <c r="S361" s="26">
        <v>0</v>
      </c>
      <c r="T361" s="26">
        <v>0</v>
      </c>
      <c r="U361" s="26">
        <v>0</v>
      </c>
      <c r="V361" s="26">
        <v>0</v>
      </c>
      <c r="W361" s="26">
        <v>0</v>
      </c>
      <c r="X361" s="26">
        <v>0</v>
      </c>
      <c r="Y361" s="26">
        <v>0</v>
      </c>
      <c r="Z361" s="26">
        <v>0</v>
      </c>
      <c r="AA361" s="26">
        <f t="shared" si="54"/>
        <v>0</v>
      </c>
      <c r="AB361" s="107"/>
      <c r="AC361" s="107"/>
      <c r="AD361" s="107"/>
      <c r="AE361" s="107"/>
      <c r="AF361" s="107"/>
      <c r="AG361" s="107"/>
      <c r="AH361" s="107"/>
      <c r="AI361" s="107"/>
      <c r="AJ361" s="107"/>
      <c r="AK361" s="107"/>
      <c r="AL361" s="107"/>
      <c r="AM361" s="107"/>
      <c r="AN361" s="107"/>
      <c r="AO361" s="108"/>
      <c r="AP361" s="108"/>
      <c r="AQ361" s="108"/>
      <c r="AR361" s="108"/>
      <c r="AS361" s="108"/>
      <c r="AT361" s="108"/>
      <c r="AU361" s="108"/>
      <c r="AV361" s="108"/>
      <c r="AW361" s="108"/>
      <c r="AX361" s="108"/>
      <c r="AY361" s="108"/>
      <c r="AZ361" s="108"/>
      <c r="BA361" s="108"/>
      <c r="BB361" s="108"/>
    </row>
    <row r="362" spans="1:54" s="109" customFormat="1" ht="12" customHeight="1">
      <c r="A362" s="8">
        <v>511</v>
      </c>
      <c r="B362" s="8" t="s">
        <v>918</v>
      </c>
      <c r="C362" s="8"/>
      <c r="D362" s="92">
        <f>+VLOOKUP(A362,Clasificaciones!C:I,5,FALSE)</f>
        <v>0</v>
      </c>
      <c r="E362" s="92">
        <v>0</v>
      </c>
      <c r="F362" s="92">
        <v>0</v>
      </c>
      <c r="G362" s="92">
        <v>0</v>
      </c>
      <c r="H362" s="92">
        <f t="shared" si="63"/>
        <v>0</v>
      </c>
      <c r="I362" s="26">
        <v>0</v>
      </c>
      <c r="J362" s="26">
        <v>0</v>
      </c>
      <c r="K362" s="26">
        <v>0</v>
      </c>
      <c r="L362" s="26">
        <v>0</v>
      </c>
      <c r="M362" s="26">
        <v>0</v>
      </c>
      <c r="N362" s="26">
        <v>0</v>
      </c>
      <c r="O362" s="26">
        <v>0</v>
      </c>
      <c r="P362" s="26">
        <v>0</v>
      </c>
      <c r="Q362" s="26">
        <v>0</v>
      </c>
      <c r="R362" s="26">
        <v>0</v>
      </c>
      <c r="S362" s="26">
        <v>0</v>
      </c>
      <c r="T362" s="26">
        <v>0</v>
      </c>
      <c r="U362" s="26">
        <v>0</v>
      </c>
      <c r="V362" s="26">
        <v>0</v>
      </c>
      <c r="W362" s="26">
        <v>0</v>
      </c>
      <c r="X362" s="26">
        <v>0</v>
      </c>
      <c r="Y362" s="26">
        <v>0</v>
      </c>
      <c r="Z362" s="26">
        <v>0</v>
      </c>
      <c r="AA362" s="26">
        <f t="shared" si="54"/>
        <v>0</v>
      </c>
      <c r="AB362" s="107"/>
      <c r="AC362" s="107"/>
      <c r="AD362" s="107"/>
      <c r="AE362" s="107"/>
      <c r="AF362" s="107"/>
      <c r="AG362" s="107"/>
      <c r="AH362" s="107"/>
      <c r="AI362" s="107"/>
      <c r="AJ362" s="107"/>
      <c r="AK362" s="107"/>
      <c r="AL362" s="107"/>
      <c r="AM362" s="107"/>
      <c r="AN362" s="107"/>
      <c r="AO362" s="108"/>
      <c r="AP362" s="108"/>
      <c r="AQ362" s="108"/>
      <c r="AR362" s="108"/>
      <c r="AS362" s="108"/>
      <c r="AT362" s="108"/>
      <c r="AU362" s="108"/>
      <c r="AV362" s="108"/>
      <c r="AW362" s="108"/>
      <c r="AX362" s="108"/>
      <c r="AY362" s="108"/>
      <c r="AZ362" s="108"/>
      <c r="BA362" s="108"/>
      <c r="BB362" s="108"/>
    </row>
    <row r="363" spans="1:54" s="109" customFormat="1" ht="12" customHeight="1">
      <c r="A363" s="8">
        <v>51101</v>
      </c>
      <c r="B363" s="8" t="s">
        <v>40</v>
      </c>
      <c r="C363" s="8"/>
      <c r="D363" s="92">
        <f>+VLOOKUP(A363,Clasificaciones!C:I,5,FALSE)</f>
        <v>0</v>
      </c>
      <c r="E363" s="92">
        <v>0</v>
      </c>
      <c r="F363" s="92">
        <v>0</v>
      </c>
      <c r="G363" s="92">
        <v>0</v>
      </c>
      <c r="H363" s="92">
        <f t="shared" si="63"/>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c r="Z363" s="26">
        <v>0</v>
      </c>
      <c r="AA363" s="26">
        <f t="shared" si="54"/>
        <v>0</v>
      </c>
      <c r="AB363" s="107"/>
      <c r="AC363" s="107"/>
      <c r="AD363" s="107"/>
      <c r="AE363" s="107"/>
      <c r="AF363" s="107"/>
      <c r="AG363" s="107"/>
      <c r="AH363" s="107"/>
      <c r="AI363" s="107"/>
      <c r="AJ363" s="107"/>
      <c r="AK363" s="107"/>
      <c r="AL363" s="107"/>
      <c r="AM363" s="107"/>
      <c r="AN363" s="107"/>
      <c r="AO363" s="108"/>
      <c r="AP363" s="108"/>
      <c r="AQ363" s="108"/>
      <c r="AR363" s="108"/>
      <c r="AS363" s="108"/>
      <c r="AT363" s="108"/>
      <c r="AU363" s="108"/>
      <c r="AV363" s="108"/>
      <c r="AW363" s="108"/>
      <c r="AX363" s="108"/>
      <c r="AY363" s="108"/>
      <c r="AZ363" s="108"/>
      <c r="BA363" s="108"/>
      <c r="BB363" s="108"/>
    </row>
    <row r="364" spans="1:54" s="109" customFormat="1" ht="12" customHeight="1">
      <c r="A364" s="8">
        <v>5110102</v>
      </c>
      <c r="B364" s="8" t="s">
        <v>919</v>
      </c>
      <c r="C364" s="8"/>
      <c r="D364" s="92">
        <f>+VLOOKUP(A364,Clasificaciones!C:I,5,FALSE)</f>
        <v>0</v>
      </c>
      <c r="E364" s="92">
        <v>0</v>
      </c>
      <c r="F364" s="92">
        <v>0</v>
      </c>
      <c r="G364" s="92">
        <v>0</v>
      </c>
      <c r="H364" s="92">
        <f t="shared" si="63"/>
        <v>0</v>
      </c>
      <c r="I364" s="26">
        <v>0</v>
      </c>
      <c r="J364" s="26">
        <v>0</v>
      </c>
      <c r="K364" s="26">
        <v>0</v>
      </c>
      <c r="L364" s="26">
        <v>0</v>
      </c>
      <c r="M364" s="26">
        <v>0</v>
      </c>
      <c r="N364" s="26">
        <v>0</v>
      </c>
      <c r="O364" s="26">
        <v>0</v>
      </c>
      <c r="P364" s="26">
        <v>0</v>
      </c>
      <c r="Q364" s="26">
        <v>0</v>
      </c>
      <c r="R364" s="26">
        <v>0</v>
      </c>
      <c r="S364" s="26">
        <v>0</v>
      </c>
      <c r="T364" s="26">
        <v>0</v>
      </c>
      <c r="U364" s="26">
        <v>0</v>
      </c>
      <c r="V364" s="26">
        <v>0</v>
      </c>
      <c r="W364" s="26">
        <v>0</v>
      </c>
      <c r="X364" s="26">
        <v>0</v>
      </c>
      <c r="Y364" s="26">
        <v>0</v>
      </c>
      <c r="Z364" s="26">
        <v>0</v>
      </c>
      <c r="AA364" s="26">
        <f t="shared" si="54"/>
        <v>0</v>
      </c>
      <c r="AB364" s="107"/>
      <c r="AC364" s="107"/>
      <c r="AD364" s="107"/>
      <c r="AE364" s="107"/>
      <c r="AF364" s="107"/>
      <c r="AG364" s="107"/>
      <c r="AH364" s="107"/>
      <c r="AI364" s="107"/>
      <c r="AJ364" s="107"/>
      <c r="AK364" s="107"/>
      <c r="AL364" s="107"/>
      <c r="AM364" s="107"/>
      <c r="AN364" s="107"/>
      <c r="AO364" s="108"/>
      <c r="AP364" s="108"/>
      <c r="AQ364" s="108"/>
      <c r="AR364" s="108"/>
      <c r="AS364" s="108"/>
      <c r="AT364" s="108"/>
      <c r="AU364" s="108"/>
      <c r="AV364" s="108"/>
      <c r="AW364" s="108"/>
      <c r="AX364" s="108"/>
      <c r="AY364" s="108"/>
      <c r="AZ364" s="108"/>
      <c r="BA364" s="108"/>
      <c r="BB364" s="108"/>
    </row>
    <row r="365" spans="1:54" s="109" customFormat="1" ht="12" customHeight="1">
      <c r="A365" s="918">
        <v>511010201</v>
      </c>
      <c r="B365" s="918" t="s">
        <v>920</v>
      </c>
      <c r="C365" s="8" t="str">
        <f>+VLOOKUP(A365,Clasificaciones!$C$4:$H$887,6,0)</f>
        <v>Gastos por comisiones y servicios</v>
      </c>
      <c r="D365" s="919">
        <f>+VLOOKUP(A365,Clasificaciones!C:I,5,FALSE)</f>
        <v>160953638</v>
      </c>
      <c r="E365" s="919">
        <v>0</v>
      </c>
      <c r="F365" s="919">
        <v>0</v>
      </c>
      <c r="G365" s="919">
        <v>0</v>
      </c>
      <c r="H365" s="919">
        <f>+D365-G365+E365-F365</f>
        <v>160953638</v>
      </c>
      <c r="I365" s="26">
        <f>-H365</f>
        <v>-160953638</v>
      </c>
      <c r="J365" s="920">
        <v>0</v>
      </c>
      <c r="K365" s="920"/>
      <c r="L365" s="26">
        <v>0</v>
      </c>
      <c r="M365" s="26">
        <v>0</v>
      </c>
      <c r="N365" s="26">
        <v>0</v>
      </c>
      <c r="O365" s="26">
        <v>0</v>
      </c>
      <c r="P365" s="26">
        <v>0</v>
      </c>
      <c r="Q365" s="26">
        <v>0</v>
      </c>
      <c r="R365" s="26">
        <v>0</v>
      </c>
      <c r="S365" s="26">
        <v>0</v>
      </c>
      <c r="T365" s="26">
        <v>0</v>
      </c>
      <c r="U365" s="26">
        <v>0</v>
      </c>
      <c r="V365" s="26">
        <v>0</v>
      </c>
      <c r="W365" s="26">
        <v>0</v>
      </c>
      <c r="X365" s="26">
        <v>0</v>
      </c>
      <c r="Y365" s="26">
        <v>0</v>
      </c>
      <c r="Z365" s="26">
        <v>0</v>
      </c>
      <c r="AA365" s="26">
        <f t="shared" si="54"/>
        <v>0</v>
      </c>
      <c r="AB365" s="107"/>
      <c r="AC365" s="107"/>
      <c r="AD365" s="107"/>
      <c r="AE365" s="107"/>
      <c r="AF365" s="107"/>
      <c r="AG365" s="107"/>
      <c r="AH365" s="107"/>
      <c r="AI365" s="107"/>
      <c r="AJ365" s="107"/>
      <c r="AK365" s="107"/>
      <c r="AL365" s="107"/>
      <c r="AM365" s="107"/>
      <c r="AN365" s="107"/>
      <c r="AO365" s="108"/>
      <c r="AP365" s="108"/>
      <c r="AQ365" s="108"/>
      <c r="AR365" s="108"/>
      <c r="AS365" s="108"/>
      <c r="AT365" s="108"/>
      <c r="AU365" s="108"/>
      <c r="AV365" s="108"/>
      <c r="AW365" s="108"/>
      <c r="AX365" s="108"/>
      <c r="AY365" s="108"/>
      <c r="AZ365" s="108"/>
      <c r="BA365" s="108"/>
      <c r="BB365" s="108"/>
    </row>
    <row r="366" spans="1:54" s="109" customFormat="1" ht="12" customHeight="1">
      <c r="A366" s="8">
        <v>51102</v>
      </c>
      <c r="B366" s="8" t="s">
        <v>921</v>
      </c>
      <c r="C366" s="8"/>
      <c r="D366" s="92">
        <f>+VLOOKUP(A366,Clasificaciones!C:I,5,FALSE)</f>
        <v>0</v>
      </c>
      <c r="E366" s="92">
        <v>0</v>
      </c>
      <c r="F366" s="92">
        <v>0</v>
      </c>
      <c r="G366" s="92">
        <v>0</v>
      </c>
      <c r="H366" s="92">
        <f t="shared" ref="H366:H433" si="64">+D366-G366+E366-F366</f>
        <v>0</v>
      </c>
      <c r="I366" s="26">
        <v>0</v>
      </c>
      <c r="J366" s="26">
        <v>0</v>
      </c>
      <c r="K366" s="26">
        <v>0</v>
      </c>
      <c r="L366" s="26">
        <v>0</v>
      </c>
      <c r="M366" s="26">
        <v>0</v>
      </c>
      <c r="N366" s="26">
        <v>0</v>
      </c>
      <c r="O366" s="26">
        <v>0</v>
      </c>
      <c r="P366" s="26">
        <v>0</v>
      </c>
      <c r="Q366" s="26">
        <v>0</v>
      </c>
      <c r="R366" s="26">
        <v>0</v>
      </c>
      <c r="S366" s="26">
        <v>0</v>
      </c>
      <c r="T366" s="26">
        <v>0</v>
      </c>
      <c r="U366" s="26">
        <v>0</v>
      </c>
      <c r="V366" s="26">
        <v>0</v>
      </c>
      <c r="W366" s="26">
        <v>0</v>
      </c>
      <c r="X366" s="26">
        <v>0</v>
      </c>
      <c r="Y366" s="26">
        <v>0</v>
      </c>
      <c r="Z366" s="26">
        <v>0</v>
      </c>
      <c r="AA366" s="26">
        <f t="shared" si="54"/>
        <v>0</v>
      </c>
      <c r="AB366" s="107"/>
      <c r="AC366" s="107"/>
      <c r="AD366" s="107"/>
      <c r="AE366" s="107"/>
      <c r="AF366" s="107"/>
      <c r="AG366" s="107"/>
      <c r="AH366" s="107"/>
      <c r="AI366" s="107"/>
      <c r="AJ366" s="107"/>
      <c r="AK366" s="107"/>
      <c r="AL366" s="107"/>
      <c r="AM366" s="107"/>
      <c r="AN366" s="107"/>
      <c r="AO366" s="108"/>
      <c r="AP366" s="108"/>
      <c r="AQ366" s="108"/>
      <c r="AR366" s="108"/>
      <c r="AS366" s="108"/>
      <c r="AT366" s="108"/>
      <c r="AU366" s="108"/>
      <c r="AV366" s="108"/>
      <c r="AW366" s="108"/>
      <c r="AX366" s="108"/>
      <c r="AY366" s="108"/>
      <c r="AZ366" s="108"/>
      <c r="BA366" s="108"/>
      <c r="BB366" s="108"/>
    </row>
    <row r="367" spans="1:54" s="109" customFormat="1" ht="12" customHeight="1">
      <c r="A367" s="8">
        <v>5110201</v>
      </c>
      <c r="B367" s="8" t="s">
        <v>922</v>
      </c>
      <c r="C367" s="8"/>
      <c r="D367" s="92">
        <f>+VLOOKUP(A367,Clasificaciones!C:I,5,FALSE)</f>
        <v>0</v>
      </c>
      <c r="E367" s="92">
        <v>0</v>
      </c>
      <c r="F367" s="92">
        <v>0</v>
      </c>
      <c r="G367" s="92">
        <v>0</v>
      </c>
      <c r="H367" s="92">
        <f t="shared" si="64"/>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c r="Z367" s="26">
        <v>0</v>
      </c>
      <c r="AA367" s="26">
        <f t="shared" si="54"/>
        <v>0</v>
      </c>
      <c r="AB367" s="107"/>
      <c r="AC367" s="107"/>
      <c r="AD367" s="107"/>
      <c r="AE367" s="107"/>
      <c r="AF367" s="107"/>
      <c r="AG367" s="107"/>
      <c r="AH367" s="107"/>
      <c r="AI367" s="107"/>
      <c r="AJ367" s="107"/>
      <c r="AK367" s="107"/>
      <c r="AL367" s="107"/>
      <c r="AM367" s="107"/>
      <c r="AN367" s="107"/>
      <c r="AO367" s="108"/>
      <c r="AP367" s="108"/>
      <c r="AQ367" s="108"/>
      <c r="AR367" s="108"/>
      <c r="AS367" s="108"/>
      <c r="AT367" s="108"/>
      <c r="AU367" s="108"/>
      <c r="AV367" s="108"/>
      <c r="AW367" s="108"/>
      <c r="AX367" s="108"/>
      <c r="AY367" s="108"/>
      <c r="AZ367" s="108"/>
      <c r="BA367" s="108"/>
      <c r="BB367" s="108"/>
    </row>
    <row r="368" spans="1:54" s="109" customFormat="1" ht="12" customHeight="1">
      <c r="A368" s="8">
        <v>511020101</v>
      </c>
      <c r="B368" s="8" t="s">
        <v>979</v>
      </c>
      <c r="C368" s="8" t="str">
        <f>+VLOOKUP(A368,Clasificaciones!$C$4:$H$887,6,0)</f>
        <v>Aranceles por negociación Bolsa de Valores</v>
      </c>
      <c r="D368" s="92">
        <f>+VLOOKUP(A368,Clasificaciones!C:I,5,FALSE)</f>
        <v>165047513</v>
      </c>
      <c r="E368" s="92">
        <v>0</v>
      </c>
      <c r="F368" s="92">
        <v>0</v>
      </c>
      <c r="G368" s="92">
        <v>0</v>
      </c>
      <c r="H368" s="92">
        <f t="shared" si="64"/>
        <v>165047513</v>
      </c>
      <c r="I368" s="26">
        <f t="shared" ref="I368:I369" si="65">-H368</f>
        <v>-165047513</v>
      </c>
      <c r="J368" s="26">
        <v>0</v>
      </c>
      <c r="K368" s="26"/>
      <c r="L368" s="26">
        <v>0</v>
      </c>
      <c r="M368" s="26">
        <v>0</v>
      </c>
      <c r="N368" s="26">
        <v>0</v>
      </c>
      <c r="O368" s="26">
        <v>0</v>
      </c>
      <c r="P368" s="26">
        <v>0</v>
      </c>
      <c r="Q368" s="26">
        <v>0</v>
      </c>
      <c r="R368" s="26">
        <v>0</v>
      </c>
      <c r="S368" s="26">
        <v>0</v>
      </c>
      <c r="T368" s="26">
        <v>0</v>
      </c>
      <c r="U368" s="26">
        <v>0</v>
      </c>
      <c r="V368" s="26">
        <v>0</v>
      </c>
      <c r="W368" s="26">
        <v>0</v>
      </c>
      <c r="X368" s="26">
        <v>0</v>
      </c>
      <c r="Y368" s="26">
        <v>0</v>
      </c>
      <c r="Z368" s="26">
        <v>0</v>
      </c>
      <c r="AA368" s="26">
        <f t="shared" si="54"/>
        <v>0</v>
      </c>
      <c r="AB368" s="107"/>
      <c r="AC368" s="107"/>
      <c r="AD368" s="107"/>
      <c r="AE368" s="107"/>
      <c r="AF368" s="107"/>
      <c r="AG368" s="107"/>
      <c r="AH368" s="107"/>
      <c r="AI368" s="107"/>
      <c r="AJ368" s="107"/>
      <c r="AK368" s="107"/>
      <c r="AL368" s="107"/>
      <c r="AM368" s="107"/>
      <c r="AN368" s="107"/>
      <c r="AO368" s="108"/>
      <c r="AP368" s="108"/>
      <c r="AQ368" s="108"/>
      <c r="AR368" s="108"/>
      <c r="AS368" s="108"/>
      <c r="AT368" s="108"/>
      <c r="AU368" s="108"/>
      <c r="AV368" s="108"/>
      <c r="AW368" s="108"/>
      <c r="AX368" s="108"/>
      <c r="AY368" s="108"/>
      <c r="AZ368" s="108"/>
      <c r="BA368" s="108"/>
      <c r="BB368" s="108"/>
    </row>
    <row r="369" spans="1:54" s="109" customFormat="1" ht="12" customHeight="1">
      <c r="A369" s="8">
        <v>511020102</v>
      </c>
      <c r="B369" s="8" t="s">
        <v>923</v>
      </c>
      <c r="C369" s="8" t="str">
        <f>+VLOOKUP(A369,Clasificaciones!$C$4:$H$887,6,0)</f>
        <v>Aranceles por negociación Bolsa de Valores</v>
      </c>
      <c r="D369" s="92">
        <f>+VLOOKUP(A369,Clasificaciones!C:I,5,FALSE)</f>
        <v>118789281</v>
      </c>
      <c r="E369" s="92">
        <v>0</v>
      </c>
      <c r="F369" s="92">
        <v>0</v>
      </c>
      <c r="G369" s="92">
        <v>0</v>
      </c>
      <c r="H369" s="92">
        <f t="shared" si="64"/>
        <v>118789281</v>
      </c>
      <c r="I369" s="26">
        <f t="shared" si="65"/>
        <v>-118789281</v>
      </c>
      <c r="J369" s="26">
        <v>0</v>
      </c>
      <c r="K369" s="26"/>
      <c r="L369" s="26">
        <v>0</v>
      </c>
      <c r="M369" s="26">
        <v>0</v>
      </c>
      <c r="N369" s="26">
        <v>0</v>
      </c>
      <c r="O369" s="26">
        <v>0</v>
      </c>
      <c r="P369" s="26">
        <v>0</v>
      </c>
      <c r="Q369" s="26">
        <v>0</v>
      </c>
      <c r="R369" s="26">
        <v>0</v>
      </c>
      <c r="S369" s="26">
        <v>0</v>
      </c>
      <c r="T369" s="26">
        <v>0</v>
      </c>
      <c r="U369" s="26">
        <v>0</v>
      </c>
      <c r="V369" s="26">
        <v>0</v>
      </c>
      <c r="W369" s="26">
        <v>0</v>
      </c>
      <c r="X369" s="26">
        <v>0</v>
      </c>
      <c r="Y369" s="26">
        <v>0</v>
      </c>
      <c r="Z369" s="26">
        <v>0</v>
      </c>
      <c r="AA369" s="26">
        <f t="shared" si="54"/>
        <v>0</v>
      </c>
      <c r="AB369" s="107"/>
      <c r="AC369" s="107"/>
      <c r="AD369" s="107"/>
      <c r="AE369" s="107"/>
      <c r="AF369" s="107"/>
      <c r="AG369" s="107"/>
      <c r="AH369" s="107"/>
      <c r="AI369" s="107"/>
      <c r="AJ369" s="107"/>
      <c r="AK369" s="107"/>
      <c r="AL369" s="107"/>
      <c r="AM369" s="107"/>
      <c r="AN369" s="107"/>
      <c r="AO369" s="108"/>
      <c r="AP369" s="108"/>
      <c r="AQ369" s="108"/>
      <c r="AR369" s="108"/>
      <c r="AS369" s="108"/>
      <c r="AT369" s="108"/>
      <c r="AU369" s="108"/>
      <c r="AV369" s="108"/>
      <c r="AW369" s="108"/>
      <c r="AX369" s="108"/>
      <c r="AY369" s="108"/>
      <c r="AZ369" s="108"/>
      <c r="BA369" s="108"/>
      <c r="BB369" s="108"/>
    </row>
    <row r="370" spans="1:54" s="109" customFormat="1" ht="12" customHeight="1">
      <c r="A370" s="8">
        <v>5110202</v>
      </c>
      <c r="B370" s="8" t="s">
        <v>284</v>
      </c>
      <c r="C370" s="8"/>
      <c r="D370" s="92">
        <f>+VLOOKUP(A370,Clasificaciones!C:I,5,FALSE)</f>
        <v>0</v>
      </c>
      <c r="E370" s="92">
        <v>0</v>
      </c>
      <c r="F370" s="92">
        <v>0</v>
      </c>
      <c r="G370" s="92">
        <v>0</v>
      </c>
      <c r="H370" s="92">
        <f t="shared" si="64"/>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c r="Z370" s="26">
        <v>0</v>
      </c>
      <c r="AA370" s="26">
        <f t="shared" si="54"/>
        <v>0</v>
      </c>
      <c r="AB370" s="107"/>
      <c r="AC370" s="107"/>
      <c r="AD370" s="107"/>
      <c r="AE370" s="107"/>
      <c r="AF370" s="107"/>
      <c r="AG370" s="107"/>
      <c r="AH370" s="107"/>
      <c r="AI370" s="107"/>
      <c r="AJ370" s="107"/>
      <c r="AK370" s="107"/>
      <c r="AL370" s="107"/>
      <c r="AM370" s="107"/>
      <c r="AN370" s="107"/>
      <c r="AO370" s="108"/>
      <c r="AP370" s="108"/>
      <c r="AQ370" s="108"/>
      <c r="AR370" s="108"/>
      <c r="AS370" s="108"/>
      <c r="AT370" s="108"/>
      <c r="AU370" s="108"/>
      <c r="AV370" s="108"/>
      <c r="AW370" s="108"/>
      <c r="AX370" s="108"/>
      <c r="AY370" s="108"/>
      <c r="AZ370" s="108"/>
      <c r="BA370" s="108"/>
      <c r="BB370" s="108"/>
    </row>
    <row r="371" spans="1:54" s="109" customFormat="1" ht="12" customHeight="1">
      <c r="A371" s="8">
        <v>511020201</v>
      </c>
      <c r="B371" s="8" t="s">
        <v>909</v>
      </c>
      <c r="C371" s="8" t="str">
        <f>+VLOOKUP(A371,Clasificaciones!$C$4:$H$887,6,0)</f>
        <v>Aranceles por negociación Bolsa de Valores</v>
      </c>
      <c r="D371" s="92">
        <f>+VLOOKUP(A371,Clasificaciones!C:I,5,FALSE)</f>
        <v>56121803</v>
      </c>
      <c r="E371" s="92">
        <v>0</v>
      </c>
      <c r="F371" s="92">
        <v>0</v>
      </c>
      <c r="G371" s="92">
        <v>0</v>
      </c>
      <c r="H371" s="92">
        <f t="shared" si="64"/>
        <v>56121803</v>
      </c>
      <c r="I371" s="26">
        <f t="shared" ref="I371:I372" si="66">-H371</f>
        <v>-56121803</v>
      </c>
      <c r="J371" s="26">
        <v>0</v>
      </c>
      <c r="K371" s="26"/>
      <c r="L371" s="26">
        <v>0</v>
      </c>
      <c r="M371" s="26">
        <v>0</v>
      </c>
      <c r="N371" s="26">
        <v>0</v>
      </c>
      <c r="O371" s="26">
        <v>0</v>
      </c>
      <c r="P371" s="26">
        <v>0</v>
      </c>
      <c r="Q371" s="26">
        <v>0</v>
      </c>
      <c r="R371" s="26">
        <v>0</v>
      </c>
      <c r="S371" s="26">
        <v>0</v>
      </c>
      <c r="T371" s="26">
        <v>0</v>
      </c>
      <c r="U371" s="26">
        <v>0</v>
      </c>
      <c r="V371" s="26">
        <v>0</v>
      </c>
      <c r="W371" s="26">
        <v>0</v>
      </c>
      <c r="X371" s="26">
        <v>0</v>
      </c>
      <c r="Y371" s="26">
        <v>0</v>
      </c>
      <c r="Z371" s="26">
        <v>0</v>
      </c>
      <c r="AA371" s="26">
        <f t="shared" si="54"/>
        <v>0</v>
      </c>
      <c r="AB371" s="107"/>
      <c r="AC371" s="107"/>
      <c r="AD371" s="107"/>
      <c r="AE371" s="107"/>
      <c r="AF371" s="107"/>
      <c r="AG371" s="107"/>
      <c r="AH371" s="107"/>
      <c r="AI371" s="107"/>
      <c r="AJ371" s="107"/>
      <c r="AK371" s="107"/>
      <c r="AL371" s="107"/>
      <c r="AM371" s="107"/>
      <c r="AN371" s="107"/>
      <c r="AO371" s="108"/>
      <c r="AP371" s="108"/>
      <c r="AQ371" s="108"/>
      <c r="AR371" s="108"/>
      <c r="AS371" s="108"/>
      <c r="AT371" s="108"/>
      <c r="AU371" s="108"/>
      <c r="AV371" s="108"/>
      <c r="AW371" s="108"/>
      <c r="AX371" s="108"/>
      <c r="AY371" s="108"/>
      <c r="AZ371" s="108"/>
      <c r="BA371" s="108"/>
      <c r="BB371" s="108"/>
    </row>
    <row r="372" spans="1:54" s="109" customFormat="1" ht="12" customHeight="1">
      <c r="A372" s="8">
        <v>511020202</v>
      </c>
      <c r="B372" s="8" t="s">
        <v>910</v>
      </c>
      <c r="C372" s="8" t="str">
        <f>+VLOOKUP(A372,Clasificaciones!$C$4:$H$887,6,0)</f>
        <v>Aranceles por negociación Bolsa de Valores</v>
      </c>
      <c r="D372" s="92">
        <f>+VLOOKUP(A372,Clasificaciones!C:I,5,FALSE)</f>
        <v>5098164</v>
      </c>
      <c r="E372" s="92">
        <v>0</v>
      </c>
      <c r="F372" s="92">
        <v>0</v>
      </c>
      <c r="G372" s="92">
        <v>0</v>
      </c>
      <c r="H372" s="92">
        <f t="shared" si="64"/>
        <v>5098164</v>
      </c>
      <c r="I372" s="26">
        <f t="shared" si="66"/>
        <v>-5098164</v>
      </c>
      <c r="J372" s="26">
        <v>0</v>
      </c>
      <c r="K372" s="26"/>
      <c r="L372" s="26">
        <v>0</v>
      </c>
      <c r="M372" s="26">
        <v>0</v>
      </c>
      <c r="N372" s="26">
        <v>0</v>
      </c>
      <c r="O372" s="26">
        <v>0</v>
      </c>
      <c r="P372" s="26">
        <v>0</v>
      </c>
      <c r="Q372" s="26">
        <v>0</v>
      </c>
      <c r="R372" s="26">
        <v>0</v>
      </c>
      <c r="S372" s="26">
        <v>0</v>
      </c>
      <c r="T372" s="26">
        <v>0</v>
      </c>
      <c r="U372" s="26">
        <v>0</v>
      </c>
      <c r="V372" s="26">
        <v>0</v>
      </c>
      <c r="W372" s="26">
        <v>0</v>
      </c>
      <c r="X372" s="26">
        <v>0</v>
      </c>
      <c r="Y372" s="26">
        <v>0</v>
      </c>
      <c r="Z372" s="26">
        <v>0</v>
      </c>
      <c r="AA372" s="26">
        <f t="shared" si="54"/>
        <v>0</v>
      </c>
      <c r="AB372" s="107"/>
      <c r="AC372" s="107"/>
      <c r="AD372" s="107"/>
      <c r="AE372" s="107"/>
      <c r="AF372" s="107"/>
      <c r="AG372" s="107"/>
      <c r="AH372" s="107"/>
      <c r="AI372" s="107"/>
      <c r="AJ372" s="107"/>
      <c r="AK372" s="107"/>
      <c r="AL372" s="107"/>
      <c r="AM372" s="107"/>
      <c r="AN372" s="107"/>
      <c r="AO372" s="108"/>
      <c r="AP372" s="108"/>
      <c r="AQ372" s="108"/>
      <c r="AR372" s="108"/>
      <c r="AS372" s="108"/>
      <c r="AT372" s="108"/>
      <c r="AU372" s="108"/>
      <c r="AV372" s="108"/>
      <c r="AW372" s="108"/>
      <c r="AX372" s="108"/>
      <c r="AY372" s="108"/>
      <c r="AZ372" s="108"/>
      <c r="BA372" s="108"/>
      <c r="BB372" s="108"/>
    </row>
    <row r="373" spans="1:54" s="109" customFormat="1" ht="12" customHeight="1">
      <c r="A373" s="8">
        <v>5110203</v>
      </c>
      <c r="B373" s="8" t="s">
        <v>822</v>
      </c>
      <c r="C373" s="8" t="str">
        <f>+VLOOKUP(A373,Clasificaciones!$C$4:$H$887,6,0)</f>
        <v>Otros gastos operativos</v>
      </c>
      <c r="D373" s="92">
        <f>+VLOOKUP(A373,Clasificaciones!C:I,5,FALSE)</f>
        <v>2530200</v>
      </c>
      <c r="E373" s="92">
        <v>0</v>
      </c>
      <c r="F373" s="92">
        <v>0</v>
      </c>
      <c r="G373" s="92">
        <v>0</v>
      </c>
      <c r="H373" s="92">
        <f t="shared" si="64"/>
        <v>2530200</v>
      </c>
      <c r="I373" s="26">
        <v>0</v>
      </c>
      <c r="J373" s="26">
        <v>0</v>
      </c>
      <c r="K373" s="26"/>
      <c r="L373" s="26">
        <v>0</v>
      </c>
      <c r="M373" s="26">
        <f>-H373</f>
        <v>-2530200</v>
      </c>
      <c r="N373" s="26">
        <v>0</v>
      </c>
      <c r="O373" s="26">
        <v>0</v>
      </c>
      <c r="P373" s="26">
        <v>0</v>
      </c>
      <c r="Q373" s="26">
        <v>0</v>
      </c>
      <c r="R373" s="26">
        <v>0</v>
      </c>
      <c r="S373" s="26">
        <v>0</v>
      </c>
      <c r="T373" s="26">
        <v>0</v>
      </c>
      <c r="U373" s="26">
        <v>0</v>
      </c>
      <c r="V373" s="26">
        <v>0</v>
      </c>
      <c r="W373" s="26">
        <v>0</v>
      </c>
      <c r="X373" s="26">
        <v>0</v>
      </c>
      <c r="Y373" s="26">
        <v>0</v>
      </c>
      <c r="Z373" s="26">
        <v>0</v>
      </c>
      <c r="AA373" s="26">
        <f t="shared" si="54"/>
        <v>0</v>
      </c>
      <c r="AB373" s="107"/>
      <c r="AC373" s="107"/>
      <c r="AD373" s="107"/>
      <c r="AE373" s="107"/>
      <c r="AF373" s="107"/>
      <c r="AG373" s="107"/>
      <c r="AH373" s="107"/>
      <c r="AI373" s="107"/>
      <c r="AJ373" s="107"/>
      <c r="AK373" s="107"/>
      <c r="AL373" s="107"/>
      <c r="AM373" s="107"/>
      <c r="AN373" s="107"/>
      <c r="AO373" s="108"/>
      <c r="AP373" s="108"/>
      <c r="AQ373" s="108"/>
      <c r="AR373" s="108"/>
      <c r="AS373" s="108"/>
      <c r="AT373" s="108"/>
      <c r="AU373" s="108"/>
      <c r="AV373" s="108"/>
      <c r="AW373" s="108"/>
      <c r="AX373" s="108"/>
      <c r="AY373" s="108"/>
      <c r="AZ373" s="108"/>
      <c r="BA373" s="108"/>
      <c r="BB373" s="108"/>
    </row>
    <row r="374" spans="1:54" s="109" customFormat="1" ht="12" customHeight="1">
      <c r="A374" s="8">
        <v>51103</v>
      </c>
      <c r="B374" s="8" t="s">
        <v>260</v>
      </c>
      <c r="C374" s="8"/>
      <c r="D374" s="92">
        <f>+VLOOKUP(A374,Clasificaciones!C:I,5,FALSE)</f>
        <v>0</v>
      </c>
      <c r="E374" s="92">
        <v>0</v>
      </c>
      <c r="F374" s="92">
        <v>0</v>
      </c>
      <c r="G374" s="92">
        <v>0</v>
      </c>
      <c r="H374" s="92">
        <f t="shared" si="64"/>
        <v>0</v>
      </c>
      <c r="I374" s="26">
        <v>0</v>
      </c>
      <c r="J374" s="26">
        <v>0</v>
      </c>
      <c r="K374" s="26">
        <f>-H374</f>
        <v>0</v>
      </c>
      <c r="L374" s="26">
        <v>0</v>
      </c>
      <c r="M374" s="26">
        <v>0</v>
      </c>
      <c r="N374" s="26">
        <v>0</v>
      </c>
      <c r="O374" s="26">
        <v>0</v>
      </c>
      <c r="P374" s="26">
        <v>0</v>
      </c>
      <c r="Q374" s="26">
        <v>0</v>
      </c>
      <c r="R374" s="26">
        <v>0</v>
      </c>
      <c r="S374" s="26">
        <v>0</v>
      </c>
      <c r="T374" s="26">
        <v>0</v>
      </c>
      <c r="U374" s="26">
        <v>0</v>
      </c>
      <c r="V374" s="26">
        <v>0</v>
      </c>
      <c r="W374" s="26">
        <v>0</v>
      </c>
      <c r="X374" s="26">
        <v>0</v>
      </c>
      <c r="Y374" s="26">
        <v>0</v>
      </c>
      <c r="Z374" s="26">
        <v>0</v>
      </c>
      <c r="AA374" s="26">
        <f t="shared" si="54"/>
        <v>0</v>
      </c>
      <c r="AB374" s="107"/>
      <c r="AC374" s="107"/>
      <c r="AD374" s="107"/>
      <c r="AE374" s="107"/>
      <c r="AF374" s="107"/>
      <c r="AG374" s="107"/>
      <c r="AH374" s="107"/>
      <c r="AI374" s="107"/>
      <c r="AJ374" s="107"/>
      <c r="AK374" s="107"/>
      <c r="AL374" s="107"/>
      <c r="AM374" s="107"/>
      <c r="AN374" s="107"/>
      <c r="AO374" s="108"/>
      <c r="AP374" s="108"/>
      <c r="AQ374" s="108"/>
      <c r="AR374" s="108"/>
      <c r="AS374" s="108"/>
      <c r="AT374" s="108"/>
      <c r="AU374" s="108"/>
      <c r="AV374" s="108"/>
      <c r="AW374" s="108"/>
      <c r="AX374" s="108"/>
      <c r="AY374" s="108"/>
      <c r="AZ374" s="108"/>
      <c r="BA374" s="108"/>
      <c r="BB374" s="108"/>
    </row>
    <row r="375" spans="1:54" s="109" customFormat="1" ht="12" customHeight="1">
      <c r="A375" s="8">
        <v>5110301</v>
      </c>
      <c r="B375" s="8" t="s">
        <v>897</v>
      </c>
      <c r="C375" s="8"/>
      <c r="D375" s="92">
        <f>+VLOOKUP(A375,Clasificaciones!C:I,5,FALSE)</f>
        <v>0</v>
      </c>
      <c r="E375" s="92">
        <v>0</v>
      </c>
      <c r="F375" s="92">
        <v>0</v>
      </c>
      <c r="G375" s="92">
        <v>0</v>
      </c>
      <c r="H375" s="92">
        <f t="shared" si="64"/>
        <v>0</v>
      </c>
      <c r="I375" s="26">
        <v>0</v>
      </c>
      <c r="J375" s="26">
        <v>0</v>
      </c>
      <c r="K375" s="26">
        <v>0</v>
      </c>
      <c r="L375" s="26">
        <v>0</v>
      </c>
      <c r="M375" s="26">
        <v>0</v>
      </c>
      <c r="N375" s="26">
        <v>0</v>
      </c>
      <c r="O375" s="26">
        <v>0</v>
      </c>
      <c r="P375" s="26">
        <v>0</v>
      </c>
      <c r="Q375" s="26">
        <v>0</v>
      </c>
      <c r="R375" s="26">
        <v>0</v>
      </c>
      <c r="S375" s="26">
        <v>0</v>
      </c>
      <c r="T375" s="26">
        <v>0</v>
      </c>
      <c r="U375" s="26">
        <v>0</v>
      </c>
      <c r="V375" s="26">
        <v>0</v>
      </c>
      <c r="W375" s="26">
        <v>0</v>
      </c>
      <c r="X375" s="26">
        <v>0</v>
      </c>
      <c r="Y375" s="26">
        <v>0</v>
      </c>
      <c r="Z375" s="26">
        <v>0</v>
      </c>
      <c r="AA375" s="26">
        <f t="shared" si="54"/>
        <v>0</v>
      </c>
      <c r="AB375" s="107"/>
      <c r="AC375" s="107"/>
      <c r="AD375" s="107"/>
      <c r="AE375" s="107"/>
      <c r="AF375" s="107"/>
      <c r="AG375" s="107"/>
      <c r="AH375" s="107"/>
      <c r="AI375" s="107"/>
      <c r="AJ375" s="107"/>
      <c r="AK375" s="107"/>
      <c r="AL375" s="107"/>
      <c r="AM375" s="107"/>
      <c r="AN375" s="107"/>
      <c r="AO375" s="108"/>
      <c r="AP375" s="108"/>
      <c r="AQ375" s="108"/>
      <c r="AR375" s="108"/>
      <c r="AS375" s="108"/>
      <c r="AT375" s="108"/>
      <c r="AU375" s="108"/>
      <c r="AV375" s="108"/>
      <c r="AW375" s="108"/>
      <c r="AX375" s="108"/>
      <c r="AY375" s="108"/>
      <c r="AZ375" s="108"/>
      <c r="BA375" s="108"/>
      <c r="BB375" s="108"/>
    </row>
    <row r="376" spans="1:54" s="109" customFormat="1" ht="12" customHeight="1">
      <c r="A376" s="8">
        <v>511030101</v>
      </c>
      <c r="B376" s="8" t="s">
        <v>1186</v>
      </c>
      <c r="C376" s="8"/>
      <c r="D376" s="92">
        <f>+VLOOKUP(A376,Clasificaciones!C:I,5,FALSE)</f>
        <v>0</v>
      </c>
      <c r="E376" s="92">
        <v>0</v>
      </c>
      <c r="F376" s="92">
        <v>0</v>
      </c>
      <c r="G376" s="92">
        <v>0</v>
      </c>
      <c r="H376" s="92">
        <f t="shared" si="64"/>
        <v>0</v>
      </c>
      <c r="I376" s="26">
        <v>0</v>
      </c>
      <c r="J376" s="26">
        <v>0</v>
      </c>
      <c r="K376" s="26">
        <f>-H376</f>
        <v>0</v>
      </c>
      <c r="L376" s="26">
        <v>0</v>
      </c>
      <c r="M376" s="26">
        <v>0</v>
      </c>
      <c r="N376" s="26">
        <v>0</v>
      </c>
      <c r="O376" s="26">
        <v>0</v>
      </c>
      <c r="P376" s="26">
        <v>0</v>
      </c>
      <c r="Q376" s="26">
        <v>0</v>
      </c>
      <c r="R376" s="26">
        <v>0</v>
      </c>
      <c r="S376" s="26">
        <v>0</v>
      </c>
      <c r="T376" s="26">
        <v>0</v>
      </c>
      <c r="U376" s="26">
        <v>0</v>
      </c>
      <c r="V376" s="26">
        <v>0</v>
      </c>
      <c r="W376" s="26">
        <v>0</v>
      </c>
      <c r="X376" s="26">
        <v>0</v>
      </c>
      <c r="Y376" s="26">
        <v>0</v>
      </c>
      <c r="Z376" s="26">
        <v>0</v>
      </c>
      <c r="AA376" s="26">
        <f t="shared" si="54"/>
        <v>0</v>
      </c>
      <c r="AB376" s="107"/>
      <c r="AC376" s="107"/>
      <c r="AD376" s="107"/>
      <c r="AE376" s="107"/>
      <c r="AF376" s="107"/>
      <c r="AG376" s="107"/>
      <c r="AH376" s="107"/>
      <c r="AI376" s="107"/>
      <c r="AJ376" s="107"/>
      <c r="AK376" s="107"/>
      <c r="AL376" s="107"/>
      <c r="AM376" s="107"/>
      <c r="AN376" s="107"/>
      <c r="AO376" s="108"/>
      <c r="AP376" s="108"/>
      <c r="AQ376" s="108"/>
      <c r="AR376" s="108"/>
      <c r="AS376" s="108"/>
      <c r="AT376" s="108"/>
      <c r="AU376" s="108"/>
      <c r="AV376" s="108"/>
      <c r="AW376" s="108"/>
      <c r="AX376" s="108"/>
      <c r="AY376" s="108"/>
      <c r="AZ376" s="108"/>
      <c r="BA376" s="108"/>
      <c r="BB376" s="108"/>
    </row>
    <row r="377" spans="1:54" s="109" customFormat="1" ht="12" customHeight="1">
      <c r="A377" s="8">
        <v>51103010101</v>
      </c>
      <c r="B377" s="8" t="s">
        <v>887</v>
      </c>
      <c r="C377" s="918" t="str">
        <f>+VLOOKUP(A377,Clasificaciones!$C$4:$H$887,6,0)</f>
        <v>Otros gastos operativos</v>
      </c>
      <c r="D377" s="92">
        <f>+VLOOKUP(A377,Clasificaciones!C:I,5,FALSE)</f>
        <v>178819883</v>
      </c>
      <c r="E377" s="92">
        <v>0</v>
      </c>
      <c r="F377" s="92">
        <v>0</v>
      </c>
      <c r="G377" s="92">
        <v>0</v>
      </c>
      <c r="H377" s="92">
        <f t="shared" si="64"/>
        <v>178819883</v>
      </c>
      <c r="I377" s="26">
        <f t="shared" ref="I377:I382" si="67">-H377</f>
        <v>-178819883</v>
      </c>
      <c r="J377" s="26">
        <v>0</v>
      </c>
      <c r="K377" s="26">
        <v>0</v>
      </c>
      <c r="L377" s="26">
        <v>0</v>
      </c>
      <c r="M377" s="26">
        <v>0</v>
      </c>
      <c r="N377" s="26">
        <v>0</v>
      </c>
      <c r="O377" s="26">
        <v>0</v>
      </c>
      <c r="P377" s="26">
        <v>0</v>
      </c>
      <c r="Q377" s="26">
        <v>0</v>
      </c>
      <c r="R377" s="26">
        <v>0</v>
      </c>
      <c r="S377" s="920"/>
      <c r="T377" s="26">
        <v>0</v>
      </c>
      <c r="U377" s="26">
        <v>0</v>
      </c>
      <c r="V377" s="26">
        <v>0</v>
      </c>
      <c r="W377" s="26">
        <v>0</v>
      </c>
      <c r="X377" s="26">
        <v>0</v>
      </c>
      <c r="Y377" s="26">
        <v>0</v>
      </c>
      <c r="Z377" s="26">
        <v>0</v>
      </c>
      <c r="AA377" s="26">
        <f t="shared" si="54"/>
        <v>0</v>
      </c>
      <c r="AB377" s="107"/>
      <c r="AC377" s="107"/>
      <c r="AD377" s="107"/>
      <c r="AE377" s="107"/>
      <c r="AF377" s="107"/>
      <c r="AG377" s="107"/>
      <c r="AH377" s="107"/>
      <c r="AI377" s="107"/>
      <c r="AJ377" s="107"/>
      <c r="AK377" s="107"/>
      <c r="AL377" s="107"/>
      <c r="AM377" s="107"/>
      <c r="AN377" s="107"/>
      <c r="AO377" s="108"/>
      <c r="AP377" s="108"/>
      <c r="AQ377" s="108"/>
      <c r="AR377" s="108"/>
      <c r="AS377" s="108"/>
      <c r="AT377" s="108"/>
      <c r="AU377" s="108"/>
      <c r="AV377" s="108"/>
      <c r="AW377" s="108"/>
      <c r="AX377" s="108"/>
      <c r="AY377" s="108"/>
      <c r="AZ377" s="108"/>
      <c r="BA377" s="108"/>
      <c r="BB377" s="108"/>
    </row>
    <row r="378" spans="1:54" s="109" customFormat="1" ht="12" customHeight="1">
      <c r="A378" s="8">
        <v>51103010102</v>
      </c>
      <c r="B378" s="8" t="s">
        <v>773</v>
      </c>
      <c r="C378" s="918" t="str">
        <f>+VLOOKUP(A378,Clasificaciones!$C$4:$H$887,6,0)</f>
        <v>Otros gastos operativos</v>
      </c>
      <c r="D378" s="92">
        <f>+VLOOKUP(A378,Clasificaciones!C:I,5,FALSE)</f>
        <v>128059774</v>
      </c>
      <c r="E378" s="92">
        <v>0</v>
      </c>
      <c r="F378" s="92">
        <v>0</v>
      </c>
      <c r="G378" s="92">
        <v>0</v>
      </c>
      <c r="H378" s="92">
        <f t="shared" si="64"/>
        <v>128059774</v>
      </c>
      <c r="I378" s="26">
        <f t="shared" si="67"/>
        <v>-128059774</v>
      </c>
      <c r="J378" s="26">
        <v>0</v>
      </c>
      <c r="K378" s="26">
        <v>0</v>
      </c>
      <c r="L378" s="26">
        <v>0</v>
      </c>
      <c r="M378" s="26">
        <v>0</v>
      </c>
      <c r="N378" s="26">
        <v>0</v>
      </c>
      <c r="O378" s="26">
        <v>0</v>
      </c>
      <c r="P378" s="26">
        <v>0</v>
      </c>
      <c r="Q378" s="26">
        <v>0</v>
      </c>
      <c r="R378" s="26">
        <v>0</v>
      </c>
      <c r="S378" s="920"/>
      <c r="T378" s="26">
        <v>0</v>
      </c>
      <c r="U378" s="26">
        <v>0</v>
      </c>
      <c r="V378" s="26">
        <v>0</v>
      </c>
      <c r="W378" s="26">
        <v>0</v>
      </c>
      <c r="X378" s="26">
        <v>0</v>
      </c>
      <c r="Y378" s="26">
        <v>0</v>
      </c>
      <c r="Z378" s="26">
        <v>0</v>
      </c>
      <c r="AA378" s="26">
        <f t="shared" si="54"/>
        <v>0</v>
      </c>
      <c r="AB378" s="107"/>
      <c r="AC378" s="107"/>
      <c r="AD378" s="107"/>
      <c r="AE378" s="107"/>
      <c r="AF378" s="107"/>
      <c r="AG378" s="107"/>
      <c r="AH378" s="107"/>
      <c r="AI378" s="107"/>
      <c r="AJ378" s="107"/>
      <c r="AK378" s="107"/>
      <c r="AL378" s="107"/>
      <c r="AM378" s="107"/>
      <c r="AN378" s="107"/>
      <c r="AO378" s="108"/>
      <c r="AP378" s="108"/>
      <c r="AQ378" s="108"/>
      <c r="AR378" s="108"/>
      <c r="AS378" s="108"/>
      <c r="AT378" s="108"/>
      <c r="AU378" s="108"/>
      <c r="AV378" s="108"/>
      <c r="AW378" s="108"/>
      <c r="AX378" s="108"/>
      <c r="AY378" s="108"/>
      <c r="AZ378" s="108"/>
      <c r="BA378" s="108"/>
      <c r="BB378" s="108"/>
    </row>
    <row r="379" spans="1:54" s="109" customFormat="1" ht="12" customHeight="1">
      <c r="A379" s="8">
        <v>51103010103</v>
      </c>
      <c r="B379" s="8" t="s">
        <v>780</v>
      </c>
      <c r="C379" s="918" t="str">
        <f>+VLOOKUP(A379,Clasificaciones!$C$4:$H$887,6,0)</f>
        <v>Otros gastos operativos</v>
      </c>
      <c r="D379" s="92">
        <f>+VLOOKUP(A379,Clasificaciones!C:I,5,FALSE)</f>
        <v>125180710</v>
      </c>
      <c r="E379" s="92">
        <v>0</v>
      </c>
      <c r="F379" s="92">
        <v>0</v>
      </c>
      <c r="G379" s="92">
        <v>0</v>
      </c>
      <c r="H379" s="92">
        <f t="shared" si="64"/>
        <v>125180710</v>
      </c>
      <c r="I379" s="26">
        <f t="shared" si="67"/>
        <v>-125180710</v>
      </c>
      <c r="J379" s="26">
        <v>0</v>
      </c>
      <c r="K379" s="26">
        <v>0</v>
      </c>
      <c r="L379" s="26">
        <v>0</v>
      </c>
      <c r="M379" s="26">
        <v>0</v>
      </c>
      <c r="N379" s="26">
        <v>0</v>
      </c>
      <c r="O379" s="26">
        <v>0</v>
      </c>
      <c r="P379" s="26">
        <v>0</v>
      </c>
      <c r="Q379" s="26">
        <v>0</v>
      </c>
      <c r="R379" s="26">
        <v>0</v>
      </c>
      <c r="S379" s="920"/>
      <c r="T379" s="26">
        <v>0</v>
      </c>
      <c r="U379" s="26">
        <v>0</v>
      </c>
      <c r="V379" s="26">
        <v>0</v>
      </c>
      <c r="W379" s="26">
        <v>0</v>
      </c>
      <c r="X379" s="26">
        <v>0</v>
      </c>
      <c r="Y379" s="26">
        <v>0</v>
      </c>
      <c r="Z379" s="26">
        <v>0</v>
      </c>
      <c r="AA379" s="26">
        <f t="shared" si="54"/>
        <v>0</v>
      </c>
      <c r="AB379" s="107"/>
      <c r="AC379" s="107"/>
      <c r="AD379" s="107"/>
      <c r="AE379" s="107"/>
      <c r="AF379" s="107"/>
      <c r="AG379" s="107"/>
      <c r="AH379" s="107"/>
      <c r="AI379" s="107"/>
      <c r="AJ379" s="107"/>
      <c r="AK379" s="107"/>
      <c r="AL379" s="107"/>
      <c r="AM379" s="107"/>
      <c r="AN379" s="107"/>
      <c r="AO379" s="108"/>
      <c r="AP379" s="108"/>
      <c r="AQ379" s="108"/>
      <c r="AR379" s="108"/>
      <c r="AS379" s="108"/>
      <c r="AT379" s="108"/>
      <c r="AU379" s="108"/>
      <c r="AV379" s="108"/>
      <c r="AW379" s="108"/>
      <c r="AX379" s="108"/>
      <c r="AY379" s="108"/>
      <c r="AZ379" s="108"/>
      <c r="BA379" s="108"/>
      <c r="BB379" s="108"/>
    </row>
    <row r="380" spans="1:54" s="109" customFormat="1" ht="12" customHeight="1">
      <c r="A380" s="8">
        <v>51103010104</v>
      </c>
      <c r="B380" s="8" t="s">
        <v>884</v>
      </c>
      <c r="C380" s="918" t="str">
        <f>+VLOOKUP(A380,Clasificaciones!$C$4:$H$887,6,0)</f>
        <v>Otros gastos operativos</v>
      </c>
      <c r="D380" s="92">
        <f>+VLOOKUP(A380,Clasificaciones!C:I,5,FALSE)</f>
        <v>169749924</v>
      </c>
      <c r="E380" s="92">
        <v>0</v>
      </c>
      <c r="F380" s="92">
        <v>0</v>
      </c>
      <c r="G380" s="92">
        <v>0</v>
      </c>
      <c r="H380" s="92">
        <f t="shared" si="64"/>
        <v>169749924</v>
      </c>
      <c r="I380" s="26">
        <f t="shared" si="67"/>
        <v>-169749924</v>
      </c>
      <c r="J380" s="26">
        <v>0</v>
      </c>
      <c r="K380" s="26">
        <v>0</v>
      </c>
      <c r="L380" s="26">
        <v>0</v>
      </c>
      <c r="M380" s="26">
        <v>0</v>
      </c>
      <c r="N380" s="26">
        <v>0</v>
      </c>
      <c r="O380" s="26">
        <v>0</v>
      </c>
      <c r="P380" s="26">
        <v>0</v>
      </c>
      <c r="Q380" s="26">
        <v>0</v>
      </c>
      <c r="R380" s="26">
        <v>0</v>
      </c>
      <c r="S380" s="920"/>
      <c r="T380" s="26">
        <v>0</v>
      </c>
      <c r="U380" s="26">
        <v>0</v>
      </c>
      <c r="V380" s="26">
        <v>0</v>
      </c>
      <c r="W380" s="26">
        <v>0</v>
      </c>
      <c r="X380" s="26">
        <v>0</v>
      </c>
      <c r="Y380" s="26">
        <v>0</v>
      </c>
      <c r="Z380" s="26">
        <v>0</v>
      </c>
      <c r="AA380" s="26">
        <f t="shared" si="54"/>
        <v>0</v>
      </c>
      <c r="AB380" s="107"/>
      <c r="AC380" s="107"/>
      <c r="AD380" s="107"/>
      <c r="AE380" s="107"/>
      <c r="AF380" s="107"/>
      <c r="AG380" s="107"/>
      <c r="AH380" s="107"/>
      <c r="AI380" s="107"/>
      <c r="AJ380" s="107"/>
      <c r="AK380" s="107"/>
      <c r="AL380" s="107"/>
      <c r="AM380" s="107"/>
      <c r="AN380" s="107"/>
      <c r="AO380" s="108"/>
      <c r="AP380" s="108"/>
      <c r="AQ380" s="108"/>
      <c r="AR380" s="108"/>
      <c r="AS380" s="108"/>
      <c r="AT380" s="108"/>
      <c r="AU380" s="108"/>
      <c r="AV380" s="108"/>
      <c r="AW380" s="108"/>
      <c r="AX380" s="108"/>
      <c r="AY380" s="108"/>
      <c r="AZ380" s="108"/>
      <c r="BA380" s="108"/>
      <c r="BB380" s="108"/>
    </row>
    <row r="381" spans="1:54" s="109" customFormat="1" ht="12" customHeight="1">
      <c r="A381" s="8">
        <v>51103010105</v>
      </c>
      <c r="B381" s="8" t="s">
        <v>1370</v>
      </c>
      <c r="C381" s="918" t="str">
        <f>+VLOOKUP(A381,Clasificaciones!$C$4:$H$887,6,0)</f>
        <v>Otros gastos operativos</v>
      </c>
      <c r="D381" s="92">
        <f>+VLOOKUP(A381,Clasificaciones!C:I,5,FALSE)</f>
        <v>272230702</v>
      </c>
      <c r="E381" s="92">
        <v>0</v>
      </c>
      <c r="F381" s="92">
        <v>0</v>
      </c>
      <c r="G381" s="92">
        <v>0</v>
      </c>
      <c r="H381" s="92">
        <f t="shared" si="64"/>
        <v>272230702</v>
      </c>
      <c r="I381" s="26">
        <f t="shared" si="67"/>
        <v>-272230702</v>
      </c>
      <c r="J381" s="26">
        <v>0</v>
      </c>
      <c r="K381" s="26">
        <v>0</v>
      </c>
      <c r="L381" s="26">
        <v>0</v>
      </c>
      <c r="M381" s="26">
        <v>0</v>
      </c>
      <c r="N381" s="26">
        <v>0</v>
      </c>
      <c r="O381" s="26">
        <v>0</v>
      </c>
      <c r="P381" s="26">
        <v>0</v>
      </c>
      <c r="Q381" s="26">
        <v>0</v>
      </c>
      <c r="R381" s="26">
        <v>0</v>
      </c>
      <c r="S381" s="920"/>
      <c r="T381" s="26">
        <v>0</v>
      </c>
      <c r="U381" s="26">
        <v>0</v>
      </c>
      <c r="V381" s="26">
        <v>0</v>
      </c>
      <c r="W381" s="26">
        <v>0</v>
      </c>
      <c r="X381" s="26">
        <v>0</v>
      </c>
      <c r="Y381" s="26">
        <v>0</v>
      </c>
      <c r="Z381" s="26">
        <v>0</v>
      </c>
      <c r="AA381" s="26">
        <f t="shared" si="54"/>
        <v>0</v>
      </c>
      <c r="AB381" s="107"/>
      <c r="AC381" s="107"/>
      <c r="AD381" s="107"/>
      <c r="AE381" s="107"/>
      <c r="AF381" s="107"/>
      <c r="AG381" s="107"/>
      <c r="AH381" s="107"/>
      <c r="AI381" s="107"/>
      <c r="AJ381" s="107"/>
      <c r="AK381" s="107"/>
      <c r="AL381" s="107"/>
      <c r="AM381" s="107"/>
      <c r="AN381" s="107"/>
      <c r="AO381" s="108"/>
      <c r="AP381" s="108"/>
      <c r="AQ381" s="108"/>
      <c r="AR381" s="108"/>
      <c r="AS381" s="108"/>
      <c r="AT381" s="108"/>
      <c r="AU381" s="108"/>
      <c r="AV381" s="108"/>
      <c r="AW381" s="108"/>
      <c r="AX381" s="108"/>
      <c r="AY381" s="108"/>
      <c r="AZ381" s="108"/>
      <c r="BA381" s="108"/>
      <c r="BB381" s="108"/>
    </row>
    <row r="382" spans="1:54" s="109" customFormat="1" ht="12" customHeight="1">
      <c r="A382" s="8">
        <v>51103010106</v>
      </c>
      <c r="B382" s="8" t="s">
        <v>1430</v>
      </c>
      <c r="C382" s="918" t="str">
        <f>+VLOOKUP(A382,Clasificaciones!$C$4:$H$887,6,0)</f>
        <v>Otros gastos operativos</v>
      </c>
      <c r="D382" s="92">
        <f>+VLOOKUP(A382,Clasificaciones!C:I,5,FALSE)</f>
        <v>19678822</v>
      </c>
      <c r="E382" s="92">
        <v>0</v>
      </c>
      <c r="F382" s="92">
        <v>0</v>
      </c>
      <c r="G382" s="92">
        <v>0</v>
      </c>
      <c r="H382" s="92">
        <f t="shared" ref="H382" si="68">+D382-G382+E382-F382</f>
        <v>19678822</v>
      </c>
      <c r="I382" s="26">
        <f t="shared" si="67"/>
        <v>-19678822</v>
      </c>
      <c r="J382" s="26">
        <v>0</v>
      </c>
      <c r="K382" s="26">
        <v>0</v>
      </c>
      <c r="L382" s="26">
        <v>0</v>
      </c>
      <c r="M382" s="26">
        <v>0</v>
      </c>
      <c r="N382" s="26">
        <v>0</v>
      </c>
      <c r="O382" s="26">
        <v>0</v>
      </c>
      <c r="P382" s="26">
        <v>0</v>
      </c>
      <c r="Q382" s="26">
        <v>0</v>
      </c>
      <c r="R382" s="26">
        <v>0</v>
      </c>
      <c r="S382" s="920"/>
      <c r="T382" s="26">
        <v>0</v>
      </c>
      <c r="U382" s="26">
        <v>0</v>
      </c>
      <c r="V382" s="26">
        <v>0</v>
      </c>
      <c r="W382" s="26">
        <v>0</v>
      </c>
      <c r="X382" s="26">
        <v>0</v>
      </c>
      <c r="Y382" s="26">
        <v>0</v>
      </c>
      <c r="Z382" s="26">
        <v>0</v>
      </c>
      <c r="AA382" s="26">
        <f t="shared" si="54"/>
        <v>0</v>
      </c>
      <c r="AB382" s="107"/>
      <c r="AC382" s="107"/>
      <c r="AD382" s="107"/>
      <c r="AE382" s="107"/>
      <c r="AF382" s="107"/>
      <c r="AG382" s="107"/>
      <c r="AH382" s="107"/>
      <c r="AI382" s="107"/>
      <c r="AJ382" s="107"/>
      <c r="AK382" s="107"/>
      <c r="AL382" s="107"/>
      <c r="AM382" s="107"/>
      <c r="AN382" s="107"/>
      <c r="AO382" s="108"/>
      <c r="AP382" s="108"/>
      <c r="AQ382" s="108"/>
      <c r="AR382" s="108"/>
      <c r="AS382" s="108"/>
      <c r="AT382" s="108"/>
      <c r="AU382" s="108"/>
      <c r="AV382" s="108"/>
      <c r="AW382" s="108"/>
      <c r="AX382" s="108"/>
      <c r="AY382" s="108"/>
      <c r="AZ382" s="108"/>
      <c r="BA382" s="108"/>
      <c r="BB382" s="108"/>
    </row>
    <row r="383" spans="1:54" s="109" customFormat="1" ht="12" customHeight="1">
      <c r="A383" s="8">
        <v>511030120</v>
      </c>
      <c r="B383" s="8" t="s">
        <v>924</v>
      </c>
      <c r="C383" s="8"/>
      <c r="D383" s="92">
        <f>+VLOOKUP(A383,Clasificaciones!C:I,5,FALSE)</f>
        <v>0</v>
      </c>
      <c r="E383" s="92">
        <v>0</v>
      </c>
      <c r="F383" s="92">
        <v>0</v>
      </c>
      <c r="G383" s="92">
        <v>0</v>
      </c>
      <c r="H383" s="92">
        <f t="shared" si="64"/>
        <v>0</v>
      </c>
      <c r="I383" s="26">
        <v>0</v>
      </c>
      <c r="J383" s="26">
        <v>0</v>
      </c>
      <c r="K383" s="26">
        <v>0</v>
      </c>
      <c r="L383" s="26">
        <v>0</v>
      </c>
      <c r="M383" s="26">
        <v>0</v>
      </c>
      <c r="N383" s="26">
        <v>0</v>
      </c>
      <c r="O383" s="26">
        <v>0</v>
      </c>
      <c r="P383" s="26">
        <v>0</v>
      </c>
      <c r="Q383" s="26">
        <v>0</v>
      </c>
      <c r="R383" s="26">
        <v>0</v>
      </c>
      <c r="S383" s="26">
        <f t="shared" ref="S383" si="69">-H383</f>
        <v>0</v>
      </c>
      <c r="T383" s="26">
        <v>0</v>
      </c>
      <c r="U383" s="26">
        <v>0</v>
      </c>
      <c r="V383" s="26">
        <v>0</v>
      </c>
      <c r="W383" s="26">
        <v>0</v>
      </c>
      <c r="X383" s="26">
        <v>0</v>
      </c>
      <c r="Y383" s="26">
        <v>0</v>
      </c>
      <c r="Z383" s="26">
        <v>0</v>
      </c>
      <c r="AA383" s="26">
        <f t="shared" si="54"/>
        <v>0</v>
      </c>
      <c r="AB383" s="107"/>
      <c r="AC383" s="107"/>
      <c r="AD383" s="107"/>
      <c r="AE383" s="107"/>
      <c r="AF383" s="107"/>
      <c r="AG383" s="107"/>
      <c r="AH383" s="107"/>
      <c r="AI383" s="107"/>
      <c r="AJ383" s="107"/>
      <c r="AK383" s="107"/>
      <c r="AL383" s="107"/>
      <c r="AM383" s="107"/>
      <c r="AN383" s="107"/>
      <c r="AO383" s="108"/>
      <c r="AP383" s="108"/>
      <c r="AQ383" s="108"/>
      <c r="AR383" s="108"/>
      <c r="AS383" s="108"/>
      <c r="AT383" s="108"/>
      <c r="AU383" s="108"/>
      <c r="AV383" s="108"/>
      <c r="AW383" s="108"/>
      <c r="AX383" s="108"/>
      <c r="AY383" s="108"/>
      <c r="AZ383" s="108"/>
      <c r="BA383" s="108"/>
      <c r="BB383" s="108"/>
    </row>
    <row r="384" spans="1:54" s="109" customFormat="1" ht="12" customHeight="1">
      <c r="A384" s="8">
        <v>51103012001</v>
      </c>
      <c r="B384" s="8" t="s">
        <v>884</v>
      </c>
      <c r="C384" s="918" t="str">
        <f>+VLOOKUP(A384,Clasificaciones!$C$4:$H$887,6,0)</f>
        <v>Otros gastos operativos</v>
      </c>
      <c r="D384" s="92">
        <f>+VLOOKUP(A384,Clasificaciones!C:I,5,FALSE)</f>
        <v>1824993</v>
      </c>
      <c r="E384" s="92">
        <v>0</v>
      </c>
      <c r="F384" s="92">
        <v>0</v>
      </c>
      <c r="G384" s="92">
        <v>0</v>
      </c>
      <c r="H384" s="92">
        <f t="shared" ref="H384" si="70">+D384-G384+E384-F384</f>
        <v>1824993</v>
      </c>
      <c r="I384" s="26">
        <f t="shared" ref="I384:I397" si="71">-H384</f>
        <v>-1824993</v>
      </c>
      <c r="J384" s="26">
        <v>0</v>
      </c>
      <c r="K384" s="26">
        <v>0</v>
      </c>
      <c r="L384" s="26">
        <v>0</v>
      </c>
      <c r="M384" s="26">
        <v>0</v>
      </c>
      <c r="N384" s="26">
        <v>0</v>
      </c>
      <c r="O384" s="26">
        <v>0</v>
      </c>
      <c r="P384" s="26">
        <v>0</v>
      </c>
      <c r="Q384" s="26">
        <v>0</v>
      </c>
      <c r="R384" s="26">
        <v>0</v>
      </c>
      <c r="S384" s="920"/>
      <c r="T384" s="26">
        <v>0</v>
      </c>
      <c r="U384" s="26">
        <v>0</v>
      </c>
      <c r="V384" s="26">
        <v>0</v>
      </c>
      <c r="W384" s="26">
        <v>0</v>
      </c>
      <c r="X384" s="26">
        <v>0</v>
      </c>
      <c r="Y384" s="26">
        <v>0</v>
      </c>
      <c r="Z384" s="26">
        <v>0</v>
      </c>
      <c r="AA384" s="26">
        <f t="shared" si="54"/>
        <v>0</v>
      </c>
      <c r="AB384" s="107"/>
      <c r="AC384" s="107"/>
      <c r="AD384" s="107"/>
      <c r="AE384" s="107"/>
      <c r="AF384" s="107"/>
      <c r="AG384" s="107"/>
      <c r="AH384" s="107"/>
      <c r="AI384" s="107"/>
      <c r="AJ384" s="107"/>
      <c r="AK384" s="107"/>
      <c r="AL384" s="107"/>
      <c r="AM384" s="107"/>
      <c r="AN384" s="107"/>
      <c r="AO384" s="108"/>
      <c r="AP384" s="108"/>
      <c r="AQ384" s="108"/>
      <c r="AR384" s="108"/>
      <c r="AS384" s="108"/>
      <c r="AT384" s="108"/>
      <c r="AU384" s="108"/>
      <c r="AV384" s="108"/>
      <c r="AW384" s="108"/>
      <c r="AX384" s="108"/>
      <c r="AY384" s="108"/>
      <c r="AZ384" s="108"/>
      <c r="BA384" s="108"/>
      <c r="BB384" s="108"/>
    </row>
    <row r="385" spans="1:54" s="109" customFormat="1" ht="12" customHeight="1">
      <c r="A385" s="8">
        <v>51103012002</v>
      </c>
      <c r="B385" s="8" t="s">
        <v>899</v>
      </c>
      <c r="C385" s="918" t="str">
        <f>+VLOOKUP(A385,Clasificaciones!$C$4:$H$887,6,0)</f>
        <v>Otros gastos operativos</v>
      </c>
      <c r="D385" s="92">
        <f>+VLOOKUP(A385,Clasificaciones!C:I,5,FALSE)</f>
        <v>5516245</v>
      </c>
      <c r="E385" s="92">
        <v>0</v>
      </c>
      <c r="F385" s="92">
        <v>0</v>
      </c>
      <c r="G385" s="92">
        <v>0</v>
      </c>
      <c r="H385" s="92">
        <f t="shared" si="64"/>
        <v>5516245</v>
      </c>
      <c r="I385" s="26">
        <f t="shared" si="71"/>
        <v>-5516245</v>
      </c>
      <c r="J385" s="26">
        <v>0</v>
      </c>
      <c r="K385" s="26">
        <v>0</v>
      </c>
      <c r="L385" s="26">
        <v>0</v>
      </c>
      <c r="M385" s="26">
        <v>0</v>
      </c>
      <c r="N385" s="26">
        <v>0</v>
      </c>
      <c r="O385" s="26">
        <v>0</v>
      </c>
      <c r="P385" s="26">
        <v>0</v>
      </c>
      <c r="Q385" s="26">
        <v>0</v>
      </c>
      <c r="R385" s="26">
        <v>0</v>
      </c>
      <c r="S385" s="920"/>
      <c r="T385" s="26">
        <v>0</v>
      </c>
      <c r="U385" s="26">
        <v>0</v>
      </c>
      <c r="V385" s="26">
        <v>0</v>
      </c>
      <c r="W385" s="26">
        <v>0</v>
      </c>
      <c r="X385" s="26">
        <v>0</v>
      </c>
      <c r="Y385" s="26">
        <v>0</v>
      </c>
      <c r="Z385" s="26">
        <v>0</v>
      </c>
      <c r="AA385" s="26">
        <f t="shared" si="54"/>
        <v>0</v>
      </c>
      <c r="AB385" s="107"/>
      <c r="AC385" s="107"/>
      <c r="AD385" s="107"/>
      <c r="AE385" s="107"/>
      <c r="AF385" s="107"/>
      <c r="AG385" s="107"/>
      <c r="AH385" s="107"/>
      <c r="AI385" s="107"/>
      <c r="AJ385" s="107"/>
      <c r="AK385" s="107"/>
      <c r="AL385" s="107"/>
      <c r="AM385" s="107"/>
      <c r="AN385" s="107"/>
      <c r="AO385" s="108"/>
      <c r="AP385" s="108"/>
      <c r="AQ385" s="108"/>
      <c r="AR385" s="108"/>
      <c r="AS385" s="108"/>
      <c r="AT385" s="108"/>
      <c r="AU385" s="108"/>
      <c r="AV385" s="108"/>
      <c r="AW385" s="108"/>
      <c r="AX385" s="108"/>
      <c r="AY385" s="108"/>
      <c r="AZ385" s="108"/>
      <c r="BA385" s="108"/>
      <c r="BB385" s="108"/>
    </row>
    <row r="386" spans="1:54" s="109" customFormat="1" ht="12" customHeight="1">
      <c r="A386" s="8">
        <v>51103012004</v>
      </c>
      <c r="B386" s="8" t="s">
        <v>886</v>
      </c>
      <c r="C386" s="918" t="str">
        <f>+VLOOKUP(A386,Clasificaciones!$C$4:$H$887,6,0)</f>
        <v>Otros gastos operativos</v>
      </c>
      <c r="D386" s="92">
        <f>+VLOOKUP(A386,Clasificaciones!C:I,5,FALSE)</f>
        <v>83121122</v>
      </c>
      <c r="E386" s="92">
        <v>0</v>
      </c>
      <c r="F386" s="92">
        <v>0</v>
      </c>
      <c r="G386" s="92">
        <v>0</v>
      </c>
      <c r="H386" s="92">
        <f t="shared" si="64"/>
        <v>83121122</v>
      </c>
      <c r="I386" s="26">
        <f t="shared" si="71"/>
        <v>-83121122</v>
      </c>
      <c r="J386" s="26">
        <v>0</v>
      </c>
      <c r="K386" s="26">
        <v>0</v>
      </c>
      <c r="L386" s="26">
        <v>0</v>
      </c>
      <c r="M386" s="26">
        <v>0</v>
      </c>
      <c r="N386" s="26">
        <v>0</v>
      </c>
      <c r="O386" s="26">
        <v>0</v>
      </c>
      <c r="P386" s="26">
        <v>0</v>
      </c>
      <c r="Q386" s="26">
        <v>0</v>
      </c>
      <c r="R386" s="26">
        <v>0</v>
      </c>
      <c r="S386" s="920"/>
      <c r="T386" s="26">
        <v>0</v>
      </c>
      <c r="U386" s="26">
        <v>0</v>
      </c>
      <c r="V386" s="26">
        <v>0</v>
      </c>
      <c r="W386" s="26">
        <v>0</v>
      </c>
      <c r="X386" s="26">
        <v>0</v>
      </c>
      <c r="Y386" s="26">
        <v>0</v>
      </c>
      <c r="Z386" s="26">
        <v>0</v>
      </c>
      <c r="AA386" s="26">
        <f t="shared" si="54"/>
        <v>0</v>
      </c>
      <c r="AB386" s="107"/>
      <c r="AC386" s="107"/>
      <c r="AD386" s="107"/>
      <c r="AE386" s="107"/>
      <c r="AF386" s="107"/>
      <c r="AG386" s="107"/>
      <c r="AH386" s="107"/>
      <c r="AI386" s="107"/>
      <c r="AJ386" s="107"/>
      <c r="AK386" s="107"/>
      <c r="AL386" s="107"/>
      <c r="AM386" s="107"/>
      <c r="AN386" s="107"/>
      <c r="AO386" s="108"/>
      <c r="AP386" s="108"/>
      <c r="AQ386" s="108"/>
      <c r="AR386" s="108"/>
      <c r="AS386" s="108"/>
      <c r="AT386" s="108"/>
      <c r="AU386" s="108"/>
      <c r="AV386" s="108"/>
      <c r="AW386" s="108"/>
      <c r="AX386" s="108"/>
      <c r="AY386" s="108"/>
      <c r="AZ386" s="108"/>
      <c r="BA386" s="108"/>
      <c r="BB386" s="108"/>
    </row>
    <row r="387" spans="1:54" s="109" customFormat="1" ht="12" customHeight="1">
      <c r="A387" s="8">
        <v>51103012005</v>
      </c>
      <c r="B387" s="8" t="s">
        <v>887</v>
      </c>
      <c r="C387" s="918" t="str">
        <f>+VLOOKUP(A387,Clasificaciones!$C$4:$H$887,6,0)</f>
        <v>Otros gastos operativos</v>
      </c>
      <c r="D387" s="92">
        <f>+VLOOKUP(A387,Clasificaciones!C:I,5,FALSE)</f>
        <v>1429841268</v>
      </c>
      <c r="E387" s="92">
        <v>0</v>
      </c>
      <c r="F387" s="92">
        <v>0</v>
      </c>
      <c r="G387" s="92">
        <v>0</v>
      </c>
      <c r="H387" s="92">
        <f t="shared" si="64"/>
        <v>1429841268</v>
      </c>
      <c r="I387" s="26">
        <f t="shared" si="71"/>
        <v>-1429841268</v>
      </c>
      <c r="J387" s="26">
        <v>0</v>
      </c>
      <c r="K387" s="26">
        <v>0</v>
      </c>
      <c r="L387" s="26">
        <v>0</v>
      </c>
      <c r="M387" s="26">
        <v>0</v>
      </c>
      <c r="N387" s="26">
        <v>0</v>
      </c>
      <c r="O387" s="26">
        <v>0</v>
      </c>
      <c r="P387" s="26">
        <v>0</v>
      </c>
      <c r="Q387" s="26">
        <v>0</v>
      </c>
      <c r="R387" s="26">
        <v>0</v>
      </c>
      <c r="S387" s="920"/>
      <c r="T387" s="26">
        <v>0</v>
      </c>
      <c r="U387" s="26">
        <v>0</v>
      </c>
      <c r="V387" s="26">
        <v>0</v>
      </c>
      <c r="W387" s="26">
        <v>0</v>
      </c>
      <c r="X387" s="26">
        <v>0</v>
      </c>
      <c r="Y387" s="26">
        <v>0</v>
      </c>
      <c r="Z387" s="26">
        <v>0</v>
      </c>
      <c r="AA387" s="26">
        <f t="shared" si="54"/>
        <v>0</v>
      </c>
      <c r="AB387" s="107"/>
      <c r="AC387" s="107"/>
      <c r="AD387" s="107"/>
      <c r="AE387" s="107"/>
      <c r="AF387" s="107"/>
      <c r="AG387" s="107"/>
      <c r="AH387" s="107"/>
      <c r="AI387" s="107"/>
      <c r="AJ387" s="107"/>
      <c r="AK387" s="107"/>
      <c r="AL387" s="107"/>
      <c r="AM387" s="107"/>
      <c r="AN387" s="107"/>
      <c r="AO387" s="108"/>
      <c r="AP387" s="108"/>
      <c r="AQ387" s="108"/>
      <c r="AR387" s="108"/>
      <c r="AS387" s="108"/>
      <c r="AT387" s="108"/>
      <c r="AU387" s="108"/>
      <c r="AV387" s="108"/>
      <c r="AW387" s="108"/>
      <c r="AX387" s="108"/>
      <c r="AY387" s="108"/>
      <c r="AZ387" s="108"/>
      <c r="BA387" s="108"/>
      <c r="BB387" s="108"/>
    </row>
    <row r="388" spans="1:54" s="109" customFormat="1" ht="12" customHeight="1">
      <c r="A388" s="8">
        <v>51103012006</v>
      </c>
      <c r="B388" s="8" t="s">
        <v>773</v>
      </c>
      <c r="C388" s="918" t="str">
        <f>+VLOOKUP(A388,Clasificaciones!$C$4:$H$887,6,0)</f>
        <v>Otros gastos operativos</v>
      </c>
      <c r="D388" s="92">
        <f>+VLOOKUP(A388,Clasificaciones!C:I,5,FALSE)</f>
        <v>792603478</v>
      </c>
      <c r="E388" s="92">
        <v>0</v>
      </c>
      <c r="F388" s="92">
        <v>0</v>
      </c>
      <c r="G388" s="92">
        <v>0</v>
      </c>
      <c r="H388" s="92">
        <f t="shared" si="64"/>
        <v>792603478</v>
      </c>
      <c r="I388" s="26">
        <f t="shared" si="71"/>
        <v>-792603478</v>
      </c>
      <c r="J388" s="26">
        <v>0</v>
      </c>
      <c r="K388" s="26">
        <v>0</v>
      </c>
      <c r="L388" s="26">
        <v>0</v>
      </c>
      <c r="M388" s="26">
        <v>0</v>
      </c>
      <c r="N388" s="26">
        <v>0</v>
      </c>
      <c r="O388" s="26">
        <v>0</v>
      </c>
      <c r="P388" s="26">
        <v>0</v>
      </c>
      <c r="Q388" s="26">
        <v>0</v>
      </c>
      <c r="R388" s="26">
        <v>0</v>
      </c>
      <c r="S388" s="920"/>
      <c r="T388" s="26">
        <v>0</v>
      </c>
      <c r="U388" s="26">
        <v>0</v>
      </c>
      <c r="V388" s="26">
        <v>0</v>
      </c>
      <c r="W388" s="26">
        <v>0</v>
      </c>
      <c r="X388" s="26">
        <v>0</v>
      </c>
      <c r="Y388" s="26">
        <v>0</v>
      </c>
      <c r="Z388" s="26">
        <v>0</v>
      </c>
      <c r="AA388" s="26">
        <f t="shared" si="54"/>
        <v>0</v>
      </c>
      <c r="AB388" s="107"/>
      <c r="AC388" s="107"/>
      <c r="AD388" s="107"/>
      <c r="AE388" s="107"/>
      <c r="AF388" s="107"/>
      <c r="AG388" s="107"/>
      <c r="AH388" s="107"/>
      <c r="AI388" s="107"/>
      <c r="AJ388" s="107"/>
      <c r="AK388" s="107"/>
      <c r="AL388" s="107"/>
      <c r="AM388" s="107"/>
      <c r="AN388" s="107"/>
      <c r="AO388" s="108"/>
      <c r="AP388" s="108"/>
      <c r="AQ388" s="108"/>
      <c r="AR388" s="108"/>
      <c r="AS388" s="108"/>
      <c r="AT388" s="108"/>
      <c r="AU388" s="108"/>
      <c r="AV388" s="108"/>
      <c r="AW388" s="108"/>
      <c r="AX388" s="108"/>
      <c r="AY388" s="108"/>
      <c r="AZ388" s="108"/>
      <c r="BA388" s="108"/>
      <c r="BB388" s="108"/>
    </row>
    <row r="389" spans="1:54" s="109" customFormat="1" ht="12" customHeight="1">
      <c r="A389" s="8">
        <v>51103012007</v>
      </c>
      <c r="B389" s="8" t="s">
        <v>888</v>
      </c>
      <c r="C389" s="918" t="str">
        <f>+VLOOKUP(A389,Clasificaciones!$C$4:$H$887,6,0)</f>
        <v>Otros gastos operativos</v>
      </c>
      <c r="D389" s="92">
        <f>+VLOOKUP(A389,Clasificaciones!C:I,5,FALSE)</f>
        <v>1298993482</v>
      </c>
      <c r="E389" s="92">
        <v>0</v>
      </c>
      <c r="F389" s="92">
        <v>0</v>
      </c>
      <c r="G389" s="92">
        <v>0</v>
      </c>
      <c r="H389" s="92">
        <f t="shared" si="64"/>
        <v>1298993482</v>
      </c>
      <c r="I389" s="26">
        <f t="shared" si="71"/>
        <v>-1298993482</v>
      </c>
      <c r="J389" s="26">
        <v>0</v>
      </c>
      <c r="K389" s="26">
        <v>0</v>
      </c>
      <c r="L389" s="26">
        <v>0</v>
      </c>
      <c r="M389" s="26">
        <v>0</v>
      </c>
      <c r="N389" s="26">
        <v>0</v>
      </c>
      <c r="O389" s="26">
        <v>0</v>
      </c>
      <c r="P389" s="26">
        <v>0</v>
      </c>
      <c r="Q389" s="26">
        <v>0</v>
      </c>
      <c r="R389" s="26">
        <v>0</v>
      </c>
      <c r="S389" s="920"/>
      <c r="T389" s="26">
        <v>0</v>
      </c>
      <c r="U389" s="26">
        <v>0</v>
      </c>
      <c r="V389" s="26">
        <v>0</v>
      </c>
      <c r="W389" s="26">
        <v>0</v>
      </c>
      <c r="X389" s="26">
        <v>0</v>
      </c>
      <c r="Y389" s="26">
        <v>0</v>
      </c>
      <c r="Z389" s="26">
        <v>0</v>
      </c>
      <c r="AA389" s="26">
        <f t="shared" si="54"/>
        <v>0</v>
      </c>
      <c r="AB389" s="107"/>
      <c r="AC389" s="107"/>
      <c r="AD389" s="107"/>
      <c r="AE389" s="107"/>
      <c r="AF389" s="107"/>
      <c r="AG389" s="107"/>
      <c r="AH389" s="107"/>
      <c r="AI389" s="107"/>
      <c r="AJ389" s="107"/>
      <c r="AK389" s="107"/>
      <c r="AL389" s="107"/>
      <c r="AM389" s="107"/>
      <c r="AN389" s="107"/>
      <c r="AO389" s="108"/>
      <c r="AP389" s="108"/>
      <c r="AQ389" s="108"/>
      <c r="AR389" s="108"/>
      <c r="AS389" s="108"/>
      <c r="AT389" s="108"/>
      <c r="AU389" s="108"/>
      <c r="AV389" s="108"/>
      <c r="AW389" s="108"/>
      <c r="AX389" s="108"/>
      <c r="AY389" s="108"/>
      <c r="AZ389" s="108"/>
      <c r="BA389" s="108"/>
      <c r="BB389" s="108"/>
    </row>
    <row r="390" spans="1:54" s="109" customFormat="1" ht="12" customHeight="1">
      <c r="A390" s="8">
        <v>51103012008</v>
      </c>
      <c r="B390" s="8" t="s">
        <v>889</v>
      </c>
      <c r="C390" s="918" t="str">
        <f>+VLOOKUP(A390,Clasificaciones!$C$4:$H$887,6,0)</f>
        <v>Otros gastos operativos</v>
      </c>
      <c r="D390" s="92">
        <f>+VLOOKUP(A390,Clasificaciones!C:I,5,FALSE)</f>
        <v>112716866</v>
      </c>
      <c r="E390" s="92">
        <v>0</v>
      </c>
      <c r="F390" s="92">
        <v>0</v>
      </c>
      <c r="G390" s="92">
        <v>0</v>
      </c>
      <c r="H390" s="92">
        <f t="shared" ref="H390" si="72">+D390-G390+E390-F390</f>
        <v>112716866</v>
      </c>
      <c r="I390" s="26">
        <f t="shared" si="71"/>
        <v>-112716866</v>
      </c>
      <c r="J390" s="26">
        <v>0</v>
      </c>
      <c r="K390" s="26">
        <v>0</v>
      </c>
      <c r="L390" s="26">
        <v>0</v>
      </c>
      <c r="M390" s="26">
        <v>0</v>
      </c>
      <c r="N390" s="26">
        <v>0</v>
      </c>
      <c r="O390" s="26">
        <v>0</v>
      </c>
      <c r="P390" s="26">
        <v>0</v>
      </c>
      <c r="Q390" s="26">
        <v>0</v>
      </c>
      <c r="R390" s="26">
        <v>0</v>
      </c>
      <c r="S390" s="920"/>
      <c r="T390" s="26">
        <v>0</v>
      </c>
      <c r="U390" s="26">
        <v>0</v>
      </c>
      <c r="V390" s="26">
        <v>0</v>
      </c>
      <c r="W390" s="26">
        <v>0</v>
      </c>
      <c r="X390" s="26">
        <v>0</v>
      </c>
      <c r="Y390" s="26">
        <v>0</v>
      </c>
      <c r="Z390" s="26">
        <v>0</v>
      </c>
      <c r="AA390" s="26">
        <f t="shared" ref="AA390:AA452" si="73">SUM(H390:Z390)</f>
        <v>0</v>
      </c>
      <c r="AB390" s="107"/>
      <c r="AC390" s="107"/>
      <c r="AD390" s="107"/>
      <c r="AE390" s="107"/>
      <c r="AF390" s="107"/>
      <c r="AG390" s="107"/>
      <c r="AH390" s="107"/>
      <c r="AI390" s="107"/>
      <c r="AJ390" s="107"/>
      <c r="AK390" s="107"/>
      <c r="AL390" s="107"/>
      <c r="AM390" s="107"/>
      <c r="AN390" s="107"/>
      <c r="AO390" s="108"/>
      <c r="AP390" s="108"/>
      <c r="AQ390" s="108"/>
      <c r="AR390" s="108"/>
      <c r="AS390" s="108"/>
      <c r="AT390" s="108"/>
      <c r="AU390" s="108"/>
      <c r="AV390" s="108"/>
      <c r="AW390" s="108"/>
      <c r="AX390" s="108"/>
      <c r="AY390" s="108"/>
      <c r="AZ390" s="108"/>
      <c r="BA390" s="108"/>
      <c r="BB390" s="108"/>
    </row>
    <row r="391" spans="1:54" s="109" customFormat="1" ht="12" customHeight="1">
      <c r="A391" s="8">
        <v>51103012009</v>
      </c>
      <c r="B391" s="8" t="s">
        <v>890</v>
      </c>
      <c r="C391" s="918" t="str">
        <f>+VLOOKUP(A391,Clasificaciones!$C$4:$H$887,6,0)</f>
        <v>Otros gastos operativos</v>
      </c>
      <c r="D391" s="92">
        <f>+VLOOKUP(A391,Clasificaciones!C:I,5,FALSE)</f>
        <v>212441006</v>
      </c>
      <c r="E391" s="92">
        <v>0</v>
      </c>
      <c r="F391" s="92">
        <v>0</v>
      </c>
      <c r="G391" s="92">
        <v>0</v>
      </c>
      <c r="H391" s="92">
        <f t="shared" si="64"/>
        <v>212441006</v>
      </c>
      <c r="I391" s="26">
        <f t="shared" si="71"/>
        <v>-212441006</v>
      </c>
      <c r="J391" s="26">
        <v>0</v>
      </c>
      <c r="K391" s="26">
        <v>0</v>
      </c>
      <c r="L391" s="26">
        <v>0</v>
      </c>
      <c r="M391" s="26">
        <v>0</v>
      </c>
      <c r="N391" s="26">
        <v>0</v>
      </c>
      <c r="O391" s="26">
        <v>0</v>
      </c>
      <c r="P391" s="26">
        <v>0</v>
      </c>
      <c r="Q391" s="26">
        <v>0</v>
      </c>
      <c r="R391" s="26">
        <v>0</v>
      </c>
      <c r="S391" s="920"/>
      <c r="T391" s="26">
        <v>0</v>
      </c>
      <c r="U391" s="26">
        <v>0</v>
      </c>
      <c r="V391" s="26">
        <v>0</v>
      </c>
      <c r="W391" s="26">
        <v>0</v>
      </c>
      <c r="X391" s="26">
        <v>0</v>
      </c>
      <c r="Y391" s="26">
        <v>0</v>
      </c>
      <c r="Z391" s="26">
        <v>0</v>
      </c>
      <c r="AA391" s="26">
        <f t="shared" si="73"/>
        <v>0</v>
      </c>
      <c r="AB391" s="107"/>
      <c r="AC391" s="107"/>
      <c r="AD391" s="107"/>
      <c r="AE391" s="107"/>
      <c r="AF391" s="107"/>
      <c r="AG391" s="107"/>
      <c r="AH391" s="107"/>
      <c r="AI391" s="107"/>
      <c r="AJ391" s="107"/>
      <c r="AK391" s="107"/>
      <c r="AL391" s="107"/>
      <c r="AM391" s="107"/>
      <c r="AN391" s="107"/>
      <c r="AO391" s="108"/>
      <c r="AP391" s="108"/>
      <c r="AQ391" s="108"/>
      <c r="AR391" s="108"/>
      <c r="AS391" s="108"/>
      <c r="AT391" s="108"/>
      <c r="AU391" s="108"/>
      <c r="AV391" s="108"/>
      <c r="AW391" s="108"/>
      <c r="AX391" s="108"/>
      <c r="AY391" s="108"/>
      <c r="AZ391" s="108"/>
      <c r="BA391" s="108"/>
      <c r="BB391" s="108"/>
    </row>
    <row r="392" spans="1:54" s="109" customFormat="1" ht="12" customHeight="1">
      <c r="A392" s="8">
        <v>51103012013</v>
      </c>
      <c r="B392" s="8" t="s">
        <v>901</v>
      </c>
      <c r="C392" s="918" t="str">
        <f>+VLOOKUP(A392,Clasificaciones!$C$4:$H$887,6,0)</f>
        <v>Otros gastos operativos</v>
      </c>
      <c r="D392" s="92">
        <f>+VLOOKUP(A392,Clasificaciones!C:I,5,FALSE)</f>
        <v>68</v>
      </c>
      <c r="E392" s="92">
        <v>0</v>
      </c>
      <c r="F392" s="92">
        <v>0</v>
      </c>
      <c r="G392" s="92">
        <v>0</v>
      </c>
      <c r="H392" s="92">
        <f t="shared" si="64"/>
        <v>68</v>
      </c>
      <c r="I392" s="26">
        <f t="shared" si="71"/>
        <v>-68</v>
      </c>
      <c r="J392" s="26">
        <v>0</v>
      </c>
      <c r="K392" s="26">
        <v>0</v>
      </c>
      <c r="L392" s="26">
        <v>0</v>
      </c>
      <c r="M392" s="26">
        <v>0</v>
      </c>
      <c r="N392" s="26">
        <v>0</v>
      </c>
      <c r="O392" s="26">
        <v>0</v>
      </c>
      <c r="P392" s="26">
        <v>0</v>
      </c>
      <c r="Q392" s="26">
        <v>0</v>
      </c>
      <c r="R392" s="26">
        <v>0</v>
      </c>
      <c r="S392" s="920"/>
      <c r="T392" s="26">
        <v>0</v>
      </c>
      <c r="U392" s="26">
        <v>0</v>
      </c>
      <c r="V392" s="26">
        <v>0</v>
      </c>
      <c r="W392" s="26">
        <v>0</v>
      </c>
      <c r="X392" s="26">
        <v>0</v>
      </c>
      <c r="Y392" s="26">
        <v>0</v>
      </c>
      <c r="Z392" s="26">
        <v>0</v>
      </c>
      <c r="AA392" s="26">
        <f t="shared" si="73"/>
        <v>0</v>
      </c>
      <c r="AB392" s="107"/>
      <c r="AC392" s="107"/>
      <c r="AD392" s="107"/>
      <c r="AE392" s="107"/>
      <c r="AF392" s="107"/>
      <c r="AG392" s="107"/>
      <c r="AH392" s="107"/>
      <c r="AI392" s="107"/>
      <c r="AJ392" s="107"/>
      <c r="AK392" s="107"/>
      <c r="AL392" s="107"/>
      <c r="AM392" s="107"/>
      <c r="AN392" s="107"/>
      <c r="AO392" s="108"/>
      <c r="AP392" s="108"/>
      <c r="AQ392" s="108"/>
      <c r="AR392" s="108"/>
      <c r="AS392" s="108"/>
      <c r="AT392" s="108"/>
      <c r="AU392" s="108"/>
      <c r="AV392" s="108"/>
      <c r="AW392" s="108"/>
      <c r="AX392" s="108"/>
      <c r="AY392" s="108"/>
      <c r="AZ392" s="108"/>
      <c r="BA392" s="108"/>
      <c r="BB392" s="108"/>
    </row>
    <row r="393" spans="1:54" s="109" customFormat="1" ht="12" customHeight="1">
      <c r="A393" s="8">
        <v>51103012017</v>
      </c>
      <c r="B393" s="8" t="s">
        <v>893</v>
      </c>
      <c r="C393" s="918" t="str">
        <f>+VLOOKUP(A393,Clasificaciones!$C$4:$H$887,6,0)</f>
        <v>Otros gastos operativos</v>
      </c>
      <c r="D393" s="92">
        <f>+VLOOKUP(A393,Clasificaciones!C:I,5,FALSE)</f>
        <v>4482435203</v>
      </c>
      <c r="E393" s="92">
        <v>0</v>
      </c>
      <c r="F393" s="92">
        <v>0</v>
      </c>
      <c r="G393" s="92">
        <v>0</v>
      </c>
      <c r="H393" s="92">
        <f t="shared" si="64"/>
        <v>4482435203</v>
      </c>
      <c r="I393" s="26">
        <f t="shared" si="71"/>
        <v>-4482435203</v>
      </c>
      <c r="J393" s="26">
        <v>0</v>
      </c>
      <c r="K393" s="26">
        <v>0</v>
      </c>
      <c r="L393" s="26">
        <v>0</v>
      </c>
      <c r="M393" s="26">
        <v>0</v>
      </c>
      <c r="N393" s="26">
        <v>0</v>
      </c>
      <c r="O393" s="26">
        <v>0</v>
      </c>
      <c r="P393" s="26">
        <v>0</v>
      </c>
      <c r="Q393" s="26">
        <v>0</v>
      </c>
      <c r="R393" s="26">
        <v>0</v>
      </c>
      <c r="S393" s="920"/>
      <c r="T393" s="26">
        <v>0</v>
      </c>
      <c r="U393" s="26">
        <v>0</v>
      </c>
      <c r="V393" s="26">
        <v>0</v>
      </c>
      <c r="W393" s="26">
        <v>0</v>
      </c>
      <c r="X393" s="26">
        <v>0</v>
      </c>
      <c r="Y393" s="26">
        <v>0</v>
      </c>
      <c r="Z393" s="26">
        <v>0</v>
      </c>
      <c r="AA393" s="26">
        <f t="shared" si="73"/>
        <v>0</v>
      </c>
      <c r="AB393" s="107"/>
      <c r="AC393" s="107"/>
      <c r="AD393" s="107"/>
      <c r="AE393" s="107"/>
      <c r="AF393" s="107"/>
      <c r="AG393" s="107"/>
      <c r="AH393" s="107"/>
      <c r="AI393" s="107"/>
      <c r="AJ393" s="107"/>
      <c r="AK393" s="107"/>
      <c r="AL393" s="107"/>
      <c r="AM393" s="107"/>
      <c r="AN393" s="107"/>
      <c r="AO393" s="108"/>
      <c r="AP393" s="108"/>
      <c r="AQ393" s="108"/>
      <c r="AR393" s="108"/>
      <c r="AS393" s="108"/>
      <c r="AT393" s="108"/>
      <c r="AU393" s="108"/>
      <c r="AV393" s="108"/>
      <c r="AW393" s="108"/>
      <c r="AX393" s="108"/>
      <c r="AY393" s="108"/>
      <c r="AZ393" s="108"/>
      <c r="BA393" s="108"/>
      <c r="BB393" s="108"/>
    </row>
    <row r="394" spans="1:54" s="109" customFormat="1" ht="12" customHeight="1">
      <c r="A394" s="8">
        <v>51103012018</v>
      </c>
      <c r="B394" s="8" t="s">
        <v>894</v>
      </c>
      <c r="C394" s="918" t="str">
        <f>+VLOOKUP(A394,Clasificaciones!$C$4:$H$887,6,0)</f>
        <v>Otros gastos operativos</v>
      </c>
      <c r="D394" s="92">
        <f>+VLOOKUP(A394,Clasificaciones!C:I,5,FALSE)</f>
        <v>345573068</v>
      </c>
      <c r="E394" s="92">
        <v>0</v>
      </c>
      <c r="F394" s="92">
        <v>0</v>
      </c>
      <c r="G394" s="92">
        <v>0</v>
      </c>
      <c r="H394" s="92">
        <f t="shared" si="64"/>
        <v>345573068</v>
      </c>
      <c r="I394" s="26">
        <f t="shared" si="71"/>
        <v>-345573068</v>
      </c>
      <c r="J394" s="26">
        <v>0</v>
      </c>
      <c r="K394" s="26">
        <v>0</v>
      </c>
      <c r="L394" s="26">
        <v>0</v>
      </c>
      <c r="M394" s="26">
        <v>0</v>
      </c>
      <c r="N394" s="26">
        <v>0</v>
      </c>
      <c r="O394" s="26">
        <v>0</v>
      </c>
      <c r="P394" s="26">
        <v>0</v>
      </c>
      <c r="Q394" s="26">
        <v>0</v>
      </c>
      <c r="R394" s="26">
        <v>0</v>
      </c>
      <c r="S394" s="920"/>
      <c r="T394" s="26">
        <v>0</v>
      </c>
      <c r="U394" s="26">
        <v>0</v>
      </c>
      <c r="V394" s="26">
        <v>0</v>
      </c>
      <c r="W394" s="26">
        <v>0</v>
      </c>
      <c r="X394" s="26">
        <v>0</v>
      </c>
      <c r="Y394" s="26">
        <v>0</v>
      </c>
      <c r="Z394" s="26">
        <v>0</v>
      </c>
      <c r="AA394" s="26">
        <f t="shared" si="73"/>
        <v>0</v>
      </c>
      <c r="AB394" s="107"/>
      <c r="AC394" s="107"/>
      <c r="AD394" s="107"/>
      <c r="AE394" s="107"/>
      <c r="AF394" s="107"/>
      <c r="AG394" s="107"/>
      <c r="AH394" s="107"/>
      <c r="AI394" s="107"/>
      <c r="AJ394" s="107"/>
      <c r="AK394" s="107"/>
      <c r="AL394" s="107"/>
      <c r="AM394" s="107"/>
      <c r="AN394" s="107"/>
      <c r="AO394" s="108"/>
      <c r="AP394" s="108"/>
      <c r="AQ394" s="108"/>
      <c r="AR394" s="108"/>
      <c r="AS394" s="108"/>
      <c r="AT394" s="108"/>
      <c r="AU394" s="108"/>
      <c r="AV394" s="108"/>
      <c r="AW394" s="108"/>
      <c r="AX394" s="108"/>
      <c r="AY394" s="108"/>
      <c r="AZ394" s="108"/>
      <c r="BA394" s="108"/>
      <c r="BB394" s="108"/>
    </row>
    <row r="395" spans="1:54" s="109" customFormat="1" ht="12" customHeight="1">
      <c r="A395" s="8">
        <v>51103012019</v>
      </c>
      <c r="B395" s="8" t="s">
        <v>1174</v>
      </c>
      <c r="C395" s="918" t="str">
        <f>+VLOOKUP(A395,Clasificaciones!$C$4:$H$887,6,0)</f>
        <v>Otros gastos operativos</v>
      </c>
      <c r="D395" s="92">
        <f>+VLOOKUP(A395,Clasificaciones!C:I,5,FALSE)</f>
        <v>887392189</v>
      </c>
      <c r="E395" s="92">
        <v>0</v>
      </c>
      <c r="F395" s="92">
        <v>0</v>
      </c>
      <c r="G395" s="92">
        <v>0</v>
      </c>
      <c r="H395" s="92">
        <f t="shared" si="64"/>
        <v>887392189</v>
      </c>
      <c r="I395" s="26">
        <f t="shared" si="71"/>
        <v>-887392189</v>
      </c>
      <c r="J395" s="26">
        <v>0</v>
      </c>
      <c r="K395" s="26">
        <v>0</v>
      </c>
      <c r="L395" s="26">
        <v>0</v>
      </c>
      <c r="M395" s="26">
        <v>0</v>
      </c>
      <c r="N395" s="26">
        <v>0</v>
      </c>
      <c r="O395" s="26">
        <v>0</v>
      </c>
      <c r="P395" s="26">
        <v>0</v>
      </c>
      <c r="Q395" s="26">
        <v>0</v>
      </c>
      <c r="R395" s="26">
        <v>0</v>
      </c>
      <c r="S395" s="920"/>
      <c r="T395" s="26">
        <v>0</v>
      </c>
      <c r="U395" s="26">
        <v>0</v>
      </c>
      <c r="V395" s="26">
        <v>0</v>
      </c>
      <c r="W395" s="26">
        <v>0</v>
      </c>
      <c r="X395" s="26">
        <v>0</v>
      </c>
      <c r="Y395" s="26">
        <v>0</v>
      </c>
      <c r="Z395" s="26">
        <v>0</v>
      </c>
      <c r="AA395" s="26">
        <f t="shared" si="73"/>
        <v>0</v>
      </c>
      <c r="AB395" s="107"/>
      <c r="AC395" s="107"/>
      <c r="AD395" s="107"/>
      <c r="AE395" s="107"/>
      <c r="AF395" s="107"/>
      <c r="AG395" s="107"/>
      <c r="AH395" s="107"/>
      <c r="AI395" s="107"/>
      <c r="AJ395" s="107"/>
      <c r="AK395" s="107"/>
      <c r="AL395" s="107"/>
      <c r="AM395" s="107"/>
      <c r="AN395" s="107"/>
      <c r="AO395" s="108"/>
      <c r="AP395" s="108"/>
      <c r="AQ395" s="108"/>
      <c r="AR395" s="108"/>
      <c r="AS395" s="108"/>
      <c r="AT395" s="108"/>
      <c r="AU395" s="108"/>
      <c r="AV395" s="108"/>
      <c r="AW395" s="108"/>
      <c r="AX395" s="108"/>
      <c r="AY395" s="108"/>
      <c r="AZ395" s="108"/>
      <c r="BA395" s="108"/>
      <c r="BB395" s="108"/>
    </row>
    <row r="396" spans="1:54" s="109" customFormat="1" ht="12" customHeight="1">
      <c r="A396" s="8">
        <v>51103012029</v>
      </c>
      <c r="B396" s="8" t="s">
        <v>768</v>
      </c>
      <c r="C396" s="918" t="str">
        <f>+VLOOKUP(A396,Clasificaciones!$C$4:$H$887,6,0)</f>
        <v>Otros gastos operativos</v>
      </c>
      <c r="D396" s="92">
        <f>+VLOOKUP(A396,Clasificaciones!C:I,5,FALSE)</f>
        <v>664723895</v>
      </c>
      <c r="E396" s="92">
        <v>0</v>
      </c>
      <c r="F396" s="92">
        <v>0</v>
      </c>
      <c r="G396" s="92">
        <v>0</v>
      </c>
      <c r="H396" s="92">
        <f t="shared" si="64"/>
        <v>664723895</v>
      </c>
      <c r="I396" s="26">
        <f t="shared" si="71"/>
        <v>-664723895</v>
      </c>
      <c r="J396" s="26">
        <v>0</v>
      </c>
      <c r="K396" s="26">
        <v>0</v>
      </c>
      <c r="L396" s="26">
        <v>0</v>
      </c>
      <c r="M396" s="26">
        <v>0</v>
      </c>
      <c r="N396" s="26">
        <v>0</v>
      </c>
      <c r="O396" s="26">
        <v>0</v>
      </c>
      <c r="P396" s="26">
        <v>0</v>
      </c>
      <c r="Q396" s="26">
        <v>0</v>
      </c>
      <c r="R396" s="26">
        <v>0</v>
      </c>
      <c r="S396" s="920"/>
      <c r="T396" s="26">
        <v>0</v>
      </c>
      <c r="U396" s="26">
        <v>0</v>
      </c>
      <c r="V396" s="26">
        <v>0</v>
      </c>
      <c r="W396" s="26">
        <v>0</v>
      </c>
      <c r="X396" s="26">
        <v>0</v>
      </c>
      <c r="Y396" s="26">
        <v>0</v>
      </c>
      <c r="Z396" s="26">
        <v>0</v>
      </c>
      <c r="AA396" s="26">
        <f t="shared" si="73"/>
        <v>0</v>
      </c>
      <c r="AB396" s="107"/>
      <c r="AC396" s="107"/>
      <c r="AD396" s="107"/>
      <c r="AE396" s="107"/>
      <c r="AF396" s="107"/>
      <c r="AG396" s="107"/>
      <c r="AH396" s="107"/>
      <c r="AI396" s="107"/>
      <c r="AJ396" s="107"/>
      <c r="AK396" s="107"/>
      <c r="AL396" s="107"/>
      <c r="AM396" s="107"/>
      <c r="AN396" s="107"/>
      <c r="AO396" s="108"/>
      <c r="AP396" s="108"/>
      <c r="AQ396" s="108"/>
      <c r="AR396" s="108"/>
      <c r="AS396" s="108"/>
      <c r="AT396" s="108"/>
      <c r="AU396" s="108"/>
      <c r="AV396" s="108"/>
      <c r="AW396" s="108"/>
      <c r="AX396" s="108"/>
      <c r="AY396" s="108"/>
      <c r="AZ396" s="108"/>
      <c r="BA396" s="108"/>
      <c r="BB396" s="108"/>
    </row>
    <row r="397" spans="1:54" s="109" customFormat="1" ht="12" customHeight="1">
      <c r="A397" s="8">
        <v>51103012032</v>
      </c>
      <c r="B397" s="8" t="s">
        <v>904</v>
      </c>
      <c r="C397" s="918" t="str">
        <f>+VLOOKUP(A397,Clasificaciones!$C$4:$H$887,6,0)</f>
        <v>Otros gastos operativos</v>
      </c>
      <c r="D397" s="92">
        <f>+VLOOKUP(A397,Clasificaciones!C:I,5,FALSE)</f>
        <v>168257336</v>
      </c>
      <c r="E397" s="92">
        <v>0</v>
      </c>
      <c r="F397" s="92">
        <v>0</v>
      </c>
      <c r="G397" s="92">
        <v>0</v>
      </c>
      <c r="H397" s="92">
        <f t="shared" si="64"/>
        <v>168257336</v>
      </c>
      <c r="I397" s="26">
        <f t="shared" si="71"/>
        <v>-168257336</v>
      </c>
      <c r="J397" s="26">
        <v>0</v>
      </c>
      <c r="K397" s="26">
        <v>0</v>
      </c>
      <c r="L397" s="26">
        <v>0</v>
      </c>
      <c r="M397" s="26">
        <v>0</v>
      </c>
      <c r="N397" s="26">
        <v>0</v>
      </c>
      <c r="O397" s="26">
        <v>0</v>
      </c>
      <c r="P397" s="26">
        <v>0</v>
      </c>
      <c r="Q397" s="26">
        <v>0</v>
      </c>
      <c r="R397" s="26">
        <v>0</v>
      </c>
      <c r="S397" s="920"/>
      <c r="T397" s="26">
        <v>0</v>
      </c>
      <c r="U397" s="26">
        <v>0</v>
      </c>
      <c r="V397" s="26">
        <v>0</v>
      </c>
      <c r="W397" s="26">
        <v>0</v>
      </c>
      <c r="X397" s="26">
        <v>0</v>
      </c>
      <c r="Y397" s="26">
        <v>0</v>
      </c>
      <c r="Z397" s="26">
        <v>0</v>
      </c>
      <c r="AA397" s="26">
        <f t="shared" si="73"/>
        <v>0</v>
      </c>
      <c r="AB397" s="107"/>
      <c r="AC397" s="107"/>
      <c r="AD397" s="107"/>
      <c r="AE397" s="107"/>
      <c r="AF397" s="107"/>
      <c r="AG397" s="107"/>
      <c r="AH397" s="107"/>
      <c r="AI397" s="107"/>
      <c r="AJ397" s="107"/>
      <c r="AK397" s="107"/>
      <c r="AL397" s="107"/>
      <c r="AM397" s="107"/>
      <c r="AN397" s="107"/>
      <c r="AO397" s="108"/>
      <c r="AP397" s="108"/>
      <c r="AQ397" s="108"/>
      <c r="AR397" s="108"/>
      <c r="AS397" s="108"/>
      <c r="AT397" s="108"/>
      <c r="AU397" s="108"/>
      <c r="AV397" s="108"/>
      <c r="AW397" s="108"/>
      <c r="AX397" s="108"/>
      <c r="AY397" s="108"/>
      <c r="AZ397" s="108"/>
      <c r="BA397" s="108"/>
      <c r="BB397" s="108"/>
    </row>
    <row r="398" spans="1:54" s="109" customFormat="1" ht="12" customHeight="1">
      <c r="A398" s="8">
        <v>511030130</v>
      </c>
      <c r="B398" s="8" t="s">
        <v>1328</v>
      </c>
      <c r="C398" s="8"/>
      <c r="D398" s="92">
        <f>+VLOOKUP(A398,Clasificaciones!C:I,5,FALSE)</f>
        <v>0</v>
      </c>
      <c r="E398" s="92">
        <v>0</v>
      </c>
      <c r="F398" s="92">
        <v>0</v>
      </c>
      <c r="G398" s="92">
        <v>0</v>
      </c>
      <c r="H398" s="92">
        <f t="shared" si="64"/>
        <v>0</v>
      </c>
      <c r="I398" s="26">
        <v>0</v>
      </c>
      <c r="J398" s="26">
        <v>0</v>
      </c>
      <c r="K398" s="26">
        <f>-H398</f>
        <v>0</v>
      </c>
      <c r="L398" s="26">
        <v>0</v>
      </c>
      <c r="M398" s="26">
        <v>0</v>
      </c>
      <c r="N398" s="26">
        <v>0</v>
      </c>
      <c r="O398" s="26">
        <v>0</v>
      </c>
      <c r="P398" s="26">
        <v>0</v>
      </c>
      <c r="Q398" s="26">
        <v>0</v>
      </c>
      <c r="R398" s="26">
        <v>0</v>
      </c>
      <c r="S398" s="26">
        <v>0</v>
      </c>
      <c r="T398" s="26">
        <v>0</v>
      </c>
      <c r="U398" s="26">
        <v>0</v>
      </c>
      <c r="V398" s="26">
        <v>0</v>
      </c>
      <c r="W398" s="26">
        <v>0</v>
      </c>
      <c r="X398" s="26">
        <v>0</v>
      </c>
      <c r="Y398" s="26">
        <v>0</v>
      </c>
      <c r="Z398" s="26">
        <v>0</v>
      </c>
      <c r="AA398" s="26">
        <f t="shared" si="73"/>
        <v>0</v>
      </c>
      <c r="AB398" s="107"/>
      <c r="AC398" s="107"/>
      <c r="AD398" s="107"/>
      <c r="AE398" s="107"/>
      <c r="AF398" s="107"/>
      <c r="AG398" s="107"/>
      <c r="AH398" s="107"/>
      <c r="AI398" s="107"/>
      <c r="AJ398" s="107"/>
      <c r="AK398" s="107"/>
      <c r="AL398" s="107"/>
      <c r="AM398" s="107"/>
      <c r="AN398" s="107"/>
      <c r="AO398" s="108"/>
      <c r="AP398" s="108"/>
      <c r="AQ398" s="108"/>
      <c r="AR398" s="108"/>
      <c r="AS398" s="108"/>
      <c r="AT398" s="108"/>
      <c r="AU398" s="108"/>
      <c r="AV398" s="108"/>
      <c r="AW398" s="108"/>
      <c r="AX398" s="108"/>
      <c r="AY398" s="108"/>
      <c r="AZ398" s="108"/>
      <c r="BA398" s="108"/>
      <c r="BB398" s="108"/>
    </row>
    <row r="399" spans="1:54" s="109" customFormat="1" ht="12" customHeight="1">
      <c r="A399" s="8">
        <v>51103013001</v>
      </c>
      <c r="B399" s="8" t="s">
        <v>1329</v>
      </c>
      <c r="C399" s="8"/>
      <c r="D399" s="92">
        <f>+VLOOKUP(A399,Clasificaciones!C:I,5,FALSE)</f>
        <v>0</v>
      </c>
      <c r="E399" s="92">
        <v>0</v>
      </c>
      <c r="F399" s="92">
        <v>0</v>
      </c>
      <c r="G399" s="92">
        <v>0</v>
      </c>
      <c r="H399" s="92">
        <f t="shared" si="64"/>
        <v>0</v>
      </c>
      <c r="I399" s="26">
        <v>0</v>
      </c>
      <c r="J399" s="26">
        <v>0</v>
      </c>
      <c r="K399" s="26">
        <v>0</v>
      </c>
      <c r="L399" s="26">
        <v>0</v>
      </c>
      <c r="M399" s="26">
        <v>0</v>
      </c>
      <c r="N399" s="26">
        <v>0</v>
      </c>
      <c r="O399" s="26">
        <v>0</v>
      </c>
      <c r="P399" s="26">
        <v>0</v>
      </c>
      <c r="Q399" s="26">
        <v>0</v>
      </c>
      <c r="R399" s="26">
        <v>0</v>
      </c>
      <c r="S399" s="26">
        <f>-H399</f>
        <v>0</v>
      </c>
      <c r="T399" s="26">
        <v>0</v>
      </c>
      <c r="U399" s="26">
        <v>0</v>
      </c>
      <c r="V399" s="26">
        <v>0</v>
      </c>
      <c r="W399" s="26">
        <v>0</v>
      </c>
      <c r="X399" s="26">
        <v>0</v>
      </c>
      <c r="Y399" s="26">
        <v>0</v>
      </c>
      <c r="Z399" s="26">
        <v>0</v>
      </c>
      <c r="AA399" s="26">
        <f t="shared" si="73"/>
        <v>0</v>
      </c>
      <c r="AB399" s="107"/>
      <c r="AC399" s="107"/>
      <c r="AD399" s="107"/>
      <c r="AE399" s="107"/>
      <c r="AF399" s="107"/>
      <c r="AG399" s="107"/>
      <c r="AH399" s="107"/>
      <c r="AI399" s="107"/>
      <c r="AJ399" s="107"/>
      <c r="AK399" s="107"/>
      <c r="AL399" s="107"/>
      <c r="AM399" s="107"/>
      <c r="AN399" s="107"/>
      <c r="AO399" s="108"/>
      <c r="AP399" s="108"/>
      <c r="AQ399" s="108"/>
      <c r="AR399" s="108"/>
      <c r="AS399" s="108"/>
      <c r="AT399" s="108"/>
      <c r="AU399" s="108"/>
      <c r="AV399" s="108"/>
      <c r="AW399" s="108"/>
      <c r="AX399" s="108"/>
      <c r="AY399" s="108"/>
      <c r="AZ399" s="108"/>
      <c r="BA399" s="108"/>
      <c r="BB399" s="108"/>
    </row>
    <row r="400" spans="1:54" s="109" customFormat="1" ht="12" customHeight="1">
      <c r="A400" s="8">
        <v>51104</v>
      </c>
      <c r="B400" s="8" t="s">
        <v>925</v>
      </c>
      <c r="C400" s="8" t="str">
        <f>+VLOOKUP(A400,Clasificaciones!$C$4:$H$887,6,0)</f>
        <v>Otros gastos operativos</v>
      </c>
      <c r="D400" s="92">
        <f>+VLOOKUP(A400,Clasificaciones!C:I,5,FALSE)</f>
        <v>3409841</v>
      </c>
      <c r="E400" s="92">
        <v>0</v>
      </c>
      <c r="F400" s="92">
        <v>0</v>
      </c>
      <c r="G400" s="92">
        <v>0</v>
      </c>
      <c r="H400" s="92">
        <f t="shared" si="64"/>
        <v>3409841</v>
      </c>
      <c r="I400" s="26">
        <v>0</v>
      </c>
      <c r="J400" s="26">
        <v>0</v>
      </c>
      <c r="K400" s="26"/>
      <c r="L400" s="26">
        <v>0</v>
      </c>
      <c r="M400" s="26">
        <f>-H400</f>
        <v>-3409841</v>
      </c>
      <c r="N400" s="26">
        <v>0</v>
      </c>
      <c r="O400" s="26">
        <v>0</v>
      </c>
      <c r="P400" s="26">
        <v>0</v>
      </c>
      <c r="Q400" s="26">
        <v>0</v>
      </c>
      <c r="R400" s="26">
        <v>0</v>
      </c>
      <c r="S400" s="26">
        <v>0</v>
      </c>
      <c r="T400" s="26">
        <v>0</v>
      </c>
      <c r="U400" s="26">
        <v>0</v>
      </c>
      <c r="V400" s="26">
        <v>0</v>
      </c>
      <c r="W400" s="26">
        <v>0</v>
      </c>
      <c r="X400" s="26">
        <v>0</v>
      </c>
      <c r="Y400" s="26">
        <v>0</v>
      </c>
      <c r="Z400" s="26">
        <v>0</v>
      </c>
      <c r="AA400" s="26">
        <f t="shared" si="73"/>
        <v>0</v>
      </c>
      <c r="AB400" s="107"/>
      <c r="AC400" s="107"/>
      <c r="AD400" s="107"/>
      <c r="AE400" s="107"/>
      <c r="AF400" s="107"/>
      <c r="AG400" s="107"/>
      <c r="AH400" s="107"/>
      <c r="AI400" s="107"/>
      <c r="AJ400" s="107"/>
      <c r="AK400" s="107"/>
      <c r="AL400" s="107"/>
      <c r="AM400" s="107"/>
      <c r="AN400" s="107"/>
      <c r="AO400" s="108"/>
      <c r="AP400" s="108"/>
      <c r="AQ400" s="108"/>
      <c r="AR400" s="108"/>
      <c r="AS400" s="108"/>
      <c r="AT400" s="108"/>
      <c r="AU400" s="108"/>
      <c r="AV400" s="108"/>
      <c r="AW400" s="108"/>
      <c r="AX400" s="108"/>
      <c r="AY400" s="108"/>
      <c r="AZ400" s="108"/>
      <c r="BA400" s="108"/>
      <c r="BB400" s="108"/>
    </row>
    <row r="401" spans="1:54" s="109" customFormat="1" ht="12" customHeight="1">
      <c r="A401" s="8">
        <v>512</v>
      </c>
      <c r="B401" s="8" t="s">
        <v>294</v>
      </c>
      <c r="C401" s="8"/>
      <c r="D401" s="92">
        <f>+VLOOKUP(A401,Clasificaciones!C:I,5,FALSE)</f>
        <v>0</v>
      </c>
      <c r="E401" s="92">
        <v>0</v>
      </c>
      <c r="F401" s="92">
        <v>0</v>
      </c>
      <c r="G401" s="92">
        <v>0</v>
      </c>
      <c r="H401" s="92">
        <f t="shared" si="64"/>
        <v>0</v>
      </c>
      <c r="I401" s="26">
        <v>0</v>
      </c>
      <c r="J401" s="26">
        <v>0</v>
      </c>
      <c r="K401" s="26">
        <f>-H401</f>
        <v>0</v>
      </c>
      <c r="L401" s="26">
        <v>0</v>
      </c>
      <c r="M401" s="26">
        <v>0</v>
      </c>
      <c r="N401" s="26">
        <v>0</v>
      </c>
      <c r="O401" s="26">
        <v>0</v>
      </c>
      <c r="P401" s="26">
        <v>0</v>
      </c>
      <c r="Q401" s="26">
        <v>0</v>
      </c>
      <c r="R401" s="26">
        <v>0</v>
      </c>
      <c r="S401" s="26">
        <v>0</v>
      </c>
      <c r="T401" s="26">
        <v>0</v>
      </c>
      <c r="U401" s="26">
        <v>0</v>
      </c>
      <c r="V401" s="26">
        <v>0</v>
      </c>
      <c r="W401" s="26">
        <v>0</v>
      </c>
      <c r="X401" s="26">
        <v>0</v>
      </c>
      <c r="Y401" s="26">
        <v>0</v>
      </c>
      <c r="Z401" s="26">
        <v>0</v>
      </c>
      <c r="AA401" s="26">
        <f t="shared" si="73"/>
        <v>0</v>
      </c>
      <c r="AB401" s="107"/>
      <c r="AC401" s="107"/>
      <c r="AD401" s="107"/>
      <c r="AE401" s="107"/>
      <c r="AF401" s="107"/>
      <c r="AG401" s="107"/>
      <c r="AH401" s="107"/>
      <c r="AI401" s="107"/>
      <c r="AJ401" s="107"/>
      <c r="AK401" s="107"/>
      <c r="AL401" s="107"/>
      <c r="AM401" s="107"/>
      <c r="AN401" s="107"/>
      <c r="AO401" s="108"/>
      <c r="AP401" s="108"/>
      <c r="AQ401" s="108"/>
      <c r="AR401" s="108"/>
      <c r="AS401" s="108"/>
      <c r="AT401" s="108"/>
      <c r="AU401" s="108"/>
      <c r="AV401" s="108"/>
      <c r="AW401" s="108"/>
      <c r="AX401" s="108"/>
      <c r="AY401" s="108"/>
      <c r="AZ401" s="108"/>
      <c r="BA401" s="108"/>
      <c r="BB401" s="108"/>
    </row>
    <row r="402" spans="1:54" s="109" customFormat="1" ht="12" customHeight="1">
      <c r="A402" s="8">
        <v>51201</v>
      </c>
      <c r="B402" s="8" t="s">
        <v>926</v>
      </c>
      <c r="C402" s="8" t="str">
        <f>+VLOOKUP(A402,Clasificaciones!$C$4:$H$887,6,0)</f>
        <v>Publicidad y propaganda</v>
      </c>
      <c r="D402" s="92">
        <f>+VLOOKUP(A402,Clasificaciones!C:I,5,FALSE)</f>
        <v>159343543</v>
      </c>
      <c r="E402" s="92">
        <v>0</v>
      </c>
      <c r="F402" s="177">
        <f>+E258</f>
        <v>2672862</v>
      </c>
      <c r="G402" s="92">
        <v>0</v>
      </c>
      <c r="H402" s="92">
        <f t="shared" si="64"/>
        <v>156670681</v>
      </c>
      <c r="I402" s="26">
        <v>0</v>
      </c>
      <c r="J402" s="26">
        <v>0</v>
      </c>
      <c r="K402" s="26"/>
      <c r="L402" s="26">
        <v>0</v>
      </c>
      <c r="M402" s="26">
        <f t="shared" ref="M402:M405" si="74">-H402</f>
        <v>-156670681</v>
      </c>
      <c r="N402" s="26">
        <v>0</v>
      </c>
      <c r="O402" s="26">
        <v>0</v>
      </c>
      <c r="P402" s="26">
        <v>0</v>
      </c>
      <c r="Q402" s="26">
        <v>0</v>
      </c>
      <c r="R402" s="26">
        <v>0</v>
      </c>
      <c r="S402" s="26">
        <v>0</v>
      </c>
      <c r="T402" s="26">
        <v>0</v>
      </c>
      <c r="U402" s="26">
        <v>0</v>
      </c>
      <c r="V402" s="26">
        <v>0</v>
      </c>
      <c r="W402" s="26">
        <v>0</v>
      </c>
      <c r="X402" s="26">
        <v>0</v>
      </c>
      <c r="Y402" s="26">
        <v>0</v>
      </c>
      <c r="Z402" s="26">
        <v>0</v>
      </c>
      <c r="AA402" s="26">
        <f t="shared" si="73"/>
        <v>0</v>
      </c>
      <c r="AB402" s="107"/>
      <c r="AC402" s="107"/>
      <c r="AD402" s="107"/>
      <c r="AE402" s="107"/>
      <c r="AF402" s="107"/>
      <c r="AG402" s="107"/>
      <c r="AH402" s="107"/>
      <c r="AI402" s="107"/>
      <c r="AJ402" s="107"/>
      <c r="AK402" s="107"/>
      <c r="AL402" s="107"/>
      <c r="AM402" s="107"/>
      <c r="AN402" s="107"/>
      <c r="AO402" s="108"/>
      <c r="AP402" s="108"/>
      <c r="AQ402" s="108"/>
      <c r="AR402" s="108"/>
      <c r="AS402" s="108"/>
      <c r="AT402" s="108"/>
      <c r="AU402" s="108"/>
      <c r="AV402" s="108"/>
      <c r="AW402" s="108"/>
      <c r="AX402" s="108"/>
      <c r="AY402" s="108"/>
      <c r="AZ402" s="108"/>
      <c r="BA402" s="108"/>
      <c r="BB402" s="108"/>
    </row>
    <row r="403" spans="1:54" s="109" customFormat="1" ht="12" customHeight="1">
      <c r="A403" s="8">
        <v>51203</v>
      </c>
      <c r="B403" s="8" t="s">
        <v>209</v>
      </c>
      <c r="C403" s="8" t="str">
        <f>+VLOOKUP(A403,Clasificaciones!$C$4:$H$887,6,0)</f>
        <v>Otros gastos de comercialización</v>
      </c>
      <c r="D403" s="92">
        <f>+VLOOKUP(A403,Clasificaciones!C:I,5,FALSE)</f>
        <v>14367957</v>
      </c>
      <c r="E403" s="92">
        <v>0</v>
      </c>
      <c r="F403" s="92">
        <v>0</v>
      </c>
      <c r="G403" s="92">
        <v>0</v>
      </c>
      <c r="H403" s="92">
        <f t="shared" ref="H403" si="75">+D403-G403+E403-F403</f>
        <v>14367957</v>
      </c>
      <c r="I403" s="26">
        <v>0</v>
      </c>
      <c r="J403" s="26">
        <v>0</v>
      </c>
      <c r="K403" s="26"/>
      <c r="L403" s="26">
        <v>0</v>
      </c>
      <c r="M403" s="26">
        <f t="shared" si="74"/>
        <v>-14367957</v>
      </c>
      <c r="N403" s="26">
        <v>0</v>
      </c>
      <c r="O403" s="26">
        <v>0</v>
      </c>
      <c r="P403" s="26">
        <v>0</v>
      </c>
      <c r="Q403" s="26">
        <v>0</v>
      </c>
      <c r="R403" s="26">
        <v>0</v>
      </c>
      <c r="S403" s="26">
        <v>0</v>
      </c>
      <c r="T403" s="26">
        <v>0</v>
      </c>
      <c r="U403" s="26">
        <v>0</v>
      </c>
      <c r="V403" s="26">
        <v>0</v>
      </c>
      <c r="W403" s="26">
        <v>0</v>
      </c>
      <c r="X403" s="26">
        <v>0</v>
      </c>
      <c r="Y403" s="26">
        <v>0</v>
      </c>
      <c r="Z403" s="26">
        <v>0</v>
      </c>
      <c r="AA403" s="26">
        <f t="shared" si="73"/>
        <v>0</v>
      </c>
      <c r="AB403" s="107"/>
      <c r="AC403" s="107"/>
      <c r="AD403" s="107"/>
      <c r="AE403" s="107"/>
      <c r="AF403" s="107"/>
      <c r="AG403" s="107"/>
      <c r="AH403" s="107"/>
      <c r="AI403" s="107"/>
      <c r="AJ403" s="107"/>
      <c r="AK403" s="107"/>
      <c r="AL403" s="107"/>
      <c r="AM403" s="107"/>
      <c r="AN403" s="107"/>
      <c r="AO403" s="108"/>
      <c r="AP403" s="108"/>
      <c r="AQ403" s="108"/>
      <c r="AR403" s="108"/>
      <c r="AS403" s="108"/>
      <c r="AT403" s="108"/>
      <c r="AU403" s="108"/>
      <c r="AV403" s="108"/>
      <c r="AW403" s="108"/>
      <c r="AX403" s="108"/>
      <c r="AY403" s="108"/>
      <c r="AZ403" s="108"/>
      <c r="BA403" s="108"/>
      <c r="BB403" s="108"/>
    </row>
    <row r="404" spans="1:54" s="109" customFormat="1" ht="12" customHeight="1">
      <c r="A404" s="8">
        <v>51204</v>
      </c>
      <c r="B404" s="8" t="s">
        <v>927</v>
      </c>
      <c r="C404" s="8" t="str">
        <f>+VLOOKUP(A404,Clasificaciones!$C$4:$H$887,6,0)</f>
        <v>Otros gastos de comercialización</v>
      </c>
      <c r="D404" s="92">
        <f>+VLOOKUP(A404,Clasificaciones!C:I,5,FALSE)</f>
        <v>9420248</v>
      </c>
      <c r="E404" s="92">
        <v>0</v>
      </c>
      <c r="F404" s="92">
        <v>0</v>
      </c>
      <c r="G404" s="92">
        <v>0</v>
      </c>
      <c r="H404" s="92">
        <f t="shared" si="64"/>
        <v>9420248</v>
      </c>
      <c r="I404" s="26">
        <v>0</v>
      </c>
      <c r="J404" s="26">
        <v>0</v>
      </c>
      <c r="K404" s="26"/>
      <c r="L404" s="26">
        <v>0</v>
      </c>
      <c r="M404" s="26">
        <f t="shared" si="74"/>
        <v>-9420248</v>
      </c>
      <c r="N404" s="26">
        <v>0</v>
      </c>
      <c r="O404" s="26">
        <v>0</v>
      </c>
      <c r="P404" s="26">
        <v>0</v>
      </c>
      <c r="Q404" s="26">
        <v>0</v>
      </c>
      <c r="R404" s="26">
        <v>0</v>
      </c>
      <c r="S404" s="26">
        <v>0</v>
      </c>
      <c r="T404" s="26">
        <v>0</v>
      </c>
      <c r="U404" s="26">
        <v>0</v>
      </c>
      <c r="V404" s="26">
        <v>0</v>
      </c>
      <c r="W404" s="26">
        <v>0</v>
      </c>
      <c r="X404" s="26">
        <v>0</v>
      </c>
      <c r="Y404" s="26">
        <v>0</v>
      </c>
      <c r="Z404" s="26">
        <v>0</v>
      </c>
      <c r="AA404" s="26">
        <f t="shared" si="73"/>
        <v>0</v>
      </c>
      <c r="AB404" s="107"/>
      <c r="AC404" s="107"/>
      <c r="AD404" s="107"/>
      <c r="AE404" s="107"/>
      <c r="AF404" s="107"/>
      <c r="AG404" s="107"/>
      <c r="AH404" s="107"/>
      <c r="AI404" s="107"/>
      <c r="AJ404" s="107"/>
      <c r="AK404" s="107"/>
      <c r="AL404" s="107"/>
      <c r="AM404" s="107"/>
      <c r="AN404" s="107"/>
      <c r="AO404" s="108"/>
      <c r="AP404" s="108"/>
      <c r="AQ404" s="108"/>
      <c r="AR404" s="108"/>
      <c r="AS404" s="108"/>
      <c r="AT404" s="108"/>
      <c r="AU404" s="108"/>
      <c r="AV404" s="108"/>
      <c r="AW404" s="108"/>
      <c r="AX404" s="108"/>
      <c r="AY404" s="108"/>
      <c r="AZ404" s="108"/>
      <c r="BA404" s="108"/>
      <c r="BB404" s="108"/>
    </row>
    <row r="405" spans="1:54" s="109" customFormat="1" ht="12" customHeight="1">
      <c r="A405" s="8">
        <v>51206</v>
      </c>
      <c r="B405" s="8" t="s">
        <v>1330</v>
      </c>
      <c r="C405" s="8" t="str">
        <f>+VLOOKUP(A405,Clasificaciones!$C$4:$H$887,6,0)</f>
        <v>Otros gastos de comercialización</v>
      </c>
      <c r="D405" s="92">
        <f>+VLOOKUP(A405,Clasificaciones!C:I,5,FALSE)</f>
        <v>20000000</v>
      </c>
      <c r="E405" s="92">
        <v>0</v>
      </c>
      <c r="F405" s="92">
        <v>0</v>
      </c>
      <c r="G405" s="92">
        <v>0</v>
      </c>
      <c r="H405" s="92">
        <f t="shared" si="64"/>
        <v>20000000</v>
      </c>
      <c r="I405" s="26">
        <v>0</v>
      </c>
      <c r="J405" s="26">
        <v>0</v>
      </c>
      <c r="K405" s="26"/>
      <c r="L405" s="26">
        <v>0</v>
      </c>
      <c r="M405" s="26">
        <f t="shared" si="74"/>
        <v>-20000000</v>
      </c>
      <c r="N405" s="26">
        <v>0</v>
      </c>
      <c r="O405" s="26">
        <v>0</v>
      </c>
      <c r="P405" s="26">
        <v>0</v>
      </c>
      <c r="Q405" s="26">
        <v>0</v>
      </c>
      <c r="R405" s="26">
        <v>0</v>
      </c>
      <c r="S405" s="26">
        <v>0</v>
      </c>
      <c r="T405" s="26">
        <v>0</v>
      </c>
      <c r="U405" s="26">
        <v>0</v>
      </c>
      <c r="V405" s="26">
        <v>0</v>
      </c>
      <c r="W405" s="26">
        <v>0</v>
      </c>
      <c r="X405" s="26">
        <v>0</v>
      </c>
      <c r="Y405" s="26">
        <v>0</v>
      </c>
      <c r="Z405" s="26">
        <v>0</v>
      </c>
      <c r="AA405" s="26">
        <f t="shared" si="73"/>
        <v>0</v>
      </c>
      <c r="AB405" s="107"/>
      <c r="AC405" s="107"/>
      <c r="AD405" s="107"/>
      <c r="AE405" s="107"/>
      <c r="AF405" s="107"/>
      <c r="AG405" s="107"/>
      <c r="AH405" s="107"/>
      <c r="AI405" s="107"/>
      <c r="AJ405" s="107"/>
      <c r="AK405" s="107"/>
      <c r="AL405" s="107"/>
      <c r="AM405" s="107"/>
      <c r="AN405" s="107"/>
      <c r="AO405" s="108"/>
      <c r="AP405" s="108"/>
      <c r="AQ405" s="108"/>
      <c r="AR405" s="108"/>
      <c r="AS405" s="108"/>
      <c r="AT405" s="108"/>
      <c r="AU405" s="108"/>
      <c r="AV405" s="108"/>
      <c r="AW405" s="108"/>
      <c r="AX405" s="108"/>
      <c r="AY405" s="108"/>
      <c r="AZ405" s="108"/>
      <c r="BA405" s="108"/>
      <c r="BB405" s="108"/>
    </row>
    <row r="406" spans="1:54" s="109" customFormat="1" ht="12" customHeight="1">
      <c r="A406" s="8">
        <v>51207</v>
      </c>
      <c r="B406" s="8" t="s">
        <v>397</v>
      </c>
      <c r="C406" s="8"/>
      <c r="D406" s="92">
        <f>+VLOOKUP(A406,Clasificaciones!C:I,5,FALSE)</f>
        <v>0</v>
      </c>
      <c r="E406" s="92">
        <v>0</v>
      </c>
      <c r="F406" s="92">
        <v>0</v>
      </c>
      <c r="G406" s="92">
        <v>0</v>
      </c>
      <c r="H406" s="92">
        <f t="shared" si="64"/>
        <v>0</v>
      </c>
      <c r="I406" s="26">
        <v>0</v>
      </c>
      <c r="J406" s="26">
        <v>0</v>
      </c>
      <c r="K406" s="26">
        <f t="shared" ref="K406" si="76">-H406</f>
        <v>0</v>
      </c>
      <c r="L406" s="26">
        <v>0</v>
      </c>
      <c r="M406" s="26">
        <v>0</v>
      </c>
      <c r="N406" s="26">
        <v>0</v>
      </c>
      <c r="O406" s="26">
        <v>0</v>
      </c>
      <c r="P406" s="26">
        <v>0</v>
      </c>
      <c r="Q406" s="26">
        <v>0</v>
      </c>
      <c r="R406" s="26">
        <v>0</v>
      </c>
      <c r="S406" s="26">
        <v>0</v>
      </c>
      <c r="T406" s="26">
        <v>0</v>
      </c>
      <c r="U406" s="26">
        <v>0</v>
      </c>
      <c r="V406" s="26">
        <v>0</v>
      </c>
      <c r="W406" s="26">
        <v>0</v>
      </c>
      <c r="X406" s="26">
        <v>0</v>
      </c>
      <c r="Y406" s="26">
        <v>0</v>
      </c>
      <c r="Z406" s="26">
        <v>0</v>
      </c>
      <c r="AA406" s="26">
        <f t="shared" si="73"/>
        <v>0</v>
      </c>
      <c r="AB406" s="107"/>
      <c r="AC406" s="107"/>
      <c r="AD406" s="107"/>
      <c r="AE406" s="107"/>
      <c r="AF406" s="107"/>
      <c r="AG406" s="107"/>
      <c r="AH406" s="107"/>
      <c r="AI406" s="107"/>
      <c r="AJ406" s="107"/>
      <c r="AK406" s="107"/>
      <c r="AL406" s="107"/>
      <c r="AM406" s="107"/>
      <c r="AN406" s="107"/>
      <c r="AO406" s="108"/>
      <c r="AP406" s="108"/>
      <c r="AQ406" s="108"/>
      <c r="AR406" s="108"/>
      <c r="AS406" s="108"/>
      <c r="AT406" s="108"/>
      <c r="AU406" s="108"/>
      <c r="AV406" s="108"/>
      <c r="AW406" s="108"/>
      <c r="AX406" s="108"/>
      <c r="AY406" s="108"/>
      <c r="AZ406" s="108"/>
      <c r="BA406" s="108"/>
      <c r="BB406" s="108"/>
    </row>
    <row r="407" spans="1:54" s="109" customFormat="1" ht="12" customHeight="1">
      <c r="A407" s="8">
        <v>513</v>
      </c>
      <c r="B407" s="8" t="s">
        <v>15</v>
      </c>
      <c r="C407" s="8"/>
      <c r="D407" s="92">
        <f>+VLOOKUP(A407,Clasificaciones!C:I,5,FALSE)</f>
        <v>0</v>
      </c>
      <c r="E407" s="92">
        <v>0</v>
      </c>
      <c r="F407" s="92">
        <v>0</v>
      </c>
      <c r="G407" s="92">
        <v>0</v>
      </c>
      <c r="H407" s="92">
        <f t="shared" si="64"/>
        <v>0</v>
      </c>
      <c r="I407" s="26">
        <v>0</v>
      </c>
      <c r="J407" s="26">
        <v>0</v>
      </c>
      <c r="K407" s="26">
        <v>0</v>
      </c>
      <c r="L407" s="26">
        <v>0</v>
      </c>
      <c r="M407" s="26">
        <v>0</v>
      </c>
      <c r="N407" s="26">
        <v>0</v>
      </c>
      <c r="O407" s="26">
        <v>0</v>
      </c>
      <c r="P407" s="26">
        <v>0</v>
      </c>
      <c r="Q407" s="26">
        <v>0</v>
      </c>
      <c r="R407" s="26">
        <v>0</v>
      </c>
      <c r="S407" s="26">
        <v>0</v>
      </c>
      <c r="T407" s="26">
        <v>0</v>
      </c>
      <c r="U407" s="26">
        <v>0</v>
      </c>
      <c r="V407" s="26">
        <v>0</v>
      </c>
      <c r="W407" s="26">
        <v>0</v>
      </c>
      <c r="X407" s="26">
        <v>0</v>
      </c>
      <c r="Y407" s="26">
        <v>0</v>
      </c>
      <c r="Z407" s="26">
        <v>0</v>
      </c>
      <c r="AA407" s="26">
        <f t="shared" si="73"/>
        <v>0</v>
      </c>
      <c r="AB407" s="107"/>
      <c r="AC407" s="107"/>
      <c r="AD407" s="107"/>
      <c r="AE407" s="107"/>
      <c r="AF407" s="107"/>
      <c r="AG407" s="107"/>
      <c r="AH407" s="107"/>
      <c r="AI407" s="107"/>
      <c r="AJ407" s="107"/>
      <c r="AK407" s="107"/>
      <c r="AL407" s="107"/>
      <c r="AM407" s="107"/>
      <c r="AN407" s="107"/>
      <c r="AO407" s="108"/>
      <c r="AP407" s="108"/>
      <c r="AQ407" s="108"/>
      <c r="AR407" s="108"/>
      <c r="AS407" s="108"/>
      <c r="AT407" s="108"/>
      <c r="AU407" s="108"/>
      <c r="AV407" s="108"/>
      <c r="AW407" s="108"/>
      <c r="AX407" s="108"/>
      <c r="AY407" s="108"/>
      <c r="AZ407" s="108"/>
      <c r="BA407" s="108"/>
      <c r="BB407" s="108"/>
    </row>
    <row r="408" spans="1:54" s="109" customFormat="1" ht="12" customHeight="1">
      <c r="A408" s="8">
        <v>51301</v>
      </c>
      <c r="B408" s="8" t="s">
        <v>298</v>
      </c>
      <c r="C408" s="8"/>
      <c r="D408" s="92">
        <f>+VLOOKUP(A408,Clasificaciones!C:I,5,FALSE)</f>
        <v>0</v>
      </c>
      <c r="E408" s="92">
        <v>0</v>
      </c>
      <c r="F408" s="92">
        <v>0</v>
      </c>
      <c r="G408" s="92">
        <v>0</v>
      </c>
      <c r="H408" s="92">
        <f t="shared" si="64"/>
        <v>0</v>
      </c>
      <c r="I408" s="26">
        <v>0</v>
      </c>
      <c r="J408" s="26">
        <v>0</v>
      </c>
      <c r="K408" s="26">
        <v>0</v>
      </c>
      <c r="L408" s="26">
        <v>0</v>
      </c>
      <c r="M408" s="26">
        <v>0</v>
      </c>
      <c r="N408" s="26">
        <v>0</v>
      </c>
      <c r="O408" s="26">
        <v>0</v>
      </c>
      <c r="P408" s="26">
        <v>0</v>
      </c>
      <c r="Q408" s="26">
        <v>0</v>
      </c>
      <c r="R408" s="26">
        <v>0</v>
      </c>
      <c r="S408" s="26">
        <v>0</v>
      </c>
      <c r="T408" s="26">
        <v>0</v>
      </c>
      <c r="U408" s="26">
        <v>0</v>
      </c>
      <c r="V408" s="26">
        <v>0</v>
      </c>
      <c r="W408" s="26">
        <v>0</v>
      </c>
      <c r="X408" s="26">
        <v>0</v>
      </c>
      <c r="Y408" s="26">
        <v>0</v>
      </c>
      <c r="Z408" s="26">
        <v>0</v>
      </c>
      <c r="AA408" s="26">
        <f t="shared" si="73"/>
        <v>0</v>
      </c>
      <c r="AB408" s="107"/>
      <c r="AC408" s="107"/>
      <c r="AD408" s="107"/>
      <c r="AE408" s="107"/>
      <c r="AF408" s="107"/>
      <c r="AG408" s="107"/>
      <c r="AH408" s="107"/>
      <c r="AI408" s="107"/>
      <c r="AJ408" s="107"/>
      <c r="AK408" s="107"/>
      <c r="AL408" s="107"/>
      <c r="AM408" s="107"/>
      <c r="AN408" s="107"/>
      <c r="AO408" s="108"/>
      <c r="AP408" s="108"/>
      <c r="AQ408" s="108"/>
      <c r="AR408" s="108"/>
      <c r="AS408" s="108"/>
      <c r="AT408" s="108"/>
      <c r="AU408" s="108"/>
      <c r="AV408" s="108"/>
      <c r="AW408" s="108"/>
      <c r="AX408" s="108"/>
      <c r="AY408" s="108"/>
      <c r="AZ408" s="108"/>
      <c r="BA408" s="108"/>
      <c r="BB408" s="108"/>
    </row>
    <row r="409" spans="1:54" s="109" customFormat="1" ht="12" customHeight="1">
      <c r="A409" s="8">
        <v>5130101</v>
      </c>
      <c r="B409" s="8" t="s">
        <v>199</v>
      </c>
      <c r="C409" s="8"/>
      <c r="D409" s="92">
        <f>+VLOOKUP(A409,Clasificaciones!C:I,5,FALSE)</f>
        <v>2385209049</v>
      </c>
      <c r="E409" s="92">
        <v>0</v>
      </c>
      <c r="F409" s="92">
        <v>0</v>
      </c>
      <c r="G409" s="92">
        <v>0</v>
      </c>
      <c r="H409" s="92">
        <f t="shared" si="64"/>
        <v>2385209049</v>
      </c>
      <c r="I409" s="26">
        <v>0</v>
      </c>
      <c r="J409" s="26">
        <f>-H409</f>
        <v>-2385209049</v>
      </c>
      <c r="K409" s="26">
        <v>0</v>
      </c>
      <c r="L409" s="26">
        <v>0</v>
      </c>
      <c r="M409" s="26">
        <v>0</v>
      </c>
      <c r="N409" s="26">
        <v>0</v>
      </c>
      <c r="O409" s="26">
        <v>0</v>
      </c>
      <c r="P409" s="26">
        <v>0</v>
      </c>
      <c r="Q409" s="26">
        <v>0</v>
      </c>
      <c r="R409" s="26">
        <v>0</v>
      </c>
      <c r="S409" s="26">
        <v>0</v>
      </c>
      <c r="T409" s="26">
        <v>0</v>
      </c>
      <c r="U409" s="26">
        <v>0</v>
      </c>
      <c r="V409" s="26">
        <v>0</v>
      </c>
      <c r="W409" s="26">
        <v>0</v>
      </c>
      <c r="X409" s="26">
        <v>0</v>
      </c>
      <c r="Y409" s="26">
        <v>0</v>
      </c>
      <c r="Z409" s="26">
        <v>0</v>
      </c>
      <c r="AA409" s="26">
        <f t="shared" si="73"/>
        <v>0</v>
      </c>
      <c r="AB409" s="107"/>
      <c r="AC409" s="107"/>
      <c r="AD409" s="107"/>
      <c r="AE409" s="107"/>
      <c r="AF409" s="107"/>
      <c r="AG409" s="107"/>
      <c r="AH409" s="107"/>
      <c r="AI409" s="107"/>
      <c r="AJ409" s="107"/>
      <c r="AK409" s="107"/>
      <c r="AL409" s="107"/>
      <c r="AM409" s="107"/>
      <c r="AN409" s="107"/>
      <c r="AO409" s="108"/>
      <c r="AP409" s="108"/>
      <c r="AQ409" s="108"/>
      <c r="AR409" s="108"/>
      <c r="AS409" s="108"/>
      <c r="AT409" s="108"/>
      <c r="AU409" s="108"/>
      <c r="AV409" s="108"/>
      <c r="AW409" s="108"/>
      <c r="AX409" s="108"/>
      <c r="AY409" s="108"/>
      <c r="AZ409" s="108"/>
      <c r="BA409" s="108"/>
      <c r="BB409" s="108"/>
    </row>
    <row r="410" spans="1:54" s="109" customFormat="1" ht="12" customHeight="1">
      <c r="A410" s="8">
        <v>5130104</v>
      </c>
      <c r="B410" s="8" t="s">
        <v>201</v>
      </c>
      <c r="C410" s="8"/>
      <c r="D410" s="92">
        <f>+VLOOKUP(A410,Clasificaciones!C:I,5,FALSE)</f>
        <v>219330055</v>
      </c>
      <c r="E410" s="92">
        <v>0</v>
      </c>
      <c r="F410" s="92">
        <v>0</v>
      </c>
      <c r="G410" s="92">
        <v>0</v>
      </c>
      <c r="H410" s="92">
        <f t="shared" si="64"/>
        <v>219330055</v>
      </c>
      <c r="I410" s="26">
        <v>0</v>
      </c>
      <c r="J410" s="26">
        <f t="shared" ref="J410:J411" si="77">-H410</f>
        <v>-219330055</v>
      </c>
      <c r="K410" s="26">
        <v>0</v>
      </c>
      <c r="L410" s="26">
        <v>0</v>
      </c>
      <c r="M410" s="26">
        <v>0</v>
      </c>
      <c r="N410" s="26">
        <v>0</v>
      </c>
      <c r="O410" s="26">
        <v>0</v>
      </c>
      <c r="P410" s="26">
        <v>0</v>
      </c>
      <c r="Q410" s="26">
        <v>0</v>
      </c>
      <c r="R410" s="26">
        <v>0</v>
      </c>
      <c r="S410" s="26">
        <v>0</v>
      </c>
      <c r="T410" s="26">
        <v>0</v>
      </c>
      <c r="U410" s="26">
        <v>0</v>
      </c>
      <c r="V410" s="26">
        <v>0</v>
      </c>
      <c r="W410" s="26">
        <v>0</v>
      </c>
      <c r="X410" s="26">
        <v>0</v>
      </c>
      <c r="Y410" s="26">
        <v>0</v>
      </c>
      <c r="Z410" s="26">
        <v>0</v>
      </c>
      <c r="AA410" s="26">
        <f t="shared" si="73"/>
        <v>0</v>
      </c>
      <c r="AB410" s="107"/>
      <c r="AC410" s="107"/>
      <c r="AD410" s="107"/>
      <c r="AE410" s="107"/>
      <c r="AF410" s="107"/>
      <c r="AG410" s="107"/>
      <c r="AH410" s="107"/>
      <c r="AI410" s="107"/>
      <c r="AJ410" s="107"/>
      <c r="AK410" s="107"/>
      <c r="AL410" s="107"/>
      <c r="AM410" s="107"/>
      <c r="AN410" s="107"/>
      <c r="AO410" s="108"/>
      <c r="AP410" s="108"/>
      <c r="AQ410" s="108"/>
      <c r="AR410" s="108"/>
      <c r="AS410" s="108"/>
      <c r="AT410" s="108"/>
      <c r="AU410" s="108"/>
      <c r="AV410" s="108"/>
      <c r="AW410" s="108"/>
      <c r="AX410" s="108"/>
      <c r="AY410" s="108"/>
      <c r="AZ410" s="108"/>
      <c r="BA410" s="108"/>
      <c r="BB410" s="108"/>
    </row>
    <row r="411" spans="1:54" s="109" customFormat="1" ht="12" customHeight="1">
      <c r="A411" s="8">
        <v>5130105</v>
      </c>
      <c r="B411" s="8" t="s">
        <v>202</v>
      </c>
      <c r="C411" s="8"/>
      <c r="D411" s="92">
        <f>+VLOOKUP(A411,Clasificaciones!C:I,5,FALSE)</f>
        <v>162943333</v>
      </c>
      <c r="E411" s="92">
        <v>0</v>
      </c>
      <c r="F411" s="177">
        <f>+E234</f>
        <v>112790000</v>
      </c>
      <c r="G411" s="92">
        <v>0</v>
      </c>
      <c r="H411" s="92">
        <f t="shared" si="64"/>
        <v>50153333</v>
      </c>
      <c r="I411" s="26">
        <v>0</v>
      </c>
      <c r="J411" s="26">
        <f t="shared" si="77"/>
        <v>-50153333</v>
      </c>
      <c r="K411" s="26">
        <v>0</v>
      </c>
      <c r="L411" s="26">
        <v>0</v>
      </c>
      <c r="M411" s="26">
        <v>0</v>
      </c>
      <c r="N411" s="26">
        <v>0</v>
      </c>
      <c r="O411" s="26">
        <v>0</v>
      </c>
      <c r="P411" s="26">
        <v>0</v>
      </c>
      <c r="Q411" s="26">
        <v>0</v>
      </c>
      <c r="R411" s="26">
        <v>0</v>
      </c>
      <c r="S411" s="26">
        <v>0</v>
      </c>
      <c r="T411" s="26">
        <v>0</v>
      </c>
      <c r="U411" s="26">
        <v>0</v>
      </c>
      <c r="V411" s="26">
        <v>0</v>
      </c>
      <c r="W411" s="26">
        <v>0</v>
      </c>
      <c r="X411" s="26">
        <v>0</v>
      </c>
      <c r="Y411" s="26">
        <v>0</v>
      </c>
      <c r="Z411" s="26">
        <v>0</v>
      </c>
      <c r="AA411" s="26">
        <f t="shared" si="73"/>
        <v>0</v>
      </c>
      <c r="AB411" s="107"/>
      <c r="AC411" s="107"/>
      <c r="AD411" s="107"/>
      <c r="AE411" s="107"/>
      <c r="AF411" s="107"/>
      <c r="AG411" s="107"/>
      <c r="AH411" s="107"/>
      <c r="AI411" s="107"/>
      <c r="AJ411" s="107"/>
      <c r="AK411" s="107"/>
      <c r="AL411" s="107"/>
      <c r="AM411" s="107"/>
      <c r="AN411" s="107"/>
      <c r="AO411" s="108"/>
      <c r="AP411" s="108"/>
      <c r="AQ411" s="108"/>
      <c r="AR411" s="108"/>
      <c r="AS411" s="108"/>
      <c r="AT411" s="108"/>
      <c r="AU411" s="108"/>
      <c r="AV411" s="108"/>
      <c r="AW411" s="108"/>
      <c r="AX411" s="108"/>
      <c r="AY411" s="108"/>
      <c r="AZ411" s="108"/>
      <c r="BA411" s="108"/>
      <c r="BB411" s="108"/>
    </row>
    <row r="412" spans="1:54" s="109" customFormat="1" ht="12" customHeight="1">
      <c r="A412" s="8">
        <v>51302</v>
      </c>
      <c r="B412" s="8" t="s">
        <v>928</v>
      </c>
      <c r="C412" s="8"/>
      <c r="D412" s="92">
        <f>+VLOOKUP(A412,Clasificaciones!C:I,5,FALSE)</f>
        <v>0</v>
      </c>
      <c r="E412" s="92">
        <v>0</v>
      </c>
      <c r="F412" s="92">
        <v>0</v>
      </c>
      <c r="G412" s="92">
        <v>0</v>
      </c>
      <c r="H412" s="92">
        <f t="shared" si="64"/>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c r="Z412" s="26">
        <v>0</v>
      </c>
      <c r="AA412" s="26">
        <f t="shared" si="73"/>
        <v>0</v>
      </c>
      <c r="AB412" s="107"/>
      <c r="AC412" s="107"/>
      <c r="AD412" s="107"/>
      <c r="AE412" s="107"/>
      <c r="AF412" s="107"/>
      <c r="AG412" s="107"/>
      <c r="AH412" s="107"/>
      <c r="AI412" s="107"/>
      <c r="AJ412" s="107"/>
      <c r="AK412" s="107"/>
      <c r="AL412" s="107"/>
      <c r="AM412" s="107"/>
      <c r="AN412" s="107"/>
      <c r="AO412" s="108"/>
      <c r="AP412" s="108"/>
      <c r="AQ412" s="108"/>
      <c r="AR412" s="108"/>
      <c r="AS412" s="108"/>
      <c r="AT412" s="108"/>
      <c r="AU412" s="108"/>
      <c r="AV412" s="108"/>
      <c r="AW412" s="108"/>
      <c r="AX412" s="108"/>
      <c r="AY412" s="108"/>
      <c r="AZ412" s="108"/>
      <c r="BA412" s="108"/>
      <c r="BB412" s="108"/>
    </row>
    <row r="413" spans="1:54" s="109" customFormat="1" ht="12" customHeight="1">
      <c r="A413" s="918">
        <v>5130201</v>
      </c>
      <c r="B413" s="918" t="s">
        <v>929</v>
      </c>
      <c r="C413" s="8" t="str">
        <f>+VLOOKUP(A413,Clasificaciones!$C$4:$H$887,6,0)</f>
        <v>Otros Gastos de Administración</v>
      </c>
      <c r="D413" s="919">
        <f>+VLOOKUP(A413,Clasificaciones!C:I,5,FALSE)</f>
        <v>439114057</v>
      </c>
      <c r="E413" s="919">
        <v>0</v>
      </c>
      <c r="F413" s="919">
        <v>0</v>
      </c>
      <c r="G413" s="919">
        <v>0</v>
      </c>
      <c r="H413" s="919">
        <f t="shared" si="64"/>
        <v>439114057</v>
      </c>
      <c r="I413" s="920">
        <v>0</v>
      </c>
      <c r="J413" s="920">
        <v>0</v>
      </c>
      <c r="K413" s="920"/>
      <c r="L413" s="26">
        <v>0</v>
      </c>
      <c r="M413" s="26">
        <f>-H413</f>
        <v>-439114057</v>
      </c>
      <c r="N413" s="26">
        <v>0</v>
      </c>
      <c r="O413" s="26">
        <v>0</v>
      </c>
      <c r="P413" s="26">
        <v>0</v>
      </c>
      <c r="Q413" s="26">
        <v>0</v>
      </c>
      <c r="R413" s="26">
        <v>0</v>
      </c>
      <c r="S413" s="26">
        <v>0</v>
      </c>
      <c r="T413" s="26">
        <v>0</v>
      </c>
      <c r="U413" s="26">
        <v>0</v>
      </c>
      <c r="V413" s="26">
        <v>0</v>
      </c>
      <c r="W413" s="26">
        <v>0</v>
      </c>
      <c r="X413" s="26">
        <v>0</v>
      </c>
      <c r="Y413" s="26">
        <v>0</v>
      </c>
      <c r="Z413" s="26">
        <v>0</v>
      </c>
      <c r="AA413" s="26">
        <f t="shared" si="73"/>
        <v>0</v>
      </c>
      <c r="AB413" s="107"/>
      <c r="AC413" s="107"/>
      <c r="AD413" s="107"/>
      <c r="AE413" s="107"/>
      <c r="AF413" s="107"/>
      <c r="AG413" s="107"/>
      <c r="AH413" s="107"/>
      <c r="AI413" s="107"/>
      <c r="AJ413" s="107"/>
      <c r="AK413" s="107"/>
      <c r="AL413" s="107"/>
      <c r="AM413" s="107"/>
      <c r="AN413" s="107"/>
      <c r="AO413" s="108"/>
      <c r="AP413" s="108"/>
      <c r="AQ413" s="108"/>
      <c r="AR413" s="108"/>
      <c r="AS413" s="108"/>
      <c r="AT413" s="108"/>
      <c r="AU413" s="108"/>
      <c r="AV413" s="108"/>
      <c r="AW413" s="108"/>
      <c r="AX413" s="108"/>
      <c r="AY413" s="108"/>
      <c r="AZ413" s="108"/>
      <c r="BA413" s="108"/>
      <c r="BB413" s="108"/>
    </row>
    <row r="414" spans="1:54" s="109" customFormat="1" ht="12" customHeight="1">
      <c r="A414" s="8">
        <v>5130202</v>
      </c>
      <c r="B414" s="8" t="s">
        <v>1210</v>
      </c>
      <c r="C414" s="8"/>
      <c r="D414" s="92">
        <f>+VLOOKUP(A414,Clasificaciones!C:I,5,FALSE)</f>
        <v>7500000</v>
      </c>
      <c r="E414" s="92">
        <v>0</v>
      </c>
      <c r="F414" s="92">
        <v>0</v>
      </c>
      <c r="G414" s="92">
        <v>0</v>
      </c>
      <c r="H414" s="92">
        <f t="shared" si="64"/>
        <v>7500000</v>
      </c>
      <c r="I414" s="26">
        <v>0</v>
      </c>
      <c r="J414" s="26">
        <f>-H414</f>
        <v>-7500000</v>
      </c>
      <c r="K414" s="26"/>
      <c r="L414" s="26">
        <v>0</v>
      </c>
      <c r="M414" s="26">
        <v>0</v>
      </c>
      <c r="N414" s="26">
        <v>0</v>
      </c>
      <c r="O414" s="26">
        <v>0</v>
      </c>
      <c r="P414" s="26">
        <v>0</v>
      </c>
      <c r="Q414" s="26">
        <v>0</v>
      </c>
      <c r="R414" s="26">
        <v>0</v>
      </c>
      <c r="S414" s="26">
        <v>0</v>
      </c>
      <c r="T414" s="26">
        <v>0</v>
      </c>
      <c r="U414" s="26">
        <v>0</v>
      </c>
      <c r="V414" s="26">
        <v>0</v>
      </c>
      <c r="W414" s="26">
        <v>0</v>
      </c>
      <c r="X414" s="26">
        <v>0</v>
      </c>
      <c r="Y414" s="26">
        <v>0</v>
      </c>
      <c r="Z414" s="26">
        <v>0</v>
      </c>
      <c r="AA414" s="26">
        <f t="shared" si="73"/>
        <v>0</v>
      </c>
      <c r="AB414" s="107"/>
      <c r="AC414" s="107"/>
      <c r="AD414" s="107"/>
      <c r="AE414" s="107"/>
      <c r="AF414" s="107"/>
      <c r="AG414" s="107"/>
      <c r="AH414" s="107"/>
      <c r="AI414" s="107"/>
      <c r="AJ414" s="107"/>
      <c r="AK414" s="107"/>
      <c r="AL414" s="107"/>
      <c r="AM414" s="107"/>
      <c r="AN414" s="107"/>
      <c r="AO414" s="108"/>
      <c r="AP414" s="108"/>
      <c r="AQ414" s="108"/>
      <c r="AR414" s="108"/>
      <c r="AS414" s="108"/>
      <c r="AT414" s="108"/>
      <c r="AU414" s="108"/>
      <c r="AV414" s="108"/>
      <c r="AW414" s="108"/>
      <c r="AX414" s="108"/>
      <c r="AY414" s="108"/>
      <c r="AZ414" s="108"/>
      <c r="BA414" s="108"/>
      <c r="BB414" s="108"/>
    </row>
    <row r="415" spans="1:54" s="109" customFormat="1" ht="12" customHeight="1">
      <c r="A415" s="8">
        <v>5130203</v>
      </c>
      <c r="B415" s="8" t="s">
        <v>930</v>
      </c>
      <c r="C415" s="8"/>
      <c r="D415" s="92">
        <f>+VLOOKUP(A415,Clasificaciones!C:I,5,FALSE)</f>
        <v>919996500</v>
      </c>
      <c r="E415" s="92">
        <v>0</v>
      </c>
      <c r="F415" s="177">
        <f>+E231</f>
        <v>526231282</v>
      </c>
      <c r="G415" s="92">
        <v>0</v>
      </c>
      <c r="H415" s="92">
        <f t="shared" si="64"/>
        <v>393765218</v>
      </c>
      <c r="I415" s="26">
        <v>0</v>
      </c>
      <c r="J415" s="26">
        <f>-H415</f>
        <v>-393765218</v>
      </c>
      <c r="K415" s="26"/>
      <c r="L415" s="26">
        <v>0</v>
      </c>
      <c r="M415" s="26">
        <v>0</v>
      </c>
      <c r="N415" s="26">
        <v>0</v>
      </c>
      <c r="O415" s="26">
        <v>0</v>
      </c>
      <c r="P415" s="26">
        <v>0</v>
      </c>
      <c r="Q415" s="26">
        <v>0</v>
      </c>
      <c r="R415" s="26">
        <v>0</v>
      </c>
      <c r="S415" s="26">
        <v>0</v>
      </c>
      <c r="T415" s="26">
        <v>0</v>
      </c>
      <c r="U415" s="26">
        <v>0</v>
      </c>
      <c r="V415" s="26">
        <v>0</v>
      </c>
      <c r="W415" s="26">
        <v>0</v>
      </c>
      <c r="X415" s="26">
        <v>0</v>
      </c>
      <c r="Y415" s="26">
        <v>0</v>
      </c>
      <c r="Z415" s="26">
        <v>0</v>
      </c>
      <c r="AA415" s="26">
        <f t="shared" si="73"/>
        <v>0</v>
      </c>
      <c r="AB415" s="107"/>
      <c r="AC415" s="107"/>
      <c r="AD415" s="107"/>
      <c r="AE415" s="107"/>
      <c r="AF415" s="107"/>
      <c r="AG415" s="107"/>
      <c r="AH415" s="107"/>
      <c r="AI415" s="107"/>
      <c r="AJ415" s="107"/>
      <c r="AK415" s="107"/>
      <c r="AL415" s="107"/>
      <c r="AM415" s="107"/>
      <c r="AN415" s="107"/>
      <c r="AO415" s="108"/>
      <c r="AP415" s="108"/>
      <c r="AQ415" s="108"/>
      <c r="AR415" s="108"/>
      <c r="AS415" s="108"/>
      <c r="AT415" s="108"/>
      <c r="AU415" s="108"/>
      <c r="AV415" s="108"/>
      <c r="AW415" s="108"/>
      <c r="AX415" s="108"/>
      <c r="AY415" s="108"/>
      <c r="AZ415" s="108"/>
      <c r="BA415" s="108"/>
      <c r="BB415" s="108"/>
    </row>
    <row r="416" spans="1:54" s="109" customFormat="1" ht="12" customHeight="1">
      <c r="A416" s="918">
        <v>5130204</v>
      </c>
      <c r="B416" s="918" t="s">
        <v>208</v>
      </c>
      <c r="C416" s="8" t="str">
        <f>+VLOOKUP(A416,Clasificaciones!$C$4:$H$887,6,0)</f>
        <v>Otros Gastos de Administración</v>
      </c>
      <c r="D416" s="919">
        <f>+VLOOKUP(A416,Clasificaciones!C:I,5,FALSE)</f>
        <v>45357573</v>
      </c>
      <c r="E416" s="919">
        <v>0</v>
      </c>
      <c r="F416" s="919">
        <v>0</v>
      </c>
      <c r="G416" s="919">
        <v>0</v>
      </c>
      <c r="H416" s="919">
        <f t="shared" si="64"/>
        <v>45357573</v>
      </c>
      <c r="I416" s="920">
        <v>0</v>
      </c>
      <c r="J416" s="920">
        <v>0</v>
      </c>
      <c r="K416" s="920"/>
      <c r="L416" s="26">
        <v>0</v>
      </c>
      <c r="M416" s="26">
        <f t="shared" ref="M416:M418" si="78">-H416</f>
        <v>-45357573</v>
      </c>
      <c r="N416" s="26">
        <v>0</v>
      </c>
      <c r="O416" s="26">
        <v>0</v>
      </c>
      <c r="P416" s="26">
        <v>0</v>
      </c>
      <c r="Q416" s="26">
        <v>0</v>
      </c>
      <c r="R416" s="26">
        <v>0</v>
      </c>
      <c r="S416" s="26">
        <v>0</v>
      </c>
      <c r="T416" s="26">
        <v>0</v>
      </c>
      <c r="U416" s="26">
        <v>0</v>
      </c>
      <c r="V416" s="26">
        <v>0</v>
      </c>
      <c r="W416" s="26">
        <v>0</v>
      </c>
      <c r="X416" s="26">
        <v>0</v>
      </c>
      <c r="Y416" s="26">
        <v>0</v>
      </c>
      <c r="Z416" s="26">
        <v>0</v>
      </c>
      <c r="AA416" s="26">
        <f t="shared" si="73"/>
        <v>0</v>
      </c>
      <c r="AB416" s="107"/>
      <c r="AC416" s="107"/>
      <c r="AD416" s="107"/>
      <c r="AE416" s="107"/>
      <c r="AF416" s="107"/>
      <c r="AG416" s="107"/>
      <c r="AH416" s="107"/>
      <c r="AI416" s="107"/>
      <c r="AJ416" s="107"/>
      <c r="AK416" s="107"/>
      <c r="AL416" s="107"/>
      <c r="AM416" s="107"/>
      <c r="AN416" s="107"/>
      <c r="AO416" s="108"/>
      <c r="AP416" s="108"/>
      <c r="AQ416" s="108"/>
      <c r="AR416" s="108"/>
      <c r="AS416" s="108"/>
      <c r="AT416" s="108"/>
      <c r="AU416" s="108"/>
      <c r="AV416" s="108"/>
      <c r="AW416" s="108"/>
      <c r="AX416" s="108"/>
      <c r="AY416" s="108"/>
      <c r="AZ416" s="108"/>
      <c r="BA416" s="108"/>
      <c r="BB416" s="108"/>
    </row>
    <row r="417" spans="1:54" s="109" customFormat="1" ht="12" customHeight="1">
      <c r="A417" s="918">
        <v>5130205</v>
      </c>
      <c r="B417" s="918" t="s">
        <v>1211</v>
      </c>
      <c r="C417" s="8" t="str">
        <f>+VLOOKUP(A417,Clasificaciones!$C$4:$H$887,6,0)</f>
        <v>Otros Gastos de Administración</v>
      </c>
      <c r="D417" s="919">
        <f>+VLOOKUP(A417,Clasificaciones!C:I,5,FALSE)</f>
        <v>19675318</v>
      </c>
      <c r="E417" s="919">
        <v>0</v>
      </c>
      <c r="F417" s="919">
        <v>0</v>
      </c>
      <c r="G417" s="919">
        <v>0</v>
      </c>
      <c r="H417" s="919">
        <f t="shared" ref="H417" si="79">+D417-G417+E417-F417</f>
        <v>19675318</v>
      </c>
      <c r="I417" s="920">
        <v>0</v>
      </c>
      <c r="J417" s="920">
        <v>0</v>
      </c>
      <c r="K417" s="920"/>
      <c r="L417" s="26">
        <v>0</v>
      </c>
      <c r="M417" s="26">
        <f t="shared" si="78"/>
        <v>-19675318</v>
      </c>
      <c r="N417" s="26">
        <v>0</v>
      </c>
      <c r="O417" s="26">
        <v>0</v>
      </c>
      <c r="P417" s="26">
        <v>0</v>
      </c>
      <c r="Q417" s="26">
        <v>0</v>
      </c>
      <c r="R417" s="26">
        <v>0</v>
      </c>
      <c r="S417" s="26">
        <v>0</v>
      </c>
      <c r="T417" s="26">
        <v>0</v>
      </c>
      <c r="U417" s="26">
        <v>0</v>
      </c>
      <c r="V417" s="26">
        <v>0</v>
      </c>
      <c r="W417" s="26">
        <v>0</v>
      </c>
      <c r="X417" s="26">
        <v>0</v>
      </c>
      <c r="Y417" s="26">
        <v>0</v>
      </c>
      <c r="Z417" s="26">
        <v>0</v>
      </c>
      <c r="AA417" s="26">
        <f t="shared" si="73"/>
        <v>0</v>
      </c>
      <c r="AB417" s="107"/>
      <c r="AC417" s="107"/>
      <c r="AD417" s="107"/>
      <c r="AE417" s="107"/>
      <c r="AF417" s="107"/>
      <c r="AG417" s="107"/>
      <c r="AH417" s="107"/>
      <c r="AI417" s="107"/>
      <c r="AJ417" s="107"/>
      <c r="AK417" s="107"/>
      <c r="AL417" s="107"/>
      <c r="AM417" s="107"/>
      <c r="AN417" s="107"/>
      <c r="AO417" s="108"/>
      <c r="AP417" s="108"/>
      <c r="AQ417" s="108"/>
      <c r="AR417" s="108"/>
      <c r="AS417" s="108"/>
      <c r="AT417" s="108"/>
      <c r="AU417" s="108"/>
      <c r="AV417" s="108"/>
      <c r="AW417" s="108"/>
      <c r="AX417" s="108"/>
      <c r="AY417" s="108"/>
      <c r="AZ417" s="108"/>
      <c r="BA417" s="108"/>
      <c r="BB417" s="108"/>
    </row>
    <row r="418" spans="1:54" s="109" customFormat="1" ht="12" customHeight="1">
      <c r="A418" s="918">
        <v>5130206</v>
      </c>
      <c r="B418" s="918" t="s">
        <v>931</v>
      </c>
      <c r="C418" s="8" t="str">
        <f>+VLOOKUP(A418,Clasificaciones!$C$4:$H$887,6,0)</f>
        <v>Otros Gastos de Administración</v>
      </c>
      <c r="D418" s="919">
        <f>+VLOOKUP(A418,Clasificaciones!C:I,5,FALSE)</f>
        <v>128652468</v>
      </c>
      <c r="E418" s="919">
        <v>0</v>
      </c>
      <c r="F418" s="919">
        <v>0</v>
      </c>
      <c r="G418" s="919">
        <v>0</v>
      </c>
      <c r="H418" s="919">
        <f t="shared" si="64"/>
        <v>128652468</v>
      </c>
      <c r="I418" s="920">
        <v>0</v>
      </c>
      <c r="J418" s="920">
        <v>0</v>
      </c>
      <c r="K418" s="920"/>
      <c r="L418" s="26">
        <v>0</v>
      </c>
      <c r="M418" s="26">
        <f t="shared" si="78"/>
        <v>-128652468</v>
      </c>
      <c r="N418" s="26">
        <v>0</v>
      </c>
      <c r="O418" s="26">
        <v>0</v>
      </c>
      <c r="P418" s="26">
        <v>0</v>
      </c>
      <c r="Q418" s="26">
        <v>0</v>
      </c>
      <c r="R418" s="26">
        <v>0</v>
      </c>
      <c r="S418" s="26">
        <v>0</v>
      </c>
      <c r="T418" s="26">
        <v>0</v>
      </c>
      <c r="U418" s="26">
        <v>0</v>
      </c>
      <c r="V418" s="26">
        <v>0</v>
      </c>
      <c r="W418" s="26">
        <v>0</v>
      </c>
      <c r="X418" s="26">
        <v>0</v>
      </c>
      <c r="Y418" s="26">
        <v>0</v>
      </c>
      <c r="Z418" s="26">
        <v>0</v>
      </c>
      <c r="AA418" s="26">
        <f t="shared" si="73"/>
        <v>0</v>
      </c>
      <c r="AB418" s="107"/>
      <c r="AC418" s="107"/>
      <c r="AD418" s="107"/>
      <c r="AE418" s="107"/>
      <c r="AF418" s="107"/>
      <c r="AG418" s="107"/>
      <c r="AH418" s="107"/>
      <c r="AI418" s="107"/>
      <c r="AJ418" s="107"/>
      <c r="AK418" s="107"/>
      <c r="AL418" s="107"/>
      <c r="AM418" s="107"/>
      <c r="AN418" s="107"/>
      <c r="AO418" s="108"/>
      <c r="AP418" s="108"/>
      <c r="AQ418" s="108"/>
      <c r="AR418" s="108"/>
      <c r="AS418" s="108"/>
      <c r="AT418" s="108"/>
      <c r="AU418" s="108"/>
      <c r="AV418" s="108"/>
      <c r="AW418" s="108"/>
      <c r="AX418" s="108"/>
      <c r="AY418" s="108"/>
      <c r="AZ418" s="108"/>
      <c r="BA418" s="108"/>
      <c r="BB418" s="108"/>
    </row>
    <row r="419" spans="1:54" s="109" customFormat="1" ht="12" customHeight="1">
      <c r="A419" s="8">
        <v>5130207</v>
      </c>
      <c r="B419" s="8" t="s">
        <v>510</v>
      </c>
      <c r="C419" s="8"/>
      <c r="D419" s="92">
        <f>+VLOOKUP(A419,Clasificaciones!C:I,5,FALSE)</f>
        <v>162307818</v>
      </c>
      <c r="E419" s="92">
        <v>0</v>
      </c>
      <c r="F419" s="92">
        <v>0</v>
      </c>
      <c r="G419" s="92">
        <v>0</v>
      </c>
      <c r="H419" s="92">
        <f t="shared" si="64"/>
        <v>162307818</v>
      </c>
      <c r="I419" s="26">
        <v>0</v>
      </c>
      <c r="J419" s="26">
        <f>-H419</f>
        <v>-162307818</v>
      </c>
      <c r="K419" s="26">
        <v>0</v>
      </c>
      <c r="L419" s="26">
        <v>0</v>
      </c>
      <c r="M419" s="26">
        <v>0</v>
      </c>
      <c r="N419" s="26">
        <v>0</v>
      </c>
      <c r="O419" s="26">
        <v>0</v>
      </c>
      <c r="P419" s="26">
        <v>0</v>
      </c>
      <c r="Q419" s="26">
        <v>0</v>
      </c>
      <c r="R419" s="26">
        <v>0</v>
      </c>
      <c r="S419" s="26">
        <v>0</v>
      </c>
      <c r="T419" s="26">
        <v>0</v>
      </c>
      <c r="U419" s="26">
        <v>0</v>
      </c>
      <c r="V419" s="26">
        <v>0</v>
      </c>
      <c r="W419" s="26">
        <v>0</v>
      </c>
      <c r="X419" s="26">
        <v>0</v>
      </c>
      <c r="Y419" s="26">
        <v>0</v>
      </c>
      <c r="Z419" s="26">
        <v>0</v>
      </c>
      <c r="AA419" s="26">
        <f t="shared" si="73"/>
        <v>0</v>
      </c>
      <c r="AB419" s="107"/>
      <c r="AC419" s="107"/>
      <c r="AD419" s="107"/>
      <c r="AE419" s="107"/>
      <c r="AF419" s="107"/>
      <c r="AG419" s="107"/>
      <c r="AH419" s="107"/>
      <c r="AI419" s="107"/>
      <c r="AJ419" s="107"/>
      <c r="AK419" s="107"/>
      <c r="AL419" s="107"/>
      <c r="AM419" s="107"/>
      <c r="AN419" s="107"/>
      <c r="AO419" s="108"/>
      <c r="AP419" s="108"/>
      <c r="AQ419" s="108"/>
      <c r="AR419" s="108"/>
      <c r="AS419" s="108"/>
      <c r="AT419" s="108"/>
      <c r="AU419" s="108"/>
      <c r="AV419" s="108"/>
      <c r="AW419" s="108"/>
      <c r="AX419" s="108"/>
      <c r="AY419" s="108"/>
      <c r="AZ419" s="108"/>
      <c r="BA419" s="108"/>
      <c r="BB419" s="108"/>
    </row>
    <row r="420" spans="1:54" s="109" customFormat="1" ht="12" customHeight="1">
      <c r="A420" s="8">
        <v>51303</v>
      </c>
      <c r="B420" s="8" t="s">
        <v>200</v>
      </c>
      <c r="C420" s="8"/>
      <c r="D420" s="92">
        <f>+VLOOKUP(A420,Clasificaciones!C:I,5,FALSE)</f>
        <v>0</v>
      </c>
      <c r="E420" s="92">
        <v>0</v>
      </c>
      <c r="F420" s="92">
        <v>0</v>
      </c>
      <c r="G420" s="92">
        <v>0</v>
      </c>
      <c r="H420" s="92">
        <f t="shared" si="64"/>
        <v>0</v>
      </c>
      <c r="I420" s="26">
        <v>0</v>
      </c>
      <c r="J420" s="26">
        <v>0</v>
      </c>
      <c r="K420" s="26">
        <v>0</v>
      </c>
      <c r="L420" s="26">
        <v>0</v>
      </c>
      <c r="M420" s="26">
        <v>0</v>
      </c>
      <c r="N420" s="26">
        <v>0</v>
      </c>
      <c r="O420" s="26">
        <v>0</v>
      </c>
      <c r="P420" s="26">
        <v>0</v>
      </c>
      <c r="Q420" s="26">
        <v>0</v>
      </c>
      <c r="R420" s="26">
        <v>0</v>
      </c>
      <c r="S420" s="26">
        <v>0</v>
      </c>
      <c r="T420" s="26">
        <v>0</v>
      </c>
      <c r="U420" s="26">
        <v>0</v>
      </c>
      <c r="V420" s="26">
        <v>0</v>
      </c>
      <c r="W420" s="26">
        <v>0</v>
      </c>
      <c r="X420" s="26">
        <v>0</v>
      </c>
      <c r="Y420" s="26">
        <v>0</v>
      </c>
      <c r="Z420" s="26">
        <v>0</v>
      </c>
      <c r="AA420" s="26">
        <f t="shared" si="73"/>
        <v>0</v>
      </c>
      <c r="AB420" s="107"/>
      <c r="AC420" s="107"/>
      <c r="AD420" s="107"/>
      <c r="AE420" s="107"/>
      <c r="AF420" s="107"/>
      <c r="AG420" s="107"/>
      <c r="AH420" s="107"/>
      <c r="AI420" s="107"/>
      <c r="AJ420" s="107"/>
      <c r="AK420" s="107"/>
      <c r="AL420" s="107"/>
      <c r="AM420" s="107"/>
      <c r="AN420" s="107"/>
      <c r="AO420" s="108"/>
      <c r="AP420" s="108"/>
      <c r="AQ420" s="108"/>
      <c r="AR420" s="108"/>
      <c r="AS420" s="108"/>
      <c r="AT420" s="108"/>
      <c r="AU420" s="108"/>
      <c r="AV420" s="108"/>
      <c r="AW420" s="108"/>
      <c r="AX420" s="108"/>
      <c r="AY420" s="108"/>
      <c r="AZ420" s="108"/>
      <c r="BA420" s="108"/>
      <c r="BB420" s="108"/>
    </row>
    <row r="421" spans="1:54" s="109" customFormat="1" ht="12" customHeight="1">
      <c r="A421" s="918">
        <v>5130301</v>
      </c>
      <c r="B421" s="918" t="s">
        <v>342</v>
      </c>
      <c r="C421" s="8" t="str">
        <f>+VLOOKUP(A421,Clasificaciones!$C$4:$H$887,6,0)</f>
        <v>Servicios personales</v>
      </c>
      <c r="D421" s="919">
        <f>+VLOOKUP(A421,Clasificaciones!C:I,5,FALSE)</f>
        <v>635926380</v>
      </c>
      <c r="E421" s="919">
        <v>0</v>
      </c>
      <c r="F421" s="919">
        <v>0</v>
      </c>
      <c r="G421" s="919">
        <v>0</v>
      </c>
      <c r="H421" s="919">
        <f t="shared" si="64"/>
        <v>635926380</v>
      </c>
      <c r="I421" s="920">
        <v>0</v>
      </c>
      <c r="J421" s="920">
        <v>0</v>
      </c>
      <c r="K421" s="920"/>
      <c r="L421" s="26">
        <v>0</v>
      </c>
      <c r="M421" s="26">
        <f t="shared" ref="M421:M422" si="80">-H421</f>
        <v>-635926380</v>
      </c>
      <c r="N421" s="26">
        <v>0</v>
      </c>
      <c r="O421" s="26">
        <v>0</v>
      </c>
      <c r="P421" s="26">
        <v>0</v>
      </c>
      <c r="Q421" s="26">
        <v>0</v>
      </c>
      <c r="R421" s="26">
        <v>0</v>
      </c>
      <c r="S421" s="26">
        <v>0</v>
      </c>
      <c r="T421" s="26">
        <v>0</v>
      </c>
      <c r="U421" s="26">
        <v>0</v>
      </c>
      <c r="V421" s="26">
        <v>0</v>
      </c>
      <c r="W421" s="26">
        <v>0</v>
      </c>
      <c r="X421" s="26">
        <v>0</v>
      </c>
      <c r="Y421" s="26">
        <v>0</v>
      </c>
      <c r="Z421" s="26">
        <v>0</v>
      </c>
      <c r="AA421" s="26">
        <f t="shared" si="73"/>
        <v>0</v>
      </c>
      <c r="AB421" s="107"/>
      <c r="AC421" s="107"/>
      <c r="AD421" s="107"/>
      <c r="AE421" s="107"/>
      <c r="AF421" s="107"/>
      <c r="AG421" s="107"/>
      <c r="AH421" s="107"/>
      <c r="AI421" s="107"/>
      <c r="AJ421" s="107"/>
      <c r="AK421" s="107"/>
      <c r="AL421" s="107"/>
      <c r="AM421" s="107"/>
      <c r="AN421" s="107"/>
      <c r="AO421" s="108"/>
      <c r="AP421" s="108"/>
      <c r="AQ421" s="108"/>
      <c r="AR421" s="108"/>
      <c r="AS421" s="108"/>
      <c r="AT421" s="108"/>
      <c r="AU421" s="108"/>
      <c r="AV421" s="108"/>
      <c r="AW421" s="108"/>
      <c r="AX421" s="108"/>
      <c r="AY421" s="108"/>
      <c r="AZ421" s="108"/>
      <c r="BA421" s="108"/>
      <c r="BB421" s="108"/>
    </row>
    <row r="422" spans="1:54" s="109" customFormat="1" ht="12" customHeight="1">
      <c r="A422" s="918">
        <v>5130303</v>
      </c>
      <c r="B422" s="918" t="s">
        <v>932</v>
      </c>
      <c r="C422" s="8" t="str">
        <f>+VLOOKUP(A422,Clasificaciones!$C$4:$H$887,6,0)</f>
        <v>Servicios personales</v>
      </c>
      <c r="D422" s="919">
        <f>+VLOOKUP(A422,Clasificaciones!C:I,5,FALSE)</f>
        <v>40670370</v>
      </c>
      <c r="E422" s="919">
        <v>0</v>
      </c>
      <c r="F422" s="919">
        <v>0</v>
      </c>
      <c r="G422" s="919">
        <v>0</v>
      </c>
      <c r="H422" s="919">
        <f t="shared" si="64"/>
        <v>40670370</v>
      </c>
      <c r="I422" s="920">
        <v>0</v>
      </c>
      <c r="J422" s="920">
        <v>0</v>
      </c>
      <c r="K422" s="920"/>
      <c r="L422" s="26">
        <v>0</v>
      </c>
      <c r="M422" s="26">
        <f t="shared" si="80"/>
        <v>-40670370</v>
      </c>
      <c r="N422" s="26">
        <v>0</v>
      </c>
      <c r="O422" s="26">
        <v>0</v>
      </c>
      <c r="P422" s="26">
        <v>0</v>
      </c>
      <c r="Q422" s="26">
        <v>0</v>
      </c>
      <c r="R422" s="26">
        <v>0</v>
      </c>
      <c r="S422" s="26">
        <v>0</v>
      </c>
      <c r="T422" s="26">
        <v>0</v>
      </c>
      <c r="U422" s="26">
        <v>0</v>
      </c>
      <c r="V422" s="26">
        <v>0</v>
      </c>
      <c r="W422" s="26">
        <v>0</v>
      </c>
      <c r="X422" s="26">
        <v>0</v>
      </c>
      <c r="Y422" s="26">
        <v>0</v>
      </c>
      <c r="Z422" s="26">
        <v>0</v>
      </c>
      <c r="AA422" s="26">
        <f t="shared" si="73"/>
        <v>0</v>
      </c>
      <c r="AB422" s="107"/>
      <c r="AC422" s="107"/>
      <c r="AD422" s="107"/>
      <c r="AE422" s="107"/>
      <c r="AF422" s="107"/>
      <c r="AG422" s="107"/>
      <c r="AH422" s="107"/>
      <c r="AI422" s="107"/>
      <c r="AJ422" s="107"/>
      <c r="AK422" s="107"/>
      <c r="AL422" s="107"/>
      <c r="AM422" s="107"/>
      <c r="AN422" s="107"/>
      <c r="AO422" s="108"/>
      <c r="AP422" s="108"/>
      <c r="AQ422" s="108"/>
      <c r="AR422" s="108"/>
      <c r="AS422" s="108"/>
      <c r="AT422" s="108"/>
      <c r="AU422" s="108"/>
      <c r="AV422" s="108"/>
      <c r="AW422" s="108"/>
      <c r="AX422" s="108"/>
      <c r="AY422" s="108"/>
      <c r="AZ422" s="108"/>
      <c r="BA422" s="108"/>
      <c r="BB422" s="108"/>
    </row>
    <row r="423" spans="1:54" s="109" customFormat="1" ht="12" customHeight="1">
      <c r="A423" s="8">
        <v>5130304</v>
      </c>
      <c r="B423" s="8" t="s">
        <v>200</v>
      </c>
      <c r="C423" s="8"/>
      <c r="D423" s="92">
        <f>+VLOOKUP(A423,Clasificaciones!C:I,5,FALSE)</f>
        <v>218434941</v>
      </c>
      <c r="E423" s="92">
        <v>0</v>
      </c>
      <c r="F423" s="92">
        <v>0</v>
      </c>
      <c r="G423" s="92">
        <v>0</v>
      </c>
      <c r="H423" s="92">
        <f t="shared" si="64"/>
        <v>218434941</v>
      </c>
      <c r="I423" s="26">
        <v>0</v>
      </c>
      <c r="J423" s="26">
        <f>-H423</f>
        <v>-218434941</v>
      </c>
      <c r="K423" s="26">
        <v>0</v>
      </c>
      <c r="L423" s="26">
        <v>0</v>
      </c>
      <c r="M423" s="26">
        <v>0</v>
      </c>
      <c r="N423" s="26">
        <v>0</v>
      </c>
      <c r="O423" s="26">
        <v>0</v>
      </c>
      <c r="P423" s="26">
        <v>0</v>
      </c>
      <c r="Q423" s="26">
        <v>0</v>
      </c>
      <c r="R423" s="26">
        <v>0</v>
      </c>
      <c r="S423" s="26">
        <v>0</v>
      </c>
      <c r="T423" s="26">
        <v>0</v>
      </c>
      <c r="U423" s="26">
        <v>0</v>
      </c>
      <c r="V423" s="26">
        <v>0</v>
      </c>
      <c r="W423" s="26">
        <v>0</v>
      </c>
      <c r="X423" s="26">
        <v>0</v>
      </c>
      <c r="Y423" s="26">
        <v>0</v>
      </c>
      <c r="Z423" s="26">
        <v>0</v>
      </c>
      <c r="AA423" s="26">
        <f t="shared" si="73"/>
        <v>0</v>
      </c>
      <c r="AB423" s="107"/>
      <c r="AC423" s="107"/>
      <c r="AD423" s="107"/>
      <c r="AE423" s="107"/>
      <c r="AF423" s="107"/>
      <c r="AG423" s="107"/>
      <c r="AH423" s="107"/>
      <c r="AI423" s="107"/>
      <c r="AJ423" s="107"/>
      <c r="AK423" s="107"/>
      <c r="AL423" s="107"/>
      <c r="AM423" s="107"/>
      <c r="AN423" s="107"/>
      <c r="AO423" s="108"/>
      <c r="AP423" s="108"/>
      <c r="AQ423" s="108"/>
      <c r="AR423" s="108"/>
      <c r="AS423" s="108"/>
      <c r="AT423" s="108"/>
      <c r="AU423" s="108"/>
      <c r="AV423" s="108"/>
      <c r="AW423" s="108"/>
      <c r="AX423" s="108"/>
      <c r="AY423" s="108"/>
      <c r="AZ423" s="108"/>
      <c r="BA423" s="108"/>
      <c r="BB423" s="108"/>
    </row>
    <row r="424" spans="1:54" s="109" customFormat="1" ht="12" customHeight="1">
      <c r="A424" s="8">
        <v>51304</v>
      </c>
      <c r="B424" s="8" t="s">
        <v>234</v>
      </c>
      <c r="C424" s="8"/>
      <c r="D424" s="92">
        <f>+VLOOKUP(A424,Clasificaciones!C:I,5,FALSE)</f>
        <v>0</v>
      </c>
      <c r="E424" s="92">
        <v>0</v>
      </c>
      <c r="F424" s="92">
        <v>0</v>
      </c>
      <c r="G424" s="92">
        <v>0</v>
      </c>
      <c r="H424" s="92">
        <f t="shared" si="64"/>
        <v>0</v>
      </c>
      <c r="I424" s="26">
        <v>0</v>
      </c>
      <c r="J424" s="26">
        <v>0</v>
      </c>
      <c r="K424" s="26">
        <f t="shared" ref="K424:K431" si="81">-H424</f>
        <v>0</v>
      </c>
      <c r="L424" s="26">
        <v>0</v>
      </c>
      <c r="M424" s="26">
        <v>0</v>
      </c>
      <c r="N424" s="26">
        <v>0</v>
      </c>
      <c r="O424" s="26">
        <v>0</v>
      </c>
      <c r="P424" s="26">
        <v>0</v>
      </c>
      <c r="Q424" s="26">
        <v>0</v>
      </c>
      <c r="R424" s="26">
        <v>0</v>
      </c>
      <c r="S424" s="26">
        <v>0</v>
      </c>
      <c r="T424" s="26">
        <v>0</v>
      </c>
      <c r="U424" s="26">
        <v>0</v>
      </c>
      <c r="V424" s="26">
        <v>0</v>
      </c>
      <c r="W424" s="26">
        <v>0</v>
      </c>
      <c r="X424" s="26">
        <v>0</v>
      </c>
      <c r="Y424" s="26">
        <v>0</v>
      </c>
      <c r="Z424" s="26">
        <v>0</v>
      </c>
      <c r="AA424" s="26">
        <f t="shared" si="73"/>
        <v>0</v>
      </c>
      <c r="AB424" s="107"/>
      <c r="AC424" s="107"/>
      <c r="AD424" s="107"/>
      <c r="AE424" s="107"/>
      <c r="AF424" s="107"/>
      <c r="AG424" s="107"/>
      <c r="AH424" s="107"/>
      <c r="AI424" s="107"/>
      <c r="AJ424" s="107"/>
      <c r="AK424" s="107"/>
      <c r="AL424" s="107"/>
      <c r="AM424" s="107"/>
      <c r="AN424" s="107"/>
      <c r="AO424" s="108"/>
      <c r="AP424" s="108"/>
      <c r="AQ424" s="108"/>
      <c r="AR424" s="108"/>
      <c r="AS424" s="108"/>
      <c r="AT424" s="108"/>
      <c r="AU424" s="108"/>
      <c r="AV424" s="108"/>
      <c r="AW424" s="108"/>
      <c r="AX424" s="108"/>
      <c r="AY424" s="108"/>
      <c r="AZ424" s="108"/>
      <c r="BA424" s="108"/>
      <c r="BB424" s="108"/>
    </row>
    <row r="425" spans="1:54" s="109" customFormat="1" ht="12" customHeight="1">
      <c r="A425" s="8">
        <v>5130401</v>
      </c>
      <c r="B425" s="8" t="s">
        <v>1155</v>
      </c>
      <c r="C425" s="8"/>
      <c r="D425" s="92">
        <f>+VLOOKUP(A425,Clasificaciones!C:I,5,FALSE)</f>
        <v>44703500</v>
      </c>
      <c r="E425" s="92">
        <v>0</v>
      </c>
      <c r="F425" s="92">
        <v>0</v>
      </c>
      <c r="G425" s="92">
        <v>0</v>
      </c>
      <c r="H425" s="92">
        <f t="shared" si="64"/>
        <v>44703500</v>
      </c>
      <c r="I425" s="26">
        <v>0</v>
      </c>
      <c r="J425" s="26">
        <v>0</v>
      </c>
      <c r="K425" s="26">
        <v>0</v>
      </c>
      <c r="L425" s="26">
        <v>0</v>
      </c>
      <c r="M425" s="26">
        <f t="shared" ref="M425:M430" si="82">-H425</f>
        <v>-44703500</v>
      </c>
      <c r="N425" s="26">
        <v>0</v>
      </c>
      <c r="O425" s="26">
        <v>0</v>
      </c>
      <c r="P425" s="26">
        <v>0</v>
      </c>
      <c r="Q425" s="26">
        <v>0</v>
      </c>
      <c r="R425" s="26">
        <v>0</v>
      </c>
      <c r="S425" s="26">
        <v>0</v>
      </c>
      <c r="T425" s="26">
        <v>0</v>
      </c>
      <c r="U425" s="26">
        <v>0</v>
      </c>
      <c r="V425" s="26">
        <v>0</v>
      </c>
      <c r="W425" s="26">
        <v>0</v>
      </c>
      <c r="X425" s="26">
        <v>0</v>
      </c>
      <c r="Y425" s="26">
        <v>0</v>
      </c>
      <c r="Z425" s="26">
        <v>0</v>
      </c>
      <c r="AA425" s="26">
        <f t="shared" si="73"/>
        <v>0</v>
      </c>
      <c r="AB425" s="107"/>
      <c r="AC425" s="107"/>
      <c r="AD425" s="107"/>
      <c r="AE425" s="107"/>
      <c r="AF425" s="107"/>
      <c r="AG425" s="107"/>
      <c r="AH425" s="107"/>
      <c r="AI425" s="107"/>
      <c r="AJ425" s="107"/>
      <c r="AK425" s="107"/>
      <c r="AL425" s="107"/>
      <c r="AM425" s="107"/>
      <c r="AN425" s="107"/>
      <c r="AO425" s="108"/>
      <c r="AP425" s="108"/>
      <c r="AQ425" s="108"/>
      <c r="AR425" s="108"/>
      <c r="AS425" s="108"/>
      <c r="AT425" s="108"/>
      <c r="AU425" s="108"/>
      <c r="AV425" s="108"/>
      <c r="AW425" s="108"/>
      <c r="AX425" s="108"/>
      <c r="AY425" s="108"/>
      <c r="AZ425" s="108"/>
      <c r="BA425" s="108"/>
      <c r="BB425" s="108"/>
    </row>
    <row r="426" spans="1:54" s="109" customFormat="1" ht="12" customHeight="1">
      <c r="A426" s="8">
        <v>5130402</v>
      </c>
      <c r="B426" s="8" t="s">
        <v>217</v>
      </c>
      <c r="C426" s="8"/>
      <c r="D426" s="92">
        <f>+VLOOKUP(A426,Clasificaciones!C:I,5,FALSE)</f>
        <v>327379495</v>
      </c>
      <c r="E426" s="92">
        <v>0</v>
      </c>
      <c r="F426" s="92">
        <v>0</v>
      </c>
      <c r="G426" s="92">
        <v>0</v>
      </c>
      <c r="H426" s="92">
        <f t="shared" si="64"/>
        <v>327379495</v>
      </c>
      <c r="I426" s="26">
        <v>0</v>
      </c>
      <c r="J426" s="26">
        <v>0</v>
      </c>
      <c r="K426" s="26">
        <v>0</v>
      </c>
      <c r="L426" s="26">
        <v>0</v>
      </c>
      <c r="M426" s="26">
        <f t="shared" si="82"/>
        <v>-327379495</v>
      </c>
      <c r="N426" s="26">
        <v>0</v>
      </c>
      <c r="O426" s="26">
        <v>0</v>
      </c>
      <c r="P426" s="26">
        <v>0</v>
      </c>
      <c r="Q426" s="26">
        <v>0</v>
      </c>
      <c r="R426" s="26">
        <v>0</v>
      </c>
      <c r="S426" s="26">
        <v>0</v>
      </c>
      <c r="T426" s="26">
        <v>0</v>
      </c>
      <c r="U426" s="26">
        <v>0</v>
      </c>
      <c r="V426" s="26">
        <v>0</v>
      </c>
      <c r="W426" s="26">
        <v>0</v>
      </c>
      <c r="X426" s="26">
        <v>0</v>
      </c>
      <c r="Y426" s="26">
        <v>0</v>
      </c>
      <c r="Z426" s="26">
        <v>0</v>
      </c>
      <c r="AA426" s="26">
        <f t="shared" si="73"/>
        <v>0</v>
      </c>
      <c r="AB426" s="107"/>
      <c r="AC426" s="107"/>
      <c r="AD426" s="107"/>
      <c r="AE426" s="107"/>
      <c r="AF426" s="107"/>
      <c r="AG426" s="107"/>
      <c r="AH426" s="107"/>
      <c r="AI426" s="107"/>
      <c r="AJ426" s="107"/>
      <c r="AK426" s="107"/>
      <c r="AL426" s="107"/>
      <c r="AM426" s="107"/>
      <c r="AN426" s="107"/>
      <c r="AO426" s="108"/>
      <c r="AP426" s="108"/>
      <c r="AQ426" s="108"/>
      <c r="AR426" s="108"/>
      <c r="AS426" s="108"/>
      <c r="AT426" s="108"/>
      <c r="AU426" s="108"/>
      <c r="AV426" s="108"/>
      <c r="AW426" s="108"/>
      <c r="AX426" s="108"/>
      <c r="AY426" s="108"/>
      <c r="AZ426" s="108"/>
      <c r="BA426" s="108"/>
      <c r="BB426" s="108"/>
    </row>
    <row r="427" spans="1:54" s="109" customFormat="1" ht="12" customHeight="1">
      <c r="A427" s="8">
        <v>5130403</v>
      </c>
      <c r="B427" s="8" t="s">
        <v>1371</v>
      </c>
      <c r="C427" s="8"/>
      <c r="D427" s="92">
        <f>+VLOOKUP(A427,Clasificaciones!C:I,5,FALSE)</f>
        <v>10272727</v>
      </c>
      <c r="E427" s="92">
        <v>0</v>
      </c>
      <c r="F427" s="92">
        <v>0</v>
      </c>
      <c r="G427" s="92">
        <v>0</v>
      </c>
      <c r="H427" s="92">
        <f t="shared" si="64"/>
        <v>10272727</v>
      </c>
      <c r="I427" s="26">
        <v>0</v>
      </c>
      <c r="J427" s="26">
        <v>0</v>
      </c>
      <c r="K427" s="26">
        <v>0</v>
      </c>
      <c r="L427" s="26">
        <v>0</v>
      </c>
      <c r="M427" s="26">
        <f t="shared" si="82"/>
        <v>-10272727</v>
      </c>
      <c r="N427" s="26">
        <v>0</v>
      </c>
      <c r="O427" s="26">
        <v>0</v>
      </c>
      <c r="P427" s="26">
        <v>0</v>
      </c>
      <c r="Q427" s="26">
        <v>0</v>
      </c>
      <c r="R427" s="26">
        <v>0</v>
      </c>
      <c r="S427" s="26">
        <v>0</v>
      </c>
      <c r="T427" s="26">
        <v>0</v>
      </c>
      <c r="U427" s="26">
        <v>0</v>
      </c>
      <c r="V427" s="26">
        <v>0</v>
      </c>
      <c r="W427" s="26">
        <v>0</v>
      </c>
      <c r="X427" s="26">
        <v>0</v>
      </c>
      <c r="Y427" s="26">
        <v>0</v>
      </c>
      <c r="Z427" s="26">
        <v>0</v>
      </c>
      <c r="AA427" s="26">
        <f t="shared" si="73"/>
        <v>0</v>
      </c>
      <c r="AB427" s="107"/>
      <c r="AC427" s="107"/>
      <c r="AD427" s="107"/>
      <c r="AE427" s="107"/>
      <c r="AF427" s="107"/>
      <c r="AG427" s="107"/>
      <c r="AH427" s="107"/>
      <c r="AI427" s="107"/>
      <c r="AJ427" s="107"/>
      <c r="AK427" s="107"/>
      <c r="AL427" s="107"/>
      <c r="AM427" s="107"/>
      <c r="AN427" s="107"/>
      <c r="AO427" s="108"/>
      <c r="AP427" s="108"/>
      <c r="AQ427" s="108"/>
      <c r="AR427" s="108"/>
      <c r="AS427" s="108"/>
      <c r="AT427" s="108"/>
      <c r="AU427" s="108"/>
      <c r="AV427" s="108"/>
      <c r="AW427" s="108"/>
      <c r="AX427" s="108"/>
      <c r="AY427" s="108"/>
      <c r="AZ427" s="108"/>
      <c r="BA427" s="108"/>
      <c r="BB427" s="108"/>
    </row>
    <row r="428" spans="1:54" s="109" customFormat="1" ht="12" customHeight="1">
      <c r="A428" s="8">
        <v>5130404</v>
      </c>
      <c r="B428" s="8" t="s">
        <v>933</v>
      </c>
      <c r="C428" s="8"/>
      <c r="D428" s="92">
        <f>+VLOOKUP(A428,Clasificaciones!C:I,5,FALSE)</f>
        <v>38216035</v>
      </c>
      <c r="E428" s="92">
        <v>0</v>
      </c>
      <c r="F428" s="92">
        <v>0</v>
      </c>
      <c r="G428" s="92">
        <v>0</v>
      </c>
      <c r="H428" s="92">
        <f t="shared" si="64"/>
        <v>38216035</v>
      </c>
      <c r="I428" s="26">
        <v>0</v>
      </c>
      <c r="J428" s="26">
        <v>0</v>
      </c>
      <c r="K428" s="26">
        <v>0</v>
      </c>
      <c r="L428" s="26">
        <v>0</v>
      </c>
      <c r="M428" s="26">
        <f t="shared" si="82"/>
        <v>-38216035</v>
      </c>
      <c r="N428" s="26">
        <v>0</v>
      </c>
      <c r="O428" s="26">
        <v>0</v>
      </c>
      <c r="P428" s="26">
        <v>0</v>
      </c>
      <c r="Q428" s="26">
        <v>0</v>
      </c>
      <c r="R428" s="26">
        <v>0</v>
      </c>
      <c r="S428" s="26">
        <v>0</v>
      </c>
      <c r="T428" s="26">
        <v>0</v>
      </c>
      <c r="U428" s="26">
        <v>0</v>
      </c>
      <c r="V428" s="26">
        <v>0</v>
      </c>
      <c r="W428" s="26">
        <v>0</v>
      </c>
      <c r="X428" s="26">
        <v>0</v>
      </c>
      <c r="Y428" s="26">
        <v>0</v>
      </c>
      <c r="Z428" s="26">
        <v>0</v>
      </c>
      <c r="AA428" s="26">
        <f t="shared" si="73"/>
        <v>0</v>
      </c>
      <c r="AB428" s="107"/>
      <c r="AC428" s="107"/>
      <c r="AD428" s="107"/>
      <c r="AE428" s="107"/>
      <c r="AF428" s="107"/>
      <c r="AG428" s="107"/>
      <c r="AH428" s="107"/>
      <c r="AI428" s="107"/>
      <c r="AJ428" s="107"/>
      <c r="AK428" s="107"/>
      <c r="AL428" s="107"/>
      <c r="AM428" s="107"/>
      <c r="AN428" s="107"/>
      <c r="AO428" s="108"/>
      <c r="AP428" s="108"/>
      <c r="AQ428" s="108"/>
      <c r="AR428" s="108"/>
      <c r="AS428" s="108"/>
      <c r="AT428" s="108"/>
      <c r="AU428" s="108"/>
      <c r="AV428" s="108"/>
      <c r="AW428" s="108"/>
      <c r="AX428" s="108"/>
      <c r="AY428" s="108"/>
      <c r="AZ428" s="108"/>
      <c r="BA428" s="108"/>
      <c r="BB428" s="108"/>
    </row>
    <row r="429" spans="1:54" s="109" customFormat="1" ht="12" customHeight="1">
      <c r="A429" s="8">
        <v>5130405</v>
      </c>
      <c r="B429" s="8" t="s">
        <v>934</v>
      </c>
      <c r="C429" s="8"/>
      <c r="D429" s="92">
        <f>+VLOOKUP(A429,Clasificaciones!C:I,5,FALSE)</f>
        <v>388197452</v>
      </c>
      <c r="E429" s="92">
        <v>0</v>
      </c>
      <c r="F429" s="92">
        <v>0</v>
      </c>
      <c r="G429" s="92">
        <v>0</v>
      </c>
      <c r="H429" s="92">
        <f t="shared" si="64"/>
        <v>388197452</v>
      </c>
      <c r="I429" s="26">
        <v>0</v>
      </c>
      <c r="J429" s="26">
        <v>0</v>
      </c>
      <c r="K429" s="26">
        <v>0</v>
      </c>
      <c r="L429" s="26">
        <v>0</v>
      </c>
      <c r="M429" s="26">
        <f t="shared" si="82"/>
        <v>-388197452</v>
      </c>
      <c r="N429" s="26">
        <v>0</v>
      </c>
      <c r="O429" s="26">
        <v>0</v>
      </c>
      <c r="P429" s="26">
        <v>0</v>
      </c>
      <c r="Q429" s="26">
        <v>0</v>
      </c>
      <c r="R429" s="26">
        <v>0</v>
      </c>
      <c r="S429" s="26">
        <v>0</v>
      </c>
      <c r="T429" s="26">
        <v>0</v>
      </c>
      <c r="U429" s="26">
        <v>0</v>
      </c>
      <c r="V429" s="26">
        <v>0</v>
      </c>
      <c r="W429" s="26">
        <v>0</v>
      </c>
      <c r="X429" s="26">
        <v>0</v>
      </c>
      <c r="Y429" s="26">
        <v>0</v>
      </c>
      <c r="Z429" s="26">
        <v>0</v>
      </c>
      <c r="AA429" s="26">
        <f t="shared" si="73"/>
        <v>0</v>
      </c>
      <c r="AB429" s="107"/>
      <c r="AC429" s="107"/>
      <c r="AD429" s="107"/>
      <c r="AE429" s="107"/>
      <c r="AF429" s="107"/>
      <c r="AG429" s="107"/>
      <c r="AH429" s="107"/>
      <c r="AI429" s="107"/>
      <c r="AJ429" s="107"/>
      <c r="AK429" s="107"/>
      <c r="AL429" s="107"/>
      <c r="AM429" s="107"/>
      <c r="AN429" s="107"/>
      <c r="AO429" s="108"/>
      <c r="AP429" s="108"/>
      <c r="AQ429" s="108"/>
      <c r="AR429" s="108"/>
      <c r="AS429" s="108"/>
      <c r="AT429" s="108"/>
      <c r="AU429" s="108"/>
      <c r="AV429" s="108"/>
      <c r="AW429" s="108"/>
      <c r="AX429" s="108"/>
      <c r="AY429" s="108"/>
      <c r="AZ429" s="108"/>
      <c r="BA429" s="108"/>
      <c r="BB429" s="108"/>
    </row>
    <row r="430" spans="1:54" s="109" customFormat="1" ht="12" customHeight="1">
      <c r="A430" s="8">
        <v>5130407</v>
      </c>
      <c r="B430" s="8" t="s">
        <v>1372</v>
      </c>
      <c r="C430" s="8"/>
      <c r="D430" s="92">
        <f>+VLOOKUP(A430,Clasificaciones!C:I,5,FALSE)</f>
        <v>20755777</v>
      </c>
      <c r="E430" s="92">
        <v>0</v>
      </c>
      <c r="F430" s="177">
        <f>+E255</f>
        <v>2899473</v>
      </c>
      <c r="G430" s="92">
        <v>0</v>
      </c>
      <c r="H430" s="92">
        <f t="shared" si="64"/>
        <v>17856304</v>
      </c>
      <c r="I430" s="26">
        <v>0</v>
      </c>
      <c r="J430" s="26">
        <v>0</v>
      </c>
      <c r="K430" s="26">
        <v>0</v>
      </c>
      <c r="L430" s="26">
        <v>0</v>
      </c>
      <c r="M430" s="26">
        <f t="shared" si="82"/>
        <v>-17856304</v>
      </c>
      <c r="N430" s="26">
        <v>0</v>
      </c>
      <c r="O430" s="26">
        <v>0</v>
      </c>
      <c r="P430" s="26">
        <v>0</v>
      </c>
      <c r="Q430" s="26">
        <v>0</v>
      </c>
      <c r="R430" s="26">
        <v>0</v>
      </c>
      <c r="S430" s="26">
        <v>0</v>
      </c>
      <c r="T430" s="26">
        <v>0</v>
      </c>
      <c r="U430" s="26">
        <v>0</v>
      </c>
      <c r="V430" s="26">
        <v>0</v>
      </c>
      <c r="W430" s="26">
        <v>0</v>
      </c>
      <c r="X430" s="26">
        <v>0</v>
      </c>
      <c r="Y430" s="26">
        <v>0</v>
      </c>
      <c r="Z430" s="26">
        <v>0</v>
      </c>
      <c r="AA430" s="26">
        <f t="shared" si="73"/>
        <v>0</v>
      </c>
      <c r="AB430" s="107"/>
      <c r="AC430" s="107"/>
      <c r="AD430" s="107"/>
      <c r="AE430" s="107"/>
      <c r="AF430" s="107"/>
      <c r="AG430" s="107"/>
      <c r="AH430" s="107"/>
      <c r="AI430" s="107"/>
      <c r="AJ430" s="107"/>
      <c r="AK430" s="107"/>
      <c r="AL430" s="107"/>
      <c r="AM430" s="107"/>
      <c r="AN430" s="107"/>
      <c r="AO430" s="108"/>
      <c r="AP430" s="108"/>
      <c r="AQ430" s="108"/>
      <c r="AR430" s="108"/>
      <c r="AS430" s="108"/>
      <c r="AT430" s="108"/>
      <c r="AU430" s="108"/>
      <c r="AV430" s="108"/>
      <c r="AW430" s="108"/>
      <c r="AX430" s="108"/>
      <c r="AY430" s="108"/>
      <c r="AZ430" s="108"/>
      <c r="BA430" s="108"/>
      <c r="BB430" s="108"/>
    </row>
    <row r="431" spans="1:54" s="109" customFormat="1" ht="12" customHeight="1">
      <c r="A431" s="8">
        <v>51305</v>
      </c>
      <c r="B431" s="8" t="s">
        <v>936</v>
      </c>
      <c r="C431" s="8"/>
      <c r="D431" s="92">
        <f>+VLOOKUP(A431,Clasificaciones!C:I,5,FALSE)</f>
        <v>0</v>
      </c>
      <c r="E431" s="92">
        <v>0</v>
      </c>
      <c r="F431" s="92">
        <v>0</v>
      </c>
      <c r="G431" s="92">
        <v>0</v>
      </c>
      <c r="H431" s="92">
        <f t="shared" si="64"/>
        <v>0</v>
      </c>
      <c r="I431" s="26">
        <v>0</v>
      </c>
      <c r="J431" s="26">
        <v>0</v>
      </c>
      <c r="K431" s="26">
        <f t="shared" si="81"/>
        <v>0</v>
      </c>
      <c r="L431" s="26">
        <v>0</v>
      </c>
      <c r="M431" s="26">
        <v>0</v>
      </c>
      <c r="N431" s="26">
        <v>0</v>
      </c>
      <c r="O431" s="26">
        <v>0</v>
      </c>
      <c r="P431" s="26">
        <v>0</v>
      </c>
      <c r="Q431" s="26">
        <v>0</v>
      </c>
      <c r="R431" s="26">
        <v>0</v>
      </c>
      <c r="S431" s="26">
        <v>0</v>
      </c>
      <c r="T431" s="26">
        <v>0</v>
      </c>
      <c r="U431" s="26">
        <v>0</v>
      </c>
      <c r="V431" s="26">
        <v>0</v>
      </c>
      <c r="W431" s="26">
        <v>0</v>
      </c>
      <c r="X431" s="26">
        <v>0</v>
      </c>
      <c r="Y431" s="26">
        <v>0</v>
      </c>
      <c r="Z431" s="26">
        <v>0</v>
      </c>
      <c r="AA431" s="26">
        <f t="shared" si="73"/>
        <v>0</v>
      </c>
      <c r="AB431" s="107"/>
      <c r="AC431" s="107"/>
      <c r="AD431" s="107"/>
      <c r="AE431" s="107"/>
      <c r="AF431" s="107"/>
      <c r="AG431" s="107"/>
      <c r="AH431" s="107"/>
      <c r="AI431" s="107"/>
      <c r="AJ431" s="107"/>
      <c r="AK431" s="107"/>
      <c r="AL431" s="107"/>
      <c r="AM431" s="107"/>
      <c r="AN431" s="107"/>
      <c r="AO431" s="108"/>
      <c r="AP431" s="108"/>
      <c r="AQ431" s="108"/>
      <c r="AR431" s="108"/>
      <c r="AS431" s="108"/>
      <c r="AT431" s="108"/>
      <c r="AU431" s="108"/>
      <c r="AV431" s="108"/>
      <c r="AW431" s="108"/>
      <c r="AX431" s="108"/>
      <c r="AY431" s="108"/>
      <c r="AZ431" s="108"/>
      <c r="BA431" s="108"/>
      <c r="BB431" s="108"/>
    </row>
    <row r="432" spans="1:54" s="109" customFormat="1" ht="12" customHeight="1">
      <c r="A432" s="8">
        <v>5130501</v>
      </c>
      <c r="B432" s="8" t="s">
        <v>937</v>
      </c>
      <c r="C432" s="8"/>
      <c r="D432" s="92">
        <f>+VLOOKUP(A432,Clasificaciones!C:I,5,FALSE)</f>
        <v>0</v>
      </c>
      <c r="E432" s="92">
        <v>0</v>
      </c>
      <c r="F432" s="92">
        <v>0</v>
      </c>
      <c r="G432" s="92">
        <v>0</v>
      </c>
      <c r="H432" s="92">
        <f t="shared" si="64"/>
        <v>0</v>
      </c>
      <c r="I432" s="26">
        <v>0</v>
      </c>
      <c r="J432" s="26">
        <v>0</v>
      </c>
      <c r="K432" s="26">
        <v>0</v>
      </c>
      <c r="L432" s="26">
        <v>0</v>
      </c>
      <c r="M432" s="26">
        <v>0</v>
      </c>
      <c r="N432" s="26">
        <v>0</v>
      </c>
      <c r="O432" s="26">
        <v>0</v>
      </c>
      <c r="P432" s="26">
        <v>0</v>
      </c>
      <c r="Q432" s="26">
        <v>0</v>
      </c>
      <c r="R432" s="26">
        <v>0</v>
      </c>
      <c r="S432" s="26">
        <v>0</v>
      </c>
      <c r="T432" s="26">
        <v>0</v>
      </c>
      <c r="U432" s="26">
        <v>0</v>
      </c>
      <c r="V432" s="26">
        <v>0</v>
      </c>
      <c r="W432" s="26">
        <v>0</v>
      </c>
      <c r="X432" s="26">
        <v>0</v>
      </c>
      <c r="Y432" s="26">
        <v>0</v>
      </c>
      <c r="Z432" s="26">
        <v>0</v>
      </c>
      <c r="AA432" s="26">
        <f t="shared" si="73"/>
        <v>0</v>
      </c>
      <c r="AB432" s="107"/>
      <c r="AC432" s="107"/>
      <c r="AD432" s="107"/>
      <c r="AE432" s="107"/>
      <c r="AF432" s="107"/>
      <c r="AG432" s="107"/>
      <c r="AH432" s="107"/>
      <c r="AI432" s="107"/>
      <c r="AJ432" s="107"/>
      <c r="AK432" s="107"/>
      <c r="AL432" s="107"/>
      <c r="AM432" s="107"/>
      <c r="AN432" s="107"/>
      <c r="AO432" s="108"/>
      <c r="AP432" s="108"/>
      <c r="AQ432" s="108"/>
      <c r="AR432" s="108"/>
      <c r="AS432" s="108"/>
      <c r="AT432" s="108"/>
      <c r="AU432" s="108"/>
      <c r="AV432" s="108"/>
      <c r="AW432" s="108"/>
      <c r="AX432" s="108"/>
      <c r="AY432" s="108"/>
      <c r="AZ432" s="108"/>
      <c r="BA432" s="108"/>
      <c r="BB432" s="108"/>
    </row>
    <row r="433" spans="1:54" s="109" customFormat="1" ht="12" customHeight="1">
      <c r="A433" s="8">
        <v>513050101</v>
      </c>
      <c r="B433" s="8" t="s">
        <v>938</v>
      </c>
      <c r="C433" s="8"/>
      <c r="D433" s="92">
        <f>+VLOOKUP(A433,Clasificaciones!C:I,5,FALSE)</f>
        <v>588477</v>
      </c>
      <c r="E433" s="92">
        <v>0</v>
      </c>
      <c r="F433" s="177">
        <f>+D433</f>
        <v>588477</v>
      </c>
      <c r="G433" s="92">
        <v>0</v>
      </c>
      <c r="H433" s="92">
        <f t="shared" si="64"/>
        <v>0</v>
      </c>
      <c r="I433" s="26">
        <v>0</v>
      </c>
      <c r="J433" s="26">
        <v>0</v>
      </c>
      <c r="K433" s="26">
        <f>-H433</f>
        <v>0</v>
      </c>
      <c r="L433" s="26">
        <v>0</v>
      </c>
      <c r="M433" s="26">
        <v>0</v>
      </c>
      <c r="N433" s="26">
        <v>0</v>
      </c>
      <c r="O433" s="26">
        <v>0</v>
      </c>
      <c r="P433" s="26">
        <v>0</v>
      </c>
      <c r="Q433" s="26">
        <v>0</v>
      </c>
      <c r="R433" s="26">
        <v>0</v>
      </c>
      <c r="S433" s="26">
        <v>0</v>
      </c>
      <c r="T433" s="26">
        <v>0</v>
      </c>
      <c r="U433" s="26">
        <v>0</v>
      </c>
      <c r="V433" s="26">
        <v>0</v>
      </c>
      <c r="W433" s="26">
        <v>0</v>
      </c>
      <c r="X433" s="26">
        <v>0</v>
      </c>
      <c r="Y433" s="26">
        <v>0</v>
      </c>
      <c r="Z433" s="26">
        <v>0</v>
      </c>
      <c r="AA433" s="26">
        <f t="shared" si="73"/>
        <v>0</v>
      </c>
      <c r="AB433" s="107"/>
      <c r="AC433" s="107"/>
      <c r="AD433" s="107"/>
      <c r="AE433" s="107"/>
      <c r="AF433" s="107"/>
      <c r="AG433" s="107"/>
      <c r="AH433" s="107"/>
      <c r="AI433" s="107"/>
      <c r="AJ433" s="107"/>
      <c r="AK433" s="107"/>
      <c r="AL433" s="107"/>
      <c r="AM433" s="107"/>
      <c r="AN433" s="107"/>
      <c r="AO433" s="108"/>
      <c r="AP433" s="108"/>
      <c r="AQ433" s="108"/>
      <c r="AR433" s="108"/>
      <c r="AS433" s="108"/>
      <c r="AT433" s="108"/>
      <c r="AU433" s="108"/>
      <c r="AV433" s="108"/>
      <c r="AW433" s="108"/>
      <c r="AX433" s="108"/>
      <c r="AY433" s="108"/>
      <c r="AZ433" s="108"/>
      <c r="BA433" s="108"/>
      <c r="BB433" s="108"/>
    </row>
    <row r="434" spans="1:54" s="109" customFormat="1" ht="12" customHeight="1">
      <c r="A434" s="8">
        <v>513050103</v>
      </c>
      <c r="B434" s="8" t="s">
        <v>939</v>
      </c>
      <c r="C434" s="8"/>
      <c r="D434" s="92">
        <f>+VLOOKUP(A434,Clasificaciones!C:I,5,FALSE)</f>
        <v>5479087</v>
      </c>
      <c r="E434" s="92">
        <v>0</v>
      </c>
      <c r="F434" s="177">
        <f>+D434</f>
        <v>5479087</v>
      </c>
      <c r="G434" s="92">
        <v>0</v>
      </c>
      <c r="H434" s="92">
        <f t="shared" ref="H434:H486" si="83">+D434-G434+E434-F434</f>
        <v>0</v>
      </c>
      <c r="I434" s="26">
        <v>0</v>
      </c>
      <c r="J434" s="26">
        <v>0</v>
      </c>
      <c r="K434" s="26">
        <v>0</v>
      </c>
      <c r="L434" s="26">
        <v>0</v>
      </c>
      <c r="M434" s="26">
        <v>0</v>
      </c>
      <c r="N434" s="26">
        <v>0</v>
      </c>
      <c r="O434" s="26">
        <v>0</v>
      </c>
      <c r="P434" s="26">
        <v>0</v>
      </c>
      <c r="Q434" s="26">
        <v>0</v>
      </c>
      <c r="R434" s="26">
        <v>0</v>
      </c>
      <c r="S434" s="26">
        <v>0</v>
      </c>
      <c r="T434" s="26">
        <v>0</v>
      </c>
      <c r="U434" s="26">
        <v>0</v>
      </c>
      <c r="V434" s="26">
        <v>0</v>
      </c>
      <c r="W434" s="26">
        <v>0</v>
      </c>
      <c r="X434" s="26">
        <v>0</v>
      </c>
      <c r="Y434" s="26">
        <v>0</v>
      </c>
      <c r="Z434" s="26">
        <v>0</v>
      </c>
      <c r="AA434" s="26">
        <f t="shared" si="73"/>
        <v>0</v>
      </c>
      <c r="AB434" s="107"/>
      <c r="AC434" s="107"/>
      <c r="AD434" s="107"/>
      <c r="AE434" s="107"/>
      <c r="AF434" s="107"/>
      <c r="AG434" s="107"/>
      <c r="AH434" s="107"/>
      <c r="AI434" s="107"/>
      <c r="AJ434" s="107"/>
      <c r="AK434" s="107"/>
      <c r="AL434" s="107"/>
      <c r="AM434" s="107"/>
      <c r="AN434" s="107"/>
      <c r="AO434" s="108"/>
      <c r="AP434" s="108"/>
      <c r="AQ434" s="108"/>
      <c r="AR434" s="108"/>
      <c r="AS434" s="108"/>
      <c r="AT434" s="108"/>
      <c r="AU434" s="108"/>
      <c r="AV434" s="108"/>
      <c r="AW434" s="108"/>
      <c r="AX434" s="108"/>
      <c r="AY434" s="108"/>
      <c r="AZ434" s="108"/>
      <c r="BA434" s="108"/>
      <c r="BB434" s="108"/>
    </row>
    <row r="435" spans="1:54" s="109" customFormat="1" ht="12" customHeight="1">
      <c r="A435" s="8">
        <v>5130502</v>
      </c>
      <c r="B435" s="8" t="s">
        <v>940</v>
      </c>
      <c r="C435" s="8"/>
      <c r="D435" s="92">
        <f>+VLOOKUP(A435,Clasificaciones!C:I,5,FALSE)</f>
        <v>0</v>
      </c>
      <c r="E435" s="92">
        <v>0</v>
      </c>
      <c r="F435" s="92">
        <v>0</v>
      </c>
      <c r="G435" s="92">
        <v>0</v>
      </c>
      <c r="H435" s="92">
        <f t="shared" si="83"/>
        <v>0</v>
      </c>
      <c r="I435" s="26">
        <v>0</v>
      </c>
      <c r="J435" s="26">
        <v>0</v>
      </c>
      <c r="K435" s="26">
        <v>0</v>
      </c>
      <c r="L435" s="26">
        <v>0</v>
      </c>
      <c r="M435" s="26">
        <v>0</v>
      </c>
      <c r="N435" s="26">
        <v>0</v>
      </c>
      <c r="O435" s="26">
        <v>0</v>
      </c>
      <c r="P435" s="26">
        <v>0</v>
      </c>
      <c r="Q435" s="26">
        <v>0</v>
      </c>
      <c r="R435" s="26">
        <v>0</v>
      </c>
      <c r="S435" s="26">
        <v>0</v>
      </c>
      <c r="T435" s="26">
        <v>0</v>
      </c>
      <c r="U435" s="26">
        <v>0</v>
      </c>
      <c r="V435" s="26">
        <v>0</v>
      </c>
      <c r="W435" s="26">
        <v>0</v>
      </c>
      <c r="X435" s="26">
        <v>0</v>
      </c>
      <c r="Y435" s="26">
        <f>-H435</f>
        <v>0</v>
      </c>
      <c r="Z435" s="26">
        <v>0</v>
      </c>
      <c r="AA435" s="26">
        <f t="shared" si="73"/>
        <v>0</v>
      </c>
      <c r="AB435" s="107"/>
      <c r="AC435" s="107"/>
      <c r="AD435" s="107"/>
      <c r="AE435" s="107"/>
      <c r="AF435" s="107"/>
      <c r="AG435" s="107"/>
      <c r="AH435" s="107"/>
      <c r="AI435" s="107"/>
      <c r="AJ435" s="107"/>
      <c r="AK435" s="107"/>
      <c r="AL435" s="107"/>
      <c r="AM435" s="107"/>
      <c r="AN435" s="107"/>
      <c r="AO435" s="108"/>
      <c r="AP435" s="108"/>
      <c r="AQ435" s="108"/>
      <c r="AR435" s="108"/>
      <c r="AS435" s="108"/>
      <c r="AT435" s="108"/>
      <c r="AU435" s="108"/>
      <c r="AV435" s="108"/>
      <c r="AW435" s="108"/>
      <c r="AX435" s="108"/>
      <c r="AY435" s="108"/>
      <c r="AZ435" s="108"/>
      <c r="BA435" s="108"/>
      <c r="BB435" s="108"/>
    </row>
    <row r="436" spans="1:54" s="109" customFormat="1" ht="12" customHeight="1">
      <c r="A436" s="8">
        <v>513050201</v>
      </c>
      <c r="B436" s="8" t="s">
        <v>941</v>
      </c>
      <c r="C436" s="8"/>
      <c r="D436" s="92">
        <f>+VLOOKUP(A436,Clasificaciones!C:I,5,FALSE)</f>
        <v>7235861</v>
      </c>
      <c r="E436" s="92">
        <v>0</v>
      </c>
      <c r="F436" s="177">
        <f>+D436</f>
        <v>7235861</v>
      </c>
      <c r="G436" s="92">
        <v>0</v>
      </c>
      <c r="H436" s="92">
        <f t="shared" si="83"/>
        <v>0</v>
      </c>
      <c r="I436" s="26">
        <v>0</v>
      </c>
      <c r="J436" s="26">
        <v>0</v>
      </c>
      <c r="K436" s="26">
        <f>-H436</f>
        <v>0</v>
      </c>
      <c r="L436" s="26">
        <v>0</v>
      </c>
      <c r="M436" s="26">
        <v>0</v>
      </c>
      <c r="N436" s="26">
        <v>0</v>
      </c>
      <c r="O436" s="26">
        <v>0</v>
      </c>
      <c r="P436" s="26">
        <v>0</v>
      </c>
      <c r="Q436" s="26">
        <v>0</v>
      </c>
      <c r="R436" s="26">
        <v>0</v>
      </c>
      <c r="S436" s="26">
        <v>0</v>
      </c>
      <c r="T436" s="26">
        <v>0</v>
      </c>
      <c r="U436" s="26">
        <v>0</v>
      </c>
      <c r="V436" s="26">
        <v>0</v>
      </c>
      <c r="W436" s="26">
        <v>0</v>
      </c>
      <c r="X436" s="26">
        <v>0</v>
      </c>
      <c r="Y436" s="26">
        <v>0</v>
      </c>
      <c r="Z436" s="26">
        <v>0</v>
      </c>
      <c r="AA436" s="26">
        <f t="shared" si="73"/>
        <v>0</v>
      </c>
      <c r="AB436" s="107"/>
      <c r="AC436" s="107"/>
      <c r="AD436" s="107"/>
      <c r="AE436" s="107"/>
      <c r="AF436" s="107"/>
      <c r="AG436" s="107"/>
      <c r="AH436" s="107"/>
      <c r="AI436" s="107"/>
      <c r="AJ436" s="107"/>
      <c r="AK436" s="107"/>
      <c r="AL436" s="107"/>
      <c r="AM436" s="107"/>
      <c r="AN436" s="107"/>
      <c r="AO436" s="108"/>
      <c r="AP436" s="108"/>
      <c r="AQ436" s="108"/>
      <c r="AR436" s="108"/>
      <c r="AS436" s="108"/>
      <c r="AT436" s="108"/>
      <c r="AU436" s="108"/>
      <c r="AV436" s="108"/>
      <c r="AW436" s="108"/>
      <c r="AX436" s="108"/>
      <c r="AY436" s="108"/>
      <c r="AZ436" s="108"/>
      <c r="BA436" s="108"/>
      <c r="BB436" s="108"/>
    </row>
    <row r="437" spans="1:54" s="109" customFormat="1" ht="12" customHeight="1">
      <c r="A437" s="8">
        <v>513050202</v>
      </c>
      <c r="B437" s="8" t="s">
        <v>942</v>
      </c>
      <c r="C437" s="8"/>
      <c r="D437" s="92">
        <f>+VLOOKUP(A437,Clasificaciones!C:I,5,FALSE)</f>
        <v>130145465</v>
      </c>
      <c r="E437" s="92">
        <v>0</v>
      </c>
      <c r="F437" s="177">
        <f>+D437</f>
        <v>130145465</v>
      </c>
      <c r="G437" s="92">
        <v>0</v>
      </c>
      <c r="H437" s="92">
        <f t="shared" si="83"/>
        <v>0</v>
      </c>
      <c r="I437" s="26">
        <v>0</v>
      </c>
      <c r="J437" s="26">
        <v>0</v>
      </c>
      <c r="K437" s="26">
        <f>-H437</f>
        <v>0</v>
      </c>
      <c r="L437" s="26">
        <v>0</v>
      </c>
      <c r="M437" s="26">
        <v>0</v>
      </c>
      <c r="N437" s="26">
        <v>0</v>
      </c>
      <c r="O437" s="26">
        <v>0</v>
      </c>
      <c r="P437" s="26">
        <v>0</v>
      </c>
      <c r="Q437" s="26">
        <v>0</v>
      </c>
      <c r="R437" s="26">
        <v>0</v>
      </c>
      <c r="S437" s="26">
        <v>0</v>
      </c>
      <c r="T437" s="26">
        <v>0</v>
      </c>
      <c r="U437" s="26">
        <v>0</v>
      </c>
      <c r="V437" s="26">
        <v>0</v>
      </c>
      <c r="W437" s="26">
        <v>0</v>
      </c>
      <c r="X437" s="26">
        <v>0</v>
      </c>
      <c r="Y437" s="26">
        <v>0</v>
      </c>
      <c r="Z437" s="26">
        <v>0</v>
      </c>
      <c r="AA437" s="26">
        <f t="shared" si="73"/>
        <v>0</v>
      </c>
      <c r="AB437" s="107"/>
      <c r="AC437" s="107"/>
      <c r="AD437" s="107"/>
      <c r="AE437" s="107"/>
      <c r="AF437" s="107"/>
      <c r="AG437" s="107"/>
      <c r="AH437" s="107"/>
      <c r="AI437" s="107"/>
      <c r="AJ437" s="107"/>
      <c r="AK437" s="107"/>
      <c r="AL437" s="107"/>
      <c r="AM437" s="107"/>
      <c r="AN437" s="107"/>
      <c r="AO437" s="108"/>
      <c r="AP437" s="108"/>
      <c r="AQ437" s="108"/>
      <c r="AR437" s="108"/>
      <c r="AS437" s="108"/>
      <c r="AT437" s="108"/>
      <c r="AU437" s="108"/>
      <c r="AV437" s="108"/>
      <c r="AW437" s="108"/>
      <c r="AX437" s="108"/>
      <c r="AY437" s="108"/>
      <c r="AZ437" s="108"/>
      <c r="BA437" s="108"/>
      <c r="BB437" s="108"/>
    </row>
    <row r="438" spans="1:54" s="109" customFormat="1" ht="12" customHeight="1">
      <c r="A438" s="8">
        <v>513050203</v>
      </c>
      <c r="B438" s="8" t="s">
        <v>943</v>
      </c>
      <c r="C438" s="8"/>
      <c r="D438" s="92">
        <f>+VLOOKUP(A438,Clasificaciones!C:I,5,FALSE)</f>
        <v>38037943</v>
      </c>
      <c r="E438" s="92">
        <v>0</v>
      </c>
      <c r="F438" s="177">
        <f>+D438</f>
        <v>38037943</v>
      </c>
      <c r="G438" s="92">
        <v>0</v>
      </c>
      <c r="H438" s="92">
        <f t="shared" si="83"/>
        <v>0</v>
      </c>
      <c r="I438" s="26">
        <v>0</v>
      </c>
      <c r="J438" s="26">
        <v>0</v>
      </c>
      <c r="K438" s="26">
        <v>0</v>
      </c>
      <c r="L438" s="26">
        <v>0</v>
      </c>
      <c r="M438" s="26">
        <v>0</v>
      </c>
      <c r="N438" s="26">
        <v>0</v>
      </c>
      <c r="O438" s="26">
        <v>0</v>
      </c>
      <c r="P438" s="26">
        <v>0</v>
      </c>
      <c r="Q438" s="26">
        <v>0</v>
      </c>
      <c r="R438" s="26">
        <v>0</v>
      </c>
      <c r="S438" s="26">
        <v>0</v>
      </c>
      <c r="T438" s="26">
        <v>0</v>
      </c>
      <c r="U438" s="26">
        <v>0</v>
      </c>
      <c r="V438" s="26">
        <v>0</v>
      </c>
      <c r="W438" s="26">
        <v>0</v>
      </c>
      <c r="X438" s="26">
        <v>0</v>
      </c>
      <c r="Y438" s="26">
        <v>0</v>
      </c>
      <c r="Z438" s="26">
        <v>0</v>
      </c>
      <c r="AA438" s="26">
        <f t="shared" si="73"/>
        <v>0</v>
      </c>
      <c r="AB438" s="107"/>
      <c r="AC438" s="107"/>
      <c r="AD438" s="107"/>
      <c r="AE438" s="107"/>
      <c r="AF438" s="107"/>
      <c r="AG438" s="107"/>
      <c r="AH438" s="107"/>
      <c r="AI438" s="107"/>
      <c r="AJ438" s="107"/>
      <c r="AK438" s="107"/>
      <c r="AL438" s="107"/>
      <c r="AM438" s="107"/>
      <c r="AN438" s="107"/>
      <c r="AO438" s="108"/>
      <c r="AP438" s="108"/>
      <c r="AQ438" s="108"/>
      <c r="AR438" s="108"/>
      <c r="AS438" s="108"/>
      <c r="AT438" s="108"/>
      <c r="AU438" s="108"/>
      <c r="AV438" s="108"/>
      <c r="AW438" s="108"/>
      <c r="AX438" s="108"/>
      <c r="AY438" s="108"/>
      <c r="AZ438" s="108"/>
      <c r="BA438" s="108"/>
      <c r="BB438" s="108"/>
    </row>
    <row r="439" spans="1:54" s="109" customFormat="1" ht="12" customHeight="1">
      <c r="A439" s="8">
        <v>513050204</v>
      </c>
      <c r="B439" s="8" t="s">
        <v>944</v>
      </c>
      <c r="C439" s="8"/>
      <c r="D439" s="92">
        <f>+VLOOKUP(A439,Clasificaciones!C:I,5,FALSE)</f>
        <v>1600009</v>
      </c>
      <c r="E439" s="92">
        <v>0</v>
      </c>
      <c r="F439" s="177">
        <f>+D439</f>
        <v>1600009</v>
      </c>
      <c r="G439" s="92">
        <v>0</v>
      </c>
      <c r="H439" s="92">
        <f t="shared" si="83"/>
        <v>0</v>
      </c>
      <c r="I439" s="26">
        <v>0</v>
      </c>
      <c r="J439" s="26">
        <v>0</v>
      </c>
      <c r="K439" s="26">
        <v>0</v>
      </c>
      <c r="L439" s="26">
        <v>0</v>
      </c>
      <c r="M439" s="26">
        <v>0</v>
      </c>
      <c r="N439" s="26">
        <v>0</v>
      </c>
      <c r="O439" s="26">
        <v>0</v>
      </c>
      <c r="P439" s="26">
        <v>0</v>
      </c>
      <c r="Q439" s="26">
        <v>0</v>
      </c>
      <c r="R439" s="26">
        <v>0</v>
      </c>
      <c r="S439" s="26">
        <v>0</v>
      </c>
      <c r="T439" s="26">
        <v>0</v>
      </c>
      <c r="U439" s="26">
        <v>0</v>
      </c>
      <c r="V439" s="26">
        <v>0</v>
      </c>
      <c r="W439" s="26">
        <v>0</v>
      </c>
      <c r="X439" s="26">
        <v>0</v>
      </c>
      <c r="Y439" s="26">
        <v>0</v>
      </c>
      <c r="Z439" s="26">
        <f>-H439</f>
        <v>0</v>
      </c>
      <c r="AA439" s="26">
        <f t="shared" si="73"/>
        <v>0</v>
      </c>
      <c r="AB439" s="107"/>
      <c r="AC439" s="107"/>
      <c r="AD439" s="107"/>
      <c r="AE439" s="107"/>
      <c r="AF439" s="107"/>
      <c r="AG439" s="107"/>
      <c r="AH439" s="107"/>
      <c r="AI439" s="107"/>
      <c r="AJ439" s="107"/>
      <c r="AK439" s="107"/>
      <c r="AL439" s="107"/>
      <c r="AM439" s="107"/>
      <c r="AN439" s="107"/>
      <c r="AO439" s="108"/>
      <c r="AP439" s="108"/>
      <c r="AQ439" s="108"/>
      <c r="AR439" s="108"/>
      <c r="AS439" s="108"/>
      <c r="AT439" s="108"/>
      <c r="AU439" s="108"/>
      <c r="AV439" s="108"/>
      <c r="AW439" s="108"/>
      <c r="AX439" s="108"/>
      <c r="AY439" s="108"/>
      <c r="AZ439" s="108"/>
      <c r="BA439" s="108"/>
      <c r="BB439" s="108"/>
    </row>
    <row r="440" spans="1:54" s="109" customFormat="1" ht="12" customHeight="1">
      <c r="A440" s="8">
        <v>51306</v>
      </c>
      <c r="B440" s="8" t="s">
        <v>214</v>
      </c>
      <c r="C440" s="8"/>
      <c r="D440" s="92">
        <f>+VLOOKUP(A440,Clasificaciones!C:I,5,FALSE)</f>
        <v>0</v>
      </c>
      <c r="E440" s="92">
        <v>0</v>
      </c>
      <c r="F440" s="92">
        <v>0</v>
      </c>
      <c r="G440" s="92">
        <v>0</v>
      </c>
      <c r="H440" s="92">
        <f t="shared" si="83"/>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c r="Z440" s="26">
        <f>-H440</f>
        <v>0</v>
      </c>
      <c r="AA440" s="26">
        <f t="shared" si="73"/>
        <v>0</v>
      </c>
      <c r="AB440" s="107"/>
      <c r="AC440" s="107"/>
      <c r="AD440" s="107"/>
      <c r="AE440" s="107"/>
      <c r="AF440" s="107"/>
      <c r="AG440" s="107"/>
      <c r="AH440" s="107"/>
      <c r="AI440" s="107"/>
      <c r="AJ440" s="107"/>
      <c r="AK440" s="107"/>
      <c r="AL440" s="107"/>
      <c r="AM440" s="107"/>
      <c r="AN440" s="107"/>
      <c r="AO440" s="108"/>
      <c r="AP440" s="108"/>
      <c r="AQ440" s="108"/>
      <c r="AR440" s="108"/>
      <c r="AS440" s="108"/>
      <c r="AT440" s="108"/>
      <c r="AU440" s="108"/>
      <c r="AV440" s="108"/>
      <c r="AW440" s="108"/>
      <c r="AX440" s="108"/>
      <c r="AY440" s="108"/>
      <c r="AZ440" s="108"/>
      <c r="BA440" s="108"/>
      <c r="BB440" s="108"/>
    </row>
    <row r="441" spans="1:54" s="109" customFormat="1" ht="12" customHeight="1">
      <c r="A441" s="8">
        <v>5130601</v>
      </c>
      <c r="B441" s="8" t="s">
        <v>1219</v>
      </c>
      <c r="C441" s="8" t="str">
        <f>+VLOOKUP(A441,Clasificaciones!$C$4:$H$887,6,0)</f>
        <v>Mantenimiento</v>
      </c>
      <c r="D441" s="92">
        <f>+VLOOKUP(A441,Clasificaciones!C:I,5,FALSE)</f>
        <v>322727</v>
      </c>
      <c r="E441" s="92">
        <v>0</v>
      </c>
      <c r="F441" s="92">
        <v>0</v>
      </c>
      <c r="G441" s="92">
        <v>0</v>
      </c>
      <c r="H441" s="92">
        <f t="shared" si="83"/>
        <v>322727</v>
      </c>
      <c r="I441" s="26">
        <v>0</v>
      </c>
      <c r="J441" s="26">
        <v>0</v>
      </c>
      <c r="K441" s="26"/>
      <c r="L441" s="26">
        <v>0</v>
      </c>
      <c r="M441" s="26">
        <f t="shared" ref="M441:M443" si="84">-H441</f>
        <v>-322727</v>
      </c>
      <c r="N441" s="26">
        <v>0</v>
      </c>
      <c r="O441" s="26">
        <v>0</v>
      </c>
      <c r="P441" s="26">
        <v>0</v>
      </c>
      <c r="Q441" s="26">
        <v>0</v>
      </c>
      <c r="R441" s="26">
        <v>0</v>
      </c>
      <c r="S441" s="26">
        <v>0</v>
      </c>
      <c r="T441" s="26">
        <v>0</v>
      </c>
      <c r="U441" s="26">
        <v>0</v>
      </c>
      <c r="V441" s="26">
        <v>0</v>
      </c>
      <c r="W441" s="26">
        <v>0</v>
      </c>
      <c r="X441" s="26">
        <v>0</v>
      </c>
      <c r="Y441" s="26">
        <v>0</v>
      </c>
      <c r="Z441" s="26">
        <v>0</v>
      </c>
      <c r="AA441" s="26">
        <f t="shared" si="73"/>
        <v>0</v>
      </c>
      <c r="AB441" s="107"/>
      <c r="AC441" s="107"/>
      <c r="AD441" s="107"/>
      <c r="AE441" s="107"/>
      <c r="AF441" s="107"/>
      <c r="AG441" s="107"/>
      <c r="AH441" s="107"/>
      <c r="AI441" s="107"/>
      <c r="AJ441" s="107"/>
      <c r="AK441" s="107"/>
      <c r="AL441" s="107"/>
      <c r="AM441" s="107"/>
      <c r="AN441" s="107"/>
      <c r="AO441" s="108"/>
      <c r="AP441" s="108"/>
      <c r="AQ441" s="108"/>
      <c r="AR441" s="108"/>
      <c r="AS441" s="108"/>
      <c r="AT441" s="108"/>
      <c r="AU441" s="108"/>
      <c r="AV441" s="108"/>
      <c r="AW441" s="108"/>
      <c r="AX441" s="108"/>
      <c r="AY441" s="108"/>
      <c r="AZ441" s="108"/>
      <c r="BA441" s="108"/>
      <c r="BB441" s="108"/>
    </row>
    <row r="442" spans="1:54" s="109" customFormat="1" ht="12" customHeight="1">
      <c r="A442" s="8">
        <v>5130603</v>
      </c>
      <c r="B442" s="8" t="s">
        <v>945</v>
      </c>
      <c r="C442" s="8" t="str">
        <f>+VLOOKUP(A442,Clasificaciones!$C$4:$H$887,6,0)</f>
        <v>Mantenimiento</v>
      </c>
      <c r="D442" s="92">
        <f>+VLOOKUP(A442,Clasificaciones!C:I,5,FALSE)</f>
        <v>129910562</v>
      </c>
      <c r="E442" s="92">
        <v>0</v>
      </c>
      <c r="F442" s="92">
        <v>0</v>
      </c>
      <c r="G442" s="92">
        <v>0</v>
      </c>
      <c r="H442" s="92">
        <f t="shared" si="83"/>
        <v>129910562</v>
      </c>
      <c r="I442" s="26">
        <v>0</v>
      </c>
      <c r="J442" s="26">
        <v>0</v>
      </c>
      <c r="K442" s="26"/>
      <c r="L442" s="26">
        <v>0</v>
      </c>
      <c r="M442" s="26">
        <f t="shared" si="84"/>
        <v>-129910562</v>
      </c>
      <c r="N442" s="26">
        <v>0</v>
      </c>
      <c r="O442" s="26">
        <v>0</v>
      </c>
      <c r="P442" s="26">
        <v>0</v>
      </c>
      <c r="Q442" s="26">
        <v>0</v>
      </c>
      <c r="R442" s="26">
        <v>0</v>
      </c>
      <c r="S442" s="26">
        <v>0</v>
      </c>
      <c r="T442" s="26">
        <v>0</v>
      </c>
      <c r="U442" s="26">
        <v>0</v>
      </c>
      <c r="V442" s="26">
        <v>0</v>
      </c>
      <c r="W442" s="26">
        <v>0</v>
      </c>
      <c r="X442" s="26">
        <v>0</v>
      </c>
      <c r="Y442" s="26">
        <v>0</v>
      </c>
      <c r="Z442" s="26">
        <v>0</v>
      </c>
      <c r="AA442" s="26">
        <f t="shared" si="73"/>
        <v>0</v>
      </c>
      <c r="AB442" s="107"/>
      <c r="AC442" s="107"/>
      <c r="AD442" s="107"/>
      <c r="AE442" s="107"/>
      <c r="AF442" s="107"/>
      <c r="AG442" s="107"/>
      <c r="AH442" s="107"/>
      <c r="AI442" s="107"/>
      <c r="AJ442" s="107"/>
      <c r="AK442" s="107"/>
      <c r="AL442" s="107"/>
      <c r="AM442" s="107"/>
      <c r="AN442" s="107"/>
      <c r="AO442" s="108"/>
      <c r="AP442" s="108"/>
      <c r="AQ442" s="108"/>
      <c r="AR442" s="108"/>
      <c r="AS442" s="108"/>
      <c r="AT442" s="108"/>
      <c r="AU442" s="108"/>
      <c r="AV442" s="108"/>
      <c r="AW442" s="108"/>
      <c r="AX442" s="108"/>
      <c r="AY442" s="108"/>
      <c r="AZ442" s="108"/>
      <c r="BA442" s="108"/>
      <c r="BB442" s="108"/>
    </row>
    <row r="443" spans="1:54" s="109" customFormat="1" ht="12" customHeight="1">
      <c r="A443" s="8">
        <v>5130605</v>
      </c>
      <c r="B443" s="8" t="s">
        <v>301</v>
      </c>
      <c r="C443" s="8" t="str">
        <f>+VLOOKUP(A443,Clasificaciones!$C$4:$H$887,6,0)</f>
        <v>Mantenimiento</v>
      </c>
      <c r="D443" s="92">
        <f>+VLOOKUP(A443,Clasificaciones!C:I,5,FALSE)</f>
        <v>600000</v>
      </c>
      <c r="E443" s="92">
        <v>0</v>
      </c>
      <c r="F443" s="92">
        <v>0</v>
      </c>
      <c r="G443" s="92">
        <v>0</v>
      </c>
      <c r="H443" s="92">
        <f t="shared" si="83"/>
        <v>600000</v>
      </c>
      <c r="I443" s="26">
        <v>0</v>
      </c>
      <c r="J443" s="26">
        <v>0</v>
      </c>
      <c r="K443" s="26"/>
      <c r="L443" s="26">
        <v>0</v>
      </c>
      <c r="M443" s="26">
        <f t="shared" si="84"/>
        <v>-600000</v>
      </c>
      <c r="N443" s="26">
        <v>0</v>
      </c>
      <c r="O443" s="26">
        <v>0</v>
      </c>
      <c r="P443" s="26">
        <v>0</v>
      </c>
      <c r="Q443" s="26">
        <v>0</v>
      </c>
      <c r="R443" s="26">
        <v>0</v>
      </c>
      <c r="S443" s="26">
        <v>0</v>
      </c>
      <c r="T443" s="26">
        <v>0</v>
      </c>
      <c r="U443" s="26">
        <v>0</v>
      </c>
      <c r="V443" s="26">
        <v>0</v>
      </c>
      <c r="W443" s="26">
        <v>0</v>
      </c>
      <c r="X443" s="26">
        <v>0</v>
      </c>
      <c r="Y443" s="26">
        <v>0</v>
      </c>
      <c r="Z443" s="26">
        <v>0</v>
      </c>
      <c r="AA443" s="26">
        <f t="shared" si="73"/>
        <v>0</v>
      </c>
      <c r="AB443" s="107"/>
      <c r="AC443" s="107"/>
      <c r="AD443" s="107"/>
      <c r="AE443" s="107"/>
      <c r="AF443" s="107"/>
      <c r="AG443" s="107"/>
      <c r="AH443" s="107"/>
      <c r="AI443" s="107"/>
      <c r="AJ443" s="107"/>
      <c r="AK443" s="107"/>
      <c r="AL443" s="107"/>
      <c r="AM443" s="107"/>
      <c r="AN443" s="107"/>
      <c r="AO443" s="108"/>
      <c r="AP443" s="108"/>
      <c r="AQ443" s="108"/>
      <c r="AR443" s="108"/>
      <c r="AS443" s="108"/>
      <c r="AT443" s="108"/>
      <c r="AU443" s="108"/>
      <c r="AV443" s="108"/>
      <c r="AW443" s="108"/>
      <c r="AX443" s="108"/>
      <c r="AY443" s="108"/>
      <c r="AZ443" s="108"/>
      <c r="BA443" s="108"/>
      <c r="BB443" s="108"/>
    </row>
    <row r="444" spans="1:54" s="109" customFormat="1" ht="12" customHeight="1">
      <c r="A444" s="8">
        <v>51307</v>
      </c>
      <c r="B444" s="8" t="s">
        <v>1221</v>
      </c>
      <c r="C444" s="8"/>
      <c r="D444" s="92">
        <f>+VLOOKUP(A444,Clasificaciones!C:I,5,FALSE)</f>
        <v>0</v>
      </c>
      <c r="E444" s="92">
        <v>0</v>
      </c>
      <c r="F444" s="92">
        <v>0</v>
      </c>
      <c r="G444" s="92">
        <v>0</v>
      </c>
      <c r="H444" s="92">
        <f t="shared" si="83"/>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c r="Z444" s="26">
        <v>0</v>
      </c>
      <c r="AA444" s="26">
        <f t="shared" si="73"/>
        <v>0</v>
      </c>
      <c r="AB444" s="107"/>
      <c r="AC444" s="107"/>
      <c r="AD444" s="107"/>
      <c r="AE444" s="107"/>
      <c r="AF444" s="107"/>
      <c r="AG444" s="107"/>
      <c r="AH444" s="107"/>
      <c r="AI444" s="107"/>
      <c r="AJ444" s="107"/>
      <c r="AK444" s="107"/>
      <c r="AL444" s="107"/>
      <c r="AM444" s="107"/>
      <c r="AN444" s="107"/>
      <c r="AO444" s="108"/>
      <c r="AP444" s="108"/>
      <c r="AQ444" s="108"/>
      <c r="AR444" s="108"/>
      <c r="AS444" s="108"/>
      <c r="AT444" s="108"/>
      <c r="AU444" s="108"/>
      <c r="AV444" s="108"/>
      <c r="AW444" s="108"/>
      <c r="AX444" s="108"/>
      <c r="AY444" s="108"/>
      <c r="AZ444" s="108"/>
      <c r="BA444" s="108"/>
      <c r="BB444" s="108"/>
    </row>
    <row r="445" spans="1:54" s="109" customFormat="1" ht="12" customHeight="1">
      <c r="A445" s="8">
        <v>5130701</v>
      </c>
      <c r="B445" s="8" t="s">
        <v>935</v>
      </c>
      <c r="C445" s="8" t="str">
        <f>+VLOOKUP(A445,Clasificaciones!$C$4:$H$887,6,0)</f>
        <v>Alquileres</v>
      </c>
      <c r="D445" s="92">
        <f>+VLOOKUP(A445,Clasificaciones!C:I,5,FALSE)</f>
        <v>128559149</v>
      </c>
      <c r="E445" s="92">
        <v>0</v>
      </c>
      <c r="F445" s="92">
        <v>0</v>
      </c>
      <c r="G445" s="92">
        <v>0</v>
      </c>
      <c r="H445" s="92">
        <f t="shared" si="83"/>
        <v>128559149</v>
      </c>
      <c r="I445" s="26">
        <v>0</v>
      </c>
      <c r="J445" s="26">
        <v>0</v>
      </c>
      <c r="K445" s="26"/>
      <c r="L445" s="26">
        <v>0</v>
      </c>
      <c r="M445" s="26">
        <f t="shared" ref="M445:M447" si="85">-H445</f>
        <v>-128559149</v>
      </c>
      <c r="N445" s="26">
        <v>0</v>
      </c>
      <c r="O445" s="26">
        <v>0</v>
      </c>
      <c r="P445" s="26">
        <v>0</v>
      </c>
      <c r="Q445" s="26">
        <v>0</v>
      </c>
      <c r="R445" s="26">
        <v>0</v>
      </c>
      <c r="S445" s="26">
        <v>0</v>
      </c>
      <c r="T445" s="26">
        <v>0</v>
      </c>
      <c r="U445" s="26">
        <v>0</v>
      </c>
      <c r="V445" s="26">
        <v>0</v>
      </c>
      <c r="W445" s="26">
        <v>0</v>
      </c>
      <c r="X445" s="26">
        <v>0</v>
      </c>
      <c r="Y445" s="26">
        <v>0</v>
      </c>
      <c r="Z445" s="26">
        <v>0</v>
      </c>
      <c r="AA445" s="26">
        <f t="shared" si="73"/>
        <v>0</v>
      </c>
      <c r="AB445" s="107"/>
      <c r="AC445" s="107"/>
      <c r="AD445" s="107"/>
      <c r="AE445" s="107"/>
      <c r="AF445" s="107"/>
      <c r="AG445" s="107"/>
      <c r="AH445" s="107"/>
      <c r="AI445" s="107"/>
      <c r="AJ445" s="107"/>
      <c r="AK445" s="107"/>
      <c r="AL445" s="107"/>
      <c r="AM445" s="107"/>
      <c r="AN445" s="107"/>
      <c r="AO445" s="108"/>
      <c r="AP445" s="108"/>
      <c r="AQ445" s="108"/>
      <c r="AR445" s="108"/>
      <c r="AS445" s="108"/>
      <c r="AT445" s="108"/>
      <c r="AU445" s="108"/>
      <c r="AV445" s="108"/>
      <c r="AW445" s="108"/>
      <c r="AX445" s="108"/>
      <c r="AY445" s="108"/>
      <c r="AZ445" s="108"/>
      <c r="BA445" s="108"/>
      <c r="BB445" s="108"/>
    </row>
    <row r="446" spans="1:54" s="109" customFormat="1" ht="12" customHeight="1">
      <c r="A446" s="8">
        <v>5130702</v>
      </c>
      <c r="B446" s="8" t="s">
        <v>1214</v>
      </c>
      <c r="C446" s="8" t="str">
        <f>+VLOOKUP(A446,Clasificaciones!$C$4:$H$887,6,0)</f>
        <v>Alquileres</v>
      </c>
      <c r="D446" s="92">
        <f>+VLOOKUP(A446,Clasificaciones!C:I,5,FALSE)</f>
        <v>974548</v>
      </c>
      <c r="E446" s="92">
        <v>0</v>
      </c>
      <c r="F446" s="92">
        <v>0</v>
      </c>
      <c r="G446" s="92">
        <v>0</v>
      </c>
      <c r="H446" s="92">
        <f t="shared" si="83"/>
        <v>974548</v>
      </c>
      <c r="I446" s="26">
        <v>0</v>
      </c>
      <c r="J446" s="26">
        <v>0</v>
      </c>
      <c r="K446" s="26"/>
      <c r="L446" s="26">
        <v>0</v>
      </c>
      <c r="M446" s="26">
        <f t="shared" si="85"/>
        <v>-974548</v>
      </c>
      <c r="N446" s="26">
        <v>0</v>
      </c>
      <c r="O446" s="26">
        <v>0</v>
      </c>
      <c r="P446" s="26">
        <v>0</v>
      </c>
      <c r="Q446" s="26">
        <v>0</v>
      </c>
      <c r="R446" s="26">
        <v>0</v>
      </c>
      <c r="S446" s="26">
        <v>0</v>
      </c>
      <c r="T446" s="26">
        <v>0</v>
      </c>
      <c r="U446" s="26">
        <v>0</v>
      </c>
      <c r="V446" s="26">
        <v>0</v>
      </c>
      <c r="W446" s="26">
        <v>0</v>
      </c>
      <c r="X446" s="26">
        <v>0</v>
      </c>
      <c r="Y446" s="26">
        <v>0</v>
      </c>
      <c r="Z446" s="26">
        <v>0</v>
      </c>
      <c r="AA446" s="26">
        <f t="shared" si="73"/>
        <v>0</v>
      </c>
      <c r="AB446" s="107"/>
      <c r="AC446" s="107"/>
      <c r="AD446" s="107"/>
      <c r="AE446" s="107"/>
      <c r="AF446" s="107"/>
      <c r="AG446" s="107"/>
      <c r="AH446" s="107"/>
      <c r="AI446" s="107"/>
      <c r="AJ446" s="107"/>
      <c r="AK446" s="107"/>
      <c r="AL446" s="107"/>
      <c r="AM446" s="107"/>
      <c r="AN446" s="107"/>
      <c r="AO446" s="108"/>
      <c r="AP446" s="108"/>
      <c r="AQ446" s="108"/>
      <c r="AR446" s="108"/>
      <c r="AS446" s="108"/>
      <c r="AT446" s="108"/>
      <c r="AU446" s="108"/>
      <c r="AV446" s="108"/>
      <c r="AW446" s="108"/>
      <c r="AX446" s="108"/>
      <c r="AY446" s="108"/>
      <c r="AZ446" s="108"/>
      <c r="BA446" s="108"/>
      <c r="BB446" s="108"/>
    </row>
    <row r="447" spans="1:54" s="109" customFormat="1" ht="12" customHeight="1">
      <c r="A447" s="8">
        <v>5130703</v>
      </c>
      <c r="B447" s="8" t="s">
        <v>1373</v>
      </c>
      <c r="C447" s="8" t="str">
        <f>+VLOOKUP(A447,Clasificaciones!$C$4:$H$887,6,0)</f>
        <v>Alquileres</v>
      </c>
      <c r="D447" s="92">
        <f>+VLOOKUP(A447,Clasificaciones!C:I,5,FALSE)</f>
        <v>11162810</v>
      </c>
      <c r="E447" s="92">
        <v>0</v>
      </c>
      <c r="F447" s="92">
        <v>0</v>
      </c>
      <c r="G447" s="92">
        <v>0</v>
      </c>
      <c r="H447" s="92">
        <f t="shared" si="83"/>
        <v>11162810</v>
      </c>
      <c r="I447" s="26">
        <v>0</v>
      </c>
      <c r="J447" s="26">
        <v>0</v>
      </c>
      <c r="K447" s="26"/>
      <c r="L447" s="26">
        <v>0</v>
      </c>
      <c r="M447" s="26">
        <f t="shared" si="85"/>
        <v>-11162810</v>
      </c>
      <c r="N447" s="26">
        <v>0</v>
      </c>
      <c r="O447" s="26">
        <v>0</v>
      </c>
      <c r="P447" s="26">
        <v>0</v>
      </c>
      <c r="Q447" s="26">
        <v>0</v>
      </c>
      <c r="R447" s="26">
        <v>0</v>
      </c>
      <c r="S447" s="26">
        <v>0</v>
      </c>
      <c r="T447" s="26">
        <v>0</v>
      </c>
      <c r="U447" s="26">
        <v>0</v>
      </c>
      <c r="V447" s="26">
        <v>0</v>
      </c>
      <c r="W447" s="26">
        <v>0</v>
      </c>
      <c r="X447" s="26">
        <v>0</v>
      </c>
      <c r="Y447" s="26">
        <v>0</v>
      </c>
      <c r="Z447" s="26">
        <v>0</v>
      </c>
      <c r="AA447" s="26">
        <f t="shared" si="73"/>
        <v>0</v>
      </c>
      <c r="AB447" s="107"/>
      <c r="AC447" s="107"/>
      <c r="AD447" s="107"/>
      <c r="AE447" s="107"/>
      <c r="AF447" s="107"/>
      <c r="AG447" s="107"/>
      <c r="AH447" s="107"/>
      <c r="AI447" s="107"/>
      <c r="AJ447" s="107"/>
      <c r="AK447" s="107"/>
      <c r="AL447" s="107"/>
      <c r="AM447" s="107"/>
      <c r="AN447" s="107"/>
      <c r="AO447" s="108"/>
      <c r="AP447" s="108"/>
      <c r="AQ447" s="108"/>
      <c r="AR447" s="108"/>
      <c r="AS447" s="108"/>
      <c r="AT447" s="108"/>
      <c r="AU447" s="108"/>
      <c r="AV447" s="108"/>
      <c r="AW447" s="108"/>
      <c r="AX447" s="108"/>
      <c r="AY447" s="108"/>
      <c r="AZ447" s="108"/>
      <c r="BA447" s="108"/>
      <c r="BB447" s="108"/>
    </row>
    <row r="448" spans="1:54" s="109" customFormat="1" ht="12" customHeight="1">
      <c r="A448" s="8">
        <v>51308</v>
      </c>
      <c r="B448" s="8" t="s">
        <v>49</v>
      </c>
      <c r="C448" s="8"/>
      <c r="D448" s="92">
        <f>+VLOOKUP(A448,Clasificaciones!C:I,5,FALSE)</f>
        <v>0</v>
      </c>
      <c r="E448" s="92">
        <v>0</v>
      </c>
      <c r="F448" s="92">
        <v>0</v>
      </c>
      <c r="G448" s="92">
        <v>0</v>
      </c>
      <c r="H448" s="92">
        <f t="shared" si="83"/>
        <v>0</v>
      </c>
      <c r="I448" s="26">
        <v>0</v>
      </c>
      <c r="J448" s="26">
        <v>0</v>
      </c>
      <c r="K448" s="26">
        <v>0</v>
      </c>
      <c r="L448" s="26">
        <v>0</v>
      </c>
      <c r="M448" s="26">
        <v>0</v>
      </c>
      <c r="N448" s="26">
        <v>0</v>
      </c>
      <c r="O448" s="26">
        <v>0</v>
      </c>
      <c r="P448" s="26">
        <v>0</v>
      </c>
      <c r="Q448" s="26">
        <v>0</v>
      </c>
      <c r="R448" s="26">
        <v>0</v>
      </c>
      <c r="S448" s="26">
        <v>0</v>
      </c>
      <c r="T448" s="26">
        <v>0</v>
      </c>
      <c r="U448" s="26">
        <v>0</v>
      </c>
      <c r="V448" s="26">
        <v>0</v>
      </c>
      <c r="W448" s="26">
        <v>0</v>
      </c>
      <c r="X448" s="26">
        <v>0</v>
      </c>
      <c r="Y448" s="26">
        <v>0</v>
      </c>
      <c r="Z448" s="26">
        <v>0</v>
      </c>
      <c r="AA448" s="26">
        <f t="shared" si="73"/>
        <v>0</v>
      </c>
      <c r="AB448" s="107"/>
      <c r="AC448" s="107"/>
      <c r="AD448" s="107"/>
      <c r="AE448" s="107"/>
      <c r="AF448" s="107"/>
      <c r="AG448" s="107"/>
      <c r="AH448" s="107"/>
      <c r="AI448" s="107"/>
      <c r="AJ448" s="107"/>
      <c r="AK448" s="107"/>
      <c r="AL448" s="107"/>
      <c r="AM448" s="107"/>
      <c r="AN448" s="107"/>
      <c r="AO448" s="108"/>
      <c r="AP448" s="108"/>
      <c r="AQ448" s="108"/>
      <c r="AR448" s="108"/>
      <c r="AS448" s="108"/>
      <c r="AT448" s="108"/>
      <c r="AU448" s="108"/>
      <c r="AV448" s="108"/>
      <c r="AW448" s="108"/>
      <c r="AX448" s="108"/>
      <c r="AY448" s="108"/>
      <c r="AZ448" s="108"/>
      <c r="BA448" s="108"/>
      <c r="BB448" s="108"/>
    </row>
    <row r="449" spans="1:54" s="109" customFormat="1" ht="12" customHeight="1">
      <c r="A449" s="8">
        <v>5130801</v>
      </c>
      <c r="B449" s="8" t="s">
        <v>946</v>
      </c>
      <c r="C449" s="8" t="str">
        <f>+VLOOKUP(A449,Clasificaciones!$C$4:$H$887,6,0)</f>
        <v>Seguros</v>
      </c>
      <c r="D449" s="92">
        <f>+VLOOKUP(A449,Clasificaciones!C:I,5,FALSE)</f>
        <v>7421455</v>
      </c>
      <c r="E449" s="92">
        <v>0</v>
      </c>
      <c r="F449" s="92">
        <v>0</v>
      </c>
      <c r="G449" s="92">
        <v>0</v>
      </c>
      <c r="H449" s="92">
        <f t="shared" si="83"/>
        <v>7421455</v>
      </c>
      <c r="I449" s="26">
        <v>0</v>
      </c>
      <c r="J449" s="26">
        <v>0</v>
      </c>
      <c r="K449" s="26"/>
      <c r="L449" s="26">
        <v>0</v>
      </c>
      <c r="M449" s="26">
        <f>-H449</f>
        <v>-7421455</v>
      </c>
      <c r="N449" s="26">
        <v>0</v>
      </c>
      <c r="O449" s="26">
        <v>0</v>
      </c>
      <c r="P449" s="26">
        <v>0</v>
      </c>
      <c r="Q449" s="26">
        <v>0</v>
      </c>
      <c r="R449" s="26">
        <v>0</v>
      </c>
      <c r="S449" s="26">
        <v>0</v>
      </c>
      <c r="T449" s="26">
        <v>0</v>
      </c>
      <c r="U449" s="26">
        <v>0</v>
      </c>
      <c r="V449" s="26">
        <v>0</v>
      </c>
      <c r="W449" s="26">
        <v>0</v>
      </c>
      <c r="X449" s="26">
        <v>0</v>
      </c>
      <c r="Y449" s="26">
        <v>0</v>
      </c>
      <c r="Z449" s="26">
        <v>0</v>
      </c>
      <c r="AA449" s="26">
        <f t="shared" si="73"/>
        <v>0</v>
      </c>
      <c r="AB449" s="107"/>
      <c r="AC449" s="107"/>
      <c r="AD449" s="107"/>
      <c r="AE449" s="107"/>
      <c r="AF449" s="107"/>
      <c r="AG449" s="107"/>
      <c r="AH449" s="107"/>
      <c r="AI449" s="107"/>
      <c r="AJ449" s="107"/>
      <c r="AK449" s="107"/>
      <c r="AL449" s="107"/>
      <c r="AM449" s="107"/>
      <c r="AN449" s="107"/>
      <c r="AO449" s="108"/>
      <c r="AP449" s="108"/>
      <c r="AQ449" s="108"/>
      <c r="AR449" s="108"/>
      <c r="AS449" s="108"/>
      <c r="AT449" s="108"/>
      <c r="AU449" s="108"/>
      <c r="AV449" s="108"/>
      <c r="AW449" s="108"/>
      <c r="AX449" s="108"/>
      <c r="AY449" s="108"/>
      <c r="AZ449" s="108"/>
      <c r="BA449" s="108"/>
      <c r="BB449" s="108"/>
    </row>
    <row r="450" spans="1:54" s="109" customFormat="1" ht="12" customHeight="1">
      <c r="A450" s="8">
        <v>51309</v>
      </c>
      <c r="B450" s="8" t="s">
        <v>52</v>
      </c>
      <c r="C450" s="8"/>
      <c r="D450" s="92">
        <f>+VLOOKUP(A450,Clasificaciones!C:I,5,FALSE)</f>
        <v>0</v>
      </c>
      <c r="E450" s="92">
        <v>0</v>
      </c>
      <c r="F450" s="92">
        <v>0</v>
      </c>
      <c r="G450" s="92">
        <v>0</v>
      </c>
      <c r="H450" s="92">
        <f t="shared" si="83"/>
        <v>0</v>
      </c>
      <c r="I450" s="26">
        <v>0</v>
      </c>
      <c r="J450" s="26">
        <v>0</v>
      </c>
      <c r="K450" s="26">
        <f t="shared" ref="K450:K453" si="86">-H450</f>
        <v>0</v>
      </c>
      <c r="L450" s="26">
        <v>0</v>
      </c>
      <c r="M450" s="26">
        <v>0</v>
      </c>
      <c r="N450" s="26">
        <v>0</v>
      </c>
      <c r="O450" s="26">
        <v>0</v>
      </c>
      <c r="P450" s="26">
        <v>0</v>
      </c>
      <c r="Q450" s="26">
        <v>0</v>
      </c>
      <c r="R450" s="26">
        <v>0</v>
      </c>
      <c r="S450" s="26">
        <v>0</v>
      </c>
      <c r="T450" s="26">
        <v>0</v>
      </c>
      <c r="U450" s="26">
        <v>0</v>
      </c>
      <c r="V450" s="26">
        <v>0</v>
      </c>
      <c r="W450" s="26">
        <v>0</v>
      </c>
      <c r="X450" s="26">
        <v>0</v>
      </c>
      <c r="Y450" s="26">
        <v>0</v>
      </c>
      <c r="Z450" s="26">
        <v>0</v>
      </c>
      <c r="AA450" s="26">
        <f t="shared" si="73"/>
        <v>0</v>
      </c>
      <c r="AB450" s="107"/>
      <c r="AC450" s="107"/>
      <c r="AD450" s="107"/>
      <c r="AE450" s="107"/>
      <c r="AF450" s="107"/>
      <c r="AG450" s="107"/>
      <c r="AH450" s="107"/>
      <c r="AI450" s="107"/>
      <c r="AJ450" s="107"/>
      <c r="AK450" s="107"/>
      <c r="AL450" s="107"/>
      <c r="AM450" s="107"/>
      <c r="AN450" s="107"/>
      <c r="AO450" s="108"/>
      <c r="AP450" s="108"/>
      <c r="AQ450" s="108"/>
      <c r="AR450" s="108"/>
      <c r="AS450" s="108"/>
      <c r="AT450" s="108"/>
      <c r="AU450" s="108"/>
      <c r="AV450" s="108"/>
      <c r="AW450" s="108"/>
      <c r="AX450" s="108"/>
      <c r="AY450" s="108"/>
      <c r="AZ450" s="108"/>
      <c r="BA450" s="108"/>
      <c r="BB450" s="108"/>
    </row>
    <row r="451" spans="1:54" s="109" customFormat="1" ht="12" customHeight="1">
      <c r="A451" s="8">
        <v>5130902</v>
      </c>
      <c r="B451" s="8" t="s">
        <v>947</v>
      </c>
      <c r="C451" s="8" t="str">
        <f>+VLOOKUP(A451,Clasificaciones!$C$4:$H$887,6,0)</f>
        <v>Impuestos, tasas y contribuciones</v>
      </c>
      <c r="D451" s="92">
        <f>+VLOOKUP(A451,Clasificaciones!C:I,5,FALSE)</f>
        <v>10308500</v>
      </c>
      <c r="E451" s="92">
        <v>0</v>
      </c>
      <c r="F451" s="92">
        <v>0</v>
      </c>
      <c r="G451" s="92">
        <v>0</v>
      </c>
      <c r="H451" s="92">
        <f t="shared" si="83"/>
        <v>10308500</v>
      </c>
      <c r="I451" s="26">
        <v>0</v>
      </c>
      <c r="J451" s="26">
        <v>0</v>
      </c>
      <c r="K451" s="26"/>
      <c r="L451" s="26">
        <v>0</v>
      </c>
      <c r="M451" s="26">
        <f t="shared" ref="M451:M452" si="87">-H451</f>
        <v>-10308500</v>
      </c>
      <c r="N451" s="26">
        <v>0</v>
      </c>
      <c r="O451" s="26">
        <v>0</v>
      </c>
      <c r="P451" s="26">
        <v>0</v>
      </c>
      <c r="Q451" s="26">
        <v>0</v>
      </c>
      <c r="R451" s="26">
        <v>0</v>
      </c>
      <c r="S451" s="26">
        <v>0</v>
      </c>
      <c r="T451" s="26">
        <v>0</v>
      </c>
      <c r="U451" s="26">
        <v>0</v>
      </c>
      <c r="V451" s="26">
        <v>0</v>
      </c>
      <c r="W451" s="26">
        <v>0</v>
      </c>
      <c r="X451" s="26">
        <v>0</v>
      </c>
      <c r="Y451" s="26">
        <v>0</v>
      </c>
      <c r="Z451" s="26">
        <v>0</v>
      </c>
      <c r="AA451" s="26">
        <f t="shared" si="73"/>
        <v>0</v>
      </c>
      <c r="AB451" s="107"/>
      <c r="AC451" s="107"/>
      <c r="AD451" s="107"/>
      <c r="AE451" s="107"/>
      <c r="AF451" s="107"/>
      <c r="AG451" s="107"/>
      <c r="AH451" s="107"/>
      <c r="AI451" s="107"/>
      <c r="AJ451" s="107"/>
      <c r="AK451" s="107"/>
      <c r="AL451" s="107"/>
      <c r="AM451" s="107"/>
      <c r="AN451" s="107"/>
      <c r="AO451" s="108"/>
      <c r="AP451" s="108"/>
      <c r="AQ451" s="108"/>
      <c r="AR451" s="108"/>
      <c r="AS451" s="108"/>
      <c r="AT451" s="108"/>
      <c r="AU451" s="108"/>
      <c r="AV451" s="108"/>
      <c r="AW451" s="108"/>
      <c r="AX451" s="108"/>
      <c r="AY451" s="108"/>
      <c r="AZ451" s="108"/>
      <c r="BA451" s="108"/>
      <c r="BB451" s="108"/>
    </row>
    <row r="452" spans="1:54" s="109" customFormat="1" ht="12" customHeight="1">
      <c r="A452" s="8">
        <v>5130904</v>
      </c>
      <c r="B452" s="8" t="s">
        <v>948</v>
      </c>
      <c r="C452" s="8" t="str">
        <f>+VLOOKUP(A452,Clasificaciones!$C$4:$H$887,6,0)</f>
        <v>Impuestos, tasas y contribuciones</v>
      </c>
      <c r="D452" s="92">
        <f>+VLOOKUP(A452,Clasificaciones!C:I,5,FALSE)</f>
        <v>1828703</v>
      </c>
      <c r="E452" s="92">
        <v>0</v>
      </c>
      <c r="F452" s="92">
        <v>0</v>
      </c>
      <c r="G452" s="92">
        <v>0</v>
      </c>
      <c r="H452" s="92">
        <f t="shared" si="83"/>
        <v>1828703</v>
      </c>
      <c r="I452" s="26">
        <v>0</v>
      </c>
      <c r="J452" s="26">
        <v>0</v>
      </c>
      <c r="K452" s="26"/>
      <c r="L452" s="26">
        <v>0</v>
      </c>
      <c r="M452" s="26">
        <f t="shared" si="87"/>
        <v>-1828703</v>
      </c>
      <c r="N452" s="26">
        <v>0</v>
      </c>
      <c r="O452" s="26">
        <v>0</v>
      </c>
      <c r="P452" s="26">
        <v>0</v>
      </c>
      <c r="Q452" s="26">
        <v>0</v>
      </c>
      <c r="R452" s="26">
        <v>0</v>
      </c>
      <c r="S452" s="26">
        <v>0</v>
      </c>
      <c r="T452" s="26">
        <v>0</v>
      </c>
      <c r="U452" s="26">
        <v>0</v>
      </c>
      <c r="V452" s="26">
        <v>0</v>
      </c>
      <c r="W452" s="26">
        <v>0</v>
      </c>
      <c r="X452" s="26">
        <v>0</v>
      </c>
      <c r="Y452" s="26">
        <v>0</v>
      </c>
      <c r="Z452" s="26">
        <v>0</v>
      </c>
      <c r="AA452" s="26">
        <f t="shared" si="73"/>
        <v>0</v>
      </c>
      <c r="AB452" s="107"/>
      <c r="AC452" s="107"/>
      <c r="AD452" s="107"/>
      <c r="AE452" s="107"/>
      <c r="AF452" s="107"/>
      <c r="AG452" s="107"/>
      <c r="AH452" s="107"/>
      <c r="AI452" s="107"/>
      <c r="AJ452" s="107"/>
      <c r="AK452" s="107"/>
      <c r="AL452" s="107"/>
      <c r="AM452" s="107"/>
      <c r="AN452" s="107"/>
      <c r="AO452" s="108"/>
      <c r="AP452" s="108"/>
      <c r="AQ452" s="108"/>
      <c r="AR452" s="108"/>
      <c r="AS452" s="108"/>
      <c r="AT452" s="108"/>
      <c r="AU452" s="108"/>
      <c r="AV452" s="108"/>
      <c r="AW452" s="108"/>
      <c r="AX452" s="108"/>
      <c r="AY452" s="108"/>
      <c r="AZ452" s="108"/>
      <c r="BA452" s="108"/>
      <c r="BB452" s="108"/>
    </row>
    <row r="453" spans="1:54" s="109" customFormat="1" ht="12" customHeight="1">
      <c r="A453" s="8">
        <v>51310</v>
      </c>
      <c r="B453" s="8" t="s">
        <v>315</v>
      </c>
      <c r="C453" s="8"/>
      <c r="D453" s="92">
        <f>+VLOOKUP(A453,Clasificaciones!C:I,5,FALSE)</f>
        <v>0</v>
      </c>
      <c r="E453" s="92">
        <v>0</v>
      </c>
      <c r="F453" s="92">
        <v>0</v>
      </c>
      <c r="G453" s="92">
        <v>0</v>
      </c>
      <c r="H453" s="92">
        <f t="shared" si="83"/>
        <v>0</v>
      </c>
      <c r="I453" s="26">
        <v>0</v>
      </c>
      <c r="J453" s="26">
        <v>0</v>
      </c>
      <c r="K453" s="26">
        <f t="shared" si="86"/>
        <v>0</v>
      </c>
      <c r="L453" s="26">
        <v>0</v>
      </c>
      <c r="M453" s="26">
        <v>0</v>
      </c>
      <c r="N453" s="26">
        <v>0</v>
      </c>
      <c r="O453" s="26">
        <v>0</v>
      </c>
      <c r="P453" s="26">
        <v>0</v>
      </c>
      <c r="Q453" s="26">
        <v>0</v>
      </c>
      <c r="R453" s="26">
        <v>0</v>
      </c>
      <c r="S453" s="26">
        <v>0</v>
      </c>
      <c r="T453" s="26">
        <v>0</v>
      </c>
      <c r="U453" s="26">
        <v>0</v>
      </c>
      <c r="V453" s="26">
        <v>0</v>
      </c>
      <c r="W453" s="26">
        <v>0</v>
      </c>
      <c r="X453" s="26">
        <v>0</v>
      </c>
      <c r="Y453" s="26">
        <v>0</v>
      </c>
      <c r="Z453" s="26">
        <v>0</v>
      </c>
      <c r="AA453" s="26">
        <f t="shared" ref="AA453:AA486" si="88">SUM(H453:Z453)</f>
        <v>0</v>
      </c>
      <c r="AB453" s="107"/>
      <c r="AC453" s="107"/>
      <c r="AD453" s="107"/>
      <c r="AE453" s="107"/>
      <c r="AF453" s="107"/>
      <c r="AG453" s="107"/>
      <c r="AH453" s="107"/>
      <c r="AI453" s="107"/>
      <c r="AJ453" s="107"/>
      <c r="AK453" s="107"/>
      <c r="AL453" s="107"/>
      <c r="AM453" s="107"/>
      <c r="AN453" s="107"/>
      <c r="AO453" s="108"/>
      <c r="AP453" s="108"/>
      <c r="AQ453" s="108"/>
      <c r="AR453" s="108"/>
      <c r="AS453" s="108"/>
      <c r="AT453" s="108"/>
      <c r="AU453" s="108"/>
      <c r="AV453" s="108"/>
      <c r="AW453" s="108"/>
      <c r="AX453" s="108"/>
      <c r="AY453" s="108"/>
      <c r="AZ453" s="108"/>
      <c r="BA453" s="108"/>
      <c r="BB453" s="108"/>
    </row>
    <row r="454" spans="1:54" s="109" customFormat="1" ht="12" customHeight="1">
      <c r="A454" s="8">
        <v>5131001</v>
      </c>
      <c r="B454" s="8" t="s">
        <v>1224</v>
      </c>
      <c r="C454" s="8"/>
      <c r="D454" s="92">
        <f>+VLOOKUP(A454,Clasificaciones!C:I,5,FALSE)</f>
        <v>3734386</v>
      </c>
      <c r="E454" s="92">
        <v>0</v>
      </c>
      <c r="F454" s="92">
        <v>0</v>
      </c>
      <c r="G454" s="92">
        <v>0</v>
      </c>
      <c r="H454" s="92">
        <f t="shared" si="83"/>
        <v>3734386</v>
      </c>
      <c r="I454" s="26">
        <v>0</v>
      </c>
      <c r="J454" s="26">
        <v>0</v>
      </c>
      <c r="K454" s="26">
        <v>0</v>
      </c>
      <c r="L454" s="26">
        <v>0</v>
      </c>
      <c r="M454" s="26">
        <f t="shared" ref="M454:M462" si="89">-H454</f>
        <v>-3734386</v>
      </c>
      <c r="N454" s="26">
        <v>0</v>
      </c>
      <c r="O454" s="26">
        <v>0</v>
      </c>
      <c r="P454" s="26">
        <v>0</v>
      </c>
      <c r="Q454" s="26">
        <v>0</v>
      </c>
      <c r="R454" s="26">
        <v>0</v>
      </c>
      <c r="S454" s="26">
        <v>0</v>
      </c>
      <c r="T454" s="26">
        <v>0</v>
      </c>
      <c r="U454" s="26">
        <v>0</v>
      </c>
      <c r="V454" s="26">
        <v>0</v>
      </c>
      <c r="W454" s="26">
        <v>0</v>
      </c>
      <c r="X454" s="26">
        <v>0</v>
      </c>
      <c r="Y454" s="26">
        <v>0</v>
      </c>
      <c r="Z454" s="26">
        <v>0</v>
      </c>
      <c r="AA454" s="26">
        <f t="shared" si="88"/>
        <v>0</v>
      </c>
      <c r="AB454" s="107"/>
      <c r="AC454" s="107"/>
      <c r="AD454" s="107"/>
      <c r="AE454" s="107"/>
      <c r="AF454" s="107"/>
      <c r="AG454" s="107"/>
      <c r="AH454" s="107"/>
      <c r="AI454" s="107"/>
      <c r="AJ454" s="107"/>
      <c r="AK454" s="107"/>
      <c r="AL454" s="107"/>
      <c r="AM454" s="107"/>
      <c r="AN454" s="107"/>
      <c r="AO454" s="108"/>
      <c r="AP454" s="108"/>
      <c r="AQ454" s="108"/>
      <c r="AR454" s="108"/>
      <c r="AS454" s="108"/>
      <c r="AT454" s="108"/>
      <c r="AU454" s="108"/>
      <c r="AV454" s="108"/>
      <c r="AW454" s="108"/>
      <c r="AX454" s="108"/>
      <c r="AY454" s="108"/>
      <c r="AZ454" s="108"/>
      <c r="BA454" s="108"/>
      <c r="BB454" s="108"/>
    </row>
    <row r="455" spans="1:54" s="109" customFormat="1" ht="12" customHeight="1">
      <c r="A455" s="8">
        <v>5131002</v>
      </c>
      <c r="B455" s="8" t="s">
        <v>949</v>
      </c>
      <c r="C455" s="8"/>
      <c r="D455" s="92">
        <f>+VLOOKUP(A455,Clasificaciones!C:I,5,FALSE)</f>
        <v>18402316</v>
      </c>
      <c r="E455" s="92">
        <v>0</v>
      </c>
      <c r="F455" s="92">
        <v>0</v>
      </c>
      <c r="G455" s="92">
        <v>0</v>
      </c>
      <c r="H455" s="92">
        <f t="shared" si="83"/>
        <v>18402316</v>
      </c>
      <c r="I455" s="26">
        <v>0</v>
      </c>
      <c r="J455" s="26">
        <v>0</v>
      </c>
      <c r="K455" s="26">
        <v>0</v>
      </c>
      <c r="L455" s="26">
        <v>0</v>
      </c>
      <c r="M455" s="26">
        <f t="shared" si="89"/>
        <v>-18402316</v>
      </c>
      <c r="N455" s="26">
        <v>0</v>
      </c>
      <c r="O455" s="26">
        <v>0</v>
      </c>
      <c r="P455" s="26">
        <v>0</v>
      </c>
      <c r="Q455" s="26">
        <v>0</v>
      </c>
      <c r="R455" s="26">
        <v>0</v>
      </c>
      <c r="S455" s="26">
        <v>0</v>
      </c>
      <c r="T455" s="26">
        <v>0</v>
      </c>
      <c r="U455" s="26">
        <v>0</v>
      </c>
      <c r="V455" s="26">
        <v>0</v>
      </c>
      <c r="W455" s="26">
        <v>0</v>
      </c>
      <c r="X455" s="26">
        <v>0</v>
      </c>
      <c r="Y455" s="26">
        <v>0</v>
      </c>
      <c r="Z455" s="26">
        <v>0</v>
      </c>
      <c r="AA455" s="26">
        <f t="shared" si="88"/>
        <v>0</v>
      </c>
      <c r="AB455" s="107"/>
      <c r="AC455" s="107"/>
      <c r="AD455" s="107"/>
      <c r="AE455" s="107"/>
      <c r="AF455" s="107"/>
      <c r="AG455" s="107"/>
      <c r="AH455" s="107"/>
      <c r="AI455" s="107"/>
      <c r="AJ455" s="107"/>
      <c r="AK455" s="107"/>
      <c r="AL455" s="107"/>
      <c r="AM455" s="107"/>
      <c r="AN455" s="107"/>
      <c r="AO455" s="108"/>
      <c r="AP455" s="108"/>
      <c r="AQ455" s="108"/>
      <c r="AR455" s="108"/>
      <c r="AS455" s="108"/>
      <c r="AT455" s="108"/>
      <c r="AU455" s="108"/>
      <c r="AV455" s="108"/>
      <c r="AW455" s="108"/>
      <c r="AX455" s="108"/>
      <c r="AY455" s="108"/>
      <c r="AZ455" s="108"/>
      <c r="BA455" s="108"/>
      <c r="BB455" s="108"/>
    </row>
    <row r="456" spans="1:54" s="109" customFormat="1" ht="12" customHeight="1">
      <c r="A456" s="8">
        <v>5131006</v>
      </c>
      <c r="B456" s="8" t="s">
        <v>950</v>
      </c>
      <c r="C456" s="8"/>
      <c r="D456" s="92">
        <f>+VLOOKUP(A456,Clasificaciones!C:I,5,FALSE)</f>
        <v>18371206</v>
      </c>
      <c r="E456" s="92">
        <v>0</v>
      </c>
      <c r="F456" s="92">
        <v>0</v>
      </c>
      <c r="G456" s="92">
        <v>0</v>
      </c>
      <c r="H456" s="92">
        <f t="shared" si="83"/>
        <v>18371206</v>
      </c>
      <c r="I456" s="26">
        <v>0</v>
      </c>
      <c r="J456" s="26">
        <v>0</v>
      </c>
      <c r="K456" s="26">
        <v>0</v>
      </c>
      <c r="L456" s="26">
        <v>0</v>
      </c>
      <c r="M456" s="26">
        <f t="shared" si="89"/>
        <v>-18371206</v>
      </c>
      <c r="N456" s="26">
        <v>0</v>
      </c>
      <c r="O456" s="26">
        <v>0</v>
      </c>
      <c r="P456" s="26">
        <v>0</v>
      </c>
      <c r="Q456" s="26">
        <v>0</v>
      </c>
      <c r="R456" s="26">
        <v>0</v>
      </c>
      <c r="S456" s="26">
        <v>0</v>
      </c>
      <c r="T456" s="26">
        <v>0</v>
      </c>
      <c r="U456" s="26">
        <v>0</v>
      </c>
      <c r="V456" s="26">
        <v>0</v>
      </c>
      <c r="W456" s="26">
        <v>0</v>
      </c>
      <c r="X456" s="26">
        <v>0</v>
      </c>
      <c r="Y456" s="26">
        <v>0</v>
      </c>
      <c r="Z456" s="26">
        <v>0</v>
      </c>
      <c r="AA456" s="26">
        <f t="shared" si="88"/>
        <v>0</v>
      </c>
      <c r="AB456" s="107"/>
      <c r="AC456" s="107"/>
      <c r="AD456" s="107"/>
      <c r="AE456" s="107"/>
      <c r="AF456" s="107"/>
      <c r="AG456" s="107"/>
      <c r="AH456" s="107"/>
      <c r="AI456" s="107"/>
      <c r="AJ456" s="107"/>
      <c r="AK456" s="107"/>
      <c r="AL456" s="107"/>
      <c r="AM456" s="107"/>
      <c r="AN456" s="107"/>
      <c r="AO456" s="108"/>
      <c r="AP456" s="108"/>
      <c r="AQ456" s="108"/>
      <c r="AR456" s="108"/>
      <c r="AS456" s="108"/>
      <c r="AT456" s="108"/>
      <c r="AU456" s="108"/>
      <c r="AV456" s="108"/>
      <c r="AW456" s="108"/>
      <c r="AX456" s="108"/>
      <c r="AY456" s="108"/>
      <c r="AZ456" s="108"/>
      <c r="BA456" s="108"/>
      <c r="BB456" s="108"/>
    </row>
    <row r="457" spans="1:54" s="109" customFormat="1" ht="12" customHeight="1">
      <c r="A457" s="8">
        <v>5131007</v>
      </c>
      <c r="B457" s="8" t="s">
        <v>1094</v>
      </c>
      <c r="C457" s="8"/>
      <c r="D457" s="92">
        <f>+VLOOKUP(A457,Clasificaciones!C:I,5,FALSE)</f>
        <v>2126191</v>
      </c>
      <c r="E457" s="92">
        <v>0</v>
      </c>
      <c r="F457" s="92">
        <v>0</v>
      </c>
      <c r="G457" s="92">
        <v>0</v>
      </c>
      <c r="H457" s="92">
        <f t="shared" si="83"/>
        <v>2126191</v>
      </c>
      <c r="I457" s="26">
        <v>0</v>
      </c>
      <c r="J457" s="26">
        <v>0</v>
      </c>
      <c r="K457" s="26">
        <v>0</v>
      </c>
      <c r="L457" s="26">
        <v>0</v>
      </c>
      <c r="M457" s="26">
        <f t="shared" si="89"/>
        <v>-2126191</v>
      </c>
      <c r="N457" s="26">
        <v>0</v>
      </c>
      <c r="O457" s="26">
        <v>0</v>
      </c>
      <c r="P457" s="26">
        <v>0</v>
      </c>
      <c r="Q457" s="26">
        <v>0</v>
      </c>
      <c r="R457" s="26">
        <v>0</v>
      </c>
      <c r="S457" s="26">
        <v>0</v>
      </c>
      <c r="T457" s="26">
        <v>0</v>
      </c>
      <c r="U457" s="26">
        <v>0</v>
      </c>
      <c r="V457" s="26">
        <v>0</v>
      </c>
      <c r="W457" s="26">
        <v>0</v>
      </c>
      <c r="X457" s="26">
        <v>0</v>
      </c>
      <c r="Y457" s="26">
        <v>0</v>
      </c>
      <c r="Z457" s="26">
        <v>0</v>
      </c>
      <c r="AA457" s="26">
        <f t="shared" si="88"/>
        <v>0</v>
      </c>
      <c r="AB457" s="107"/>
      <c r="AC457" s="107"/>
      <c r="AD457" s="107"/>
      <c r="AE457" s="107"/>
      <c r="AF457" s="107"/>
      <c r="AG457" s="107"/>
      <c r="AH457" s="107"/>
      <c r="AI457" s="107"/>
      <c r="AJ457" s="107"/>
      <c r="AK457" s="107"/>
      <c r="AL457" s="107"/>
      <c r="AM457" s="107"/>
      <c r="AN457" s="107"/>
      <c r="AO457" s="108"/>
      <c r="AP457" s="108"/>
      <c r="AQ457" s="108"/>
      <c r="AR457" s="108"/>
      <c r="AS457" s="108"/>
      <c r="AT457" s="108"/>
      <c r="AU457" s="108"/>
      <c r="AV457" s="108"/>
      <c r="AW457" s="108"/>
      <c r="AX457" s="108"/>
      <c r="AY457" s="108"/>
      <c r="AZ457" s="108"/>
      <c r="BA457" s="108"/>
      <c r="BB457" s="108"/>
    </row>
    <row r="458" spans="1:54" s="109" customFormat="1" ht="12" customHeight="1">
      <c r="A458" s="8">
        <v>5131008</v>
      </c>
      <c r="B458" s="8" t="s">
        <v>1228</v>
      </c>
      <c r="C458" s="8"/>
      <c r="D458" s="92">
        <f>+VLOOKUP(A458,Clasificaciones!C:I,5,FALSE)</f>
        <v>3474050</v>
      </c>
      <c r="E458" s="92">
        <v>0</v>
      </c>
      <c r="F458" s="92">
        <v>0</v>
      </c>
      <c r="G458" s="92">
        <v>0</v>
      </c>
      <c r="H458" s="92">
        <f t="shared" si="83"/>
        <v>3474050</v>
      </c>
      <c r="I458" s="26">
        <v>0</v>
      </c>
      <c r="J458" s="26">
        <v>0</v>
      </c>
      <c r="K458" s="26">
        <v>0</v>
      </c>
      <c r="L458" s="26">
        <v>0</v>
      </c>
      <c r="M458" s="26">
        <f t="shared" si="89"/>
        <v>-3474050</v>
      </c>
      <c r="N458" s="26">
        <v>0</v>
      </c>
      <c r="O458" s="26">
        <v>0</v>
      </c>
      <c r="P458" s="26">
        <v>0</v>
      </c>
      <c r="Q458" s="26">
        <v>0</v>
      </c>
      <c r="R458" s="26">
        <v>0</v>
      </c>
      <c r="S458" s="26">
        <v>0</v>
      </c>
      <c r="T458" s="26">
        <v>0</v>
      </c>
      <c r="U458" s="26">
        <v>0</v>
      </c>
      <c r="V458" s="26">
        <v>0</v>
      </c>
      <c r="W458" s="26">
        <v>0</v>
      </c>
      <c r="X458" s="26">
        <v>0</v>
      </c>
      <c r="Y458" s="26">
        <v>0</v>
      </c>
      <c r="Z458" s="26">
        <v>0</v>
      </c>
      <c r="AA458" s="26">
        <f t="shared" si="88"/>
        <v>0</v>
      </c>
      <c r="AB458" s="107"/>
      <c r="AC458" s="107"/>
      <c r="AD458" s="107"/>
      <c r="AE458" s="107"/>
      <c r="AF458" s="107"/>
      <c r="AG458" s="107"/>
      <c r="AH458" s="107"/>
      <c r="AI458" s="107"/>
      <c r="AJ458" s="107"/>
      <c r="AK458" s="107"/>
      <c r="AL458" s="107"/>
      <c r="AM458" s="107"/>
      <c r="AN458" s="107"/>
      <c r="AO458" s="108"/>
      <c r="AP458" s="108"/>
      <c r="AQ458" s="108"/>
      <c r="AR458" s="108"/>
      <c r="AS458" s="108"/>
      <c r="AT458" s="108"/>
      <c r="AU458" s="108"/>
      <c r="AV458" s="108"/>
      <c r="AW458" s="108"/>
      <c r="AX458" s="108"/>
      <c r="AY458" s="108"/>
      <c r="AZ458" s="108"/>
      <c r="BA458" s="108"/>
      <c r="BB458" s="108"/>
    </row>
    <row r="459" spans="1:54" s="109" customFormat="1" ht="12" customHeight="1">
      <c r="A459" s="8">
        <v>5131010</v>
      </c>
      <c r="B459" s="8" t="s">
        <v>215</v>
      </c>
      <c r="C459" s="8"/>
      <c r="D459" s="92">
        <f>+VLOOKUP(A459,Clasificaciones!C:I,5,FALSE)</f>
        <v>11468800</v>
      </c>
      <c r="E459" s="92">
        <v>0</v>
      </c>
      <c r="F459" s="92">
        <v>0</v>
      </c>
      <c r="G459" s="92">
        <v>0</v>
      </c>
      <c r="H459" s="92">
        <f t="shared" si="83"/>
        <v>11468800</v>
      </c>
      <c r="I459" s="26">
        <v>0</v>
      </c>
      <c r="J459" s="26">
        <v>0</v>
      </c>
      <c r="K459" s="26">
        <v>0</v>
      </c>
      <c r="L459" s="26">
        <v>0</v>
      </c>
      <c r="M459" s="26">
        <f t="shared" si="89"/>
        <v>-11468800</v>
      </c>
      <c r="N459" s="26">
        <v>0</v>
      </c>
      <c r="O459" s="26">
        <v>0</v>
      </c>
      <c r="P459" s="26">
        <v>0</v>
      </c>
      <c r="Q459" s="26">
        <v>0</v>
      </c>
      <c r="R459" s="26">
        <v>0</v>
      </c>
      <c r="S459" s="26">
        <v>0</v>
      </c>
      <c r="T459" s="26">
        <v>0</v>
      </c>
      <c r="U459" s="26">
        <v>0</v>
      </c>
      <c r="V459" s="26">
        <v>0</v>
      </c>
      <c r="W459" s="26">
        <v>0</v>
      </c>
      <c r="X459" s="26">
        <v>0</v>
      </c>
      <c r="Y459" s="26">
        <v>0</v>
      </c>
      <c r="Z459" s="26">
        <v>0</v>
      </c>
      <c r="AA459" s="26">
        <f t="shared" si="88"/>
        <v>0</v>
      </c>
      <c r="AB459" s="107"/>
      <c r="AC459" s="107"/>
      <c r="AD459" s="107"/>
      <c r="AE459" s="107"/>
      <c r="AF459" s="107"/>
      <c r="AG459" s="107"/>
      <c r="AH459" s="107"/>
      <c r="AI459" s="107"/>
      <c r="AJ459" s="107"/>
      <c r="AK459" s="107"/>
      <c r="AL459" s="107"/>
      <c r="AM459" s="107"/>
      <c r="AN459" s="107"/>
      <c r="AO459" s="108"/>
      <c r="AP459" s="108"/>
      <c r="AQ459" s="108"/>
      <c r="AR459" s="108"/>
      <c r="AS459" s="108"/>
      <c r="AT459" s="108"/>
      <c r="AU459" s="108"/>
      <c r="AV459" s="108"/>
      <c r="AW459" s="108"/>
      <c r="AX459" s="108"/>
      <c r="AY459" s="108"/>
      <c r="AZ459" s="108"/>
      <c r="BA459" s="108"/>
      <c r="BB459" s="108"/>
    </row>
    <row r="460" spans="1:54" s="109" customFormat="1" ht="12" customHeight="1">
      <c r="A460" s="8">
        <v>5131012</v>
      </c>
      <c r="B460" s="8" t="s">
        <v>951</v>
      </c>
      <c r="C460" s="8"/>
      <c r="D460" s="92">
        <f>+VLOOKUP(A460,Clasificaciones!C:I,5,FALSE)</f>
        <v>24551374</v>
      </c>
      <c r="E460" s="92">
        <v>0</v>
      </c>
      <c r="F460" s="92">
        <v>0</v>
      </c>
      <c r="G460" s="92">
        <v>0</v>
      </c>
      <c r="H460" s="92">
        <f t="shared" si="83"/>
        <v>24551374</v>
      </c>
      <c r="I460" s="26">
        <v>0</v>
      </c>
      <c r="J460" s="26">
        <v>0</v>
      </c>
      <c r="K460" s="26">
        <v>0</v>
      </c>
      <c r="L460" s="26">
        <v>0</v>
      </c>
      <c r="M460" s="26">
        <f t="shared" si="89"/>
        <v>-24551374</v>
      </c>
      <c r="N460" s="26">
        <v>0</v>
      </c>
      <c r="O460" s="26">
        <v>0</v>
      </c>
      <c r="P460" s="26">
        <v>0</v>
      </c>
      <c r="Q460" s="26">
        <v>0</v>
      </c>
      <c r="R460" s="26">
        <v>0</v>
      </c>
      <c r="S460" s="26">
        <v>0</v>
      </c>
      <c r="T460" s="26">
        <v>0</v>
      </c>
      <c r="U460" s="26">
        <v>0</v>
      </c>
      <c r="V460" s="26">
        <v>0</v>
      </c>
      <c r="W460" s="26">
        <v>0</v>
      </c>
      <c r="X460" s="26">
        <v>0</v>
      </c>
      <c r="Y460" s="26">
        <v>0</v>
      </c>
      <c r="Z460" s="26">
        <v>0</v>
      </c>
      <c r="AA460" s="26">
        <f t="shared" si="88"/>
        <v>0</v>
      </c>
      <c r="AB460" s="107"/>
      <c r="AC460" s="107"/>
      <c r="AD460" s="107"/>
      <c r="AE460" s="107"/>
      <c r="AF460" s="107"/>
      <c r="AG460" s="107"/>
      <c r="AH460" s="107"/>
      <c r="AI460" s="107"/>
      <c r="AJ460" s="107"/>
      <c r="AK460" s="107"/>
      <c r="AL460" s="107"/>
      <c r="AM460" s="107"/>
      <c r="AN460" s="107"/>
      <c r="AO460" s="108"/>
      <c r="AP460" s="108"/>
      <c r="AQ460" s="108"/>
      <c r="AR460" s="108"/>
      <c r="AS460" s="108"/>
      <c r="AT460" s="108"/>
      <c r="AU460" s="108"/>
      <c r="AV460" s="108"/>
      <c r="AW460" s="108"/>
      <c r="AX460" s="108"/>
      <c r="AY460" s="108"/>
      <c r="AZ460" s="108"/>
      <c r="BA460" s="108"/>
      <c r="BB460" s="108"/>
    </row>
    <row r="461" spans="1:54" s="109" customFormat="1" ht="12" customHeight="1">
      <c r="A461" s="8">
        <v>5131014</v>
      </c>
      <c r="B461" s="8" t="s">
        <v>952</v>
      </c>
      <c r="C461" s="8"/>
      <c r="D461" s="92">
        <f>+VLOOKUP(A461,Clasificaciones!C:I,5,FALSE)</f>
        <v>19788235</v>
      </c>
      <c r="E461" s="92">
        <v>0</v>
      </c>
      <c r="F461" s="177">
        <f>+E256</f>
        <v>1599181</v>
      </c>
      <c r="G461" s="92">
        <v>0</v>
      </c>
      <c r="H461" s="92">
        <f t="shared" si="83"/>
        <v>18189054</v>
      </c>
      <c r="I461" s="26">
        <v>0</v>
      </c>
      <c r="J461" s="26">
        <v>0</v>
      </c>
      <c r="K461" s="26">
        <v>0</v>
      </c>
      <c r="L461" s="26">
        <v>0</v>
      </c>
      <c r="M461" s="26">
        <f t="shared" si="89"/>
        <v>-18189054</v>
      </c>
      <c r="N461" s="26">
        <v>0</v>
      </c>
      <c r="O461" s="26">
        <v>0</v>
      </c>
      <c r="P461" s="26">
        <v>0</v>
      </c>
      <c r="Q461" s="26">
        <v>0</v>
      </c>
      <c r="R461" s="26">
        <v>0</v>
      </c>
      <c r="S461" s="26">
        <v>0</v>
      </c>
      <c r="T461" s="26">
        <v>0</v>
      </c>
      <c r="U461" s="26">
        <v>0</v>
      </c>
      <c r="V461" s="26">
        <v>0</v>
      </c>
      <c r="W461" s="26">
        <v>0</v>
      </c>
      <c r="X461" s="26">
        <v>0</v>
      </c>
      <c r="Y461" s="26">
        <v>0</v>
      </c>
      <c r="Z461" s="26">
        <v>0</v>
      </c>
      <c r="AA461" s="26">
        <f t="shared" si="88"/>
        <v>0</v>
      </c>
      <c r="AB461" s="107"/>
      <c r="AC461" s="107"/>
      <c r="AD461" s="107"/>
      <c r="AE461" s="107"/>
      <c r="AF461" s="107"/>
      <c r="AG461" s="107"/>
      <c r="AH461" s="107"/>
      <c r="AI461" s="107"/>
      <c r="AJ461" s="107"/>
      <c r="AK461" s="107"/>
      <c r="AL461" s="107"/>
      <c r="AM461" s="107"/>
      <c r="AN461" s="107"/>
      <c r="AO461" s="108"/>
      <c r="AP461" s="108"/>
      <c r="AQ461" s="108"/>
      <c r="AR461" s="108"/>
      <c r="AS461" s="108"/>
      <c r="AT461" s="108"/>
      <c r="AU461" s="108"/>
      <c r="AV461" s="108"/>
      <c r="AW461" s="108"/>
      <c r="AX461" s="108"/>
      <c r="AY461" s="108"/>
      <c r="AZ461" s="108"/>
      <c r="BA461" s="108"/>
      <c r="BB461" s="108"/>
    </row>
    <row r="462" spans="1:54" s="109" customFormat="1" ht="12" customHeight="1">
      <c r="A462" s="8">
        <v>5131015</v>
      </c>
      <c r="B462" s="8" t="s">
        <v>300</v>
      </c>
      <c r="C462" s="8"/>
      <c r="D462" s="92">
        <f>+VLOOKUP(A462,Clasificaciones!C:I,5,FALSE)</f>
        <v>30091636</v>
      </c>
      <c r="E462" s="92">
        <v>0</v>
      </c>
      <c r="F462" s="92">
        <v>0</v>
      </c>
      <c r="G462" s="92">
        <v>0</v>
      </c>
      <c r="H462" s="92">
        <f t="shared" si="83"/>
        <v>30091636</v>
      </c>
      <c r="I462" s="26">
        <v>0</v>
      </c>
      <c r="J462" s="26">
        <v>0</v>
      </c>
      <c r="K462" s="26">
        <v>0</v>
      </c>
      <c r="L462" s="26">
        <v>0</v>
      </c>
      <c r="M462" s="26">
        <f t="shared" si="89"/>
        <v>-30091636</v>
      </c>
      <c r="N462" s="26">
        <v>0</v>
      </c>
      <c r="O462" s="26">
        <v>0</v>
      </c>
      <c r="P462" s="26">
        <v>0</v>
      </c>
      <c r="Q462" s="26">
        <v>0</v>
      </c>
      <c r="R462" s="26">
        <v>0</v>
      </c>
      <c r="S462" s="26">
        <v>0</v>
      </c>
      <c r="T462" s="26">
        <v>0</v>
      </c>
      <c r="U462" s="26">
        <v>0</v>
      </c>
      <c r="V462" s="26">
        <v>0</v>
      </c>
      <c r="W462" s="26">
        <v>0</v>
      </c>
      <c r="X462" s="26">
        <v>0</v>
      </c>
      <c r="Y462" s="26">
        <v>0</v>
      </c>
      <c r="Z462" s="26">
        <v>0</v>
      </c>
      <c r="AA462" s="26">
        <f t="shared" si="88"/>
        <v>0</v>
      </c>
      <c r="AB462" s="107"/>
      <c r="AC462" s="107"/>
      <c r="AD462" s="107"/>
      <c r="AE462" s="107"/>
      <c r="AF462" s="107"/>
      <c r="AG462" s="107"/>
      <c r="AH462" s="107"/>
      <c r="AI462" s="107"/>
      <c r="AJ462" s="107"/>
      <c r="AK462" s="107"/>
      <c r="AL462" s="107"/>
      <c r="AM462" s="107"/>
      <c r="AN462" s="107"/>
      <c r="AO462" s="108"/>
      <c r="AP462" s="108"/>
      <c r="AQ462" s="108"/>
      <c r="AR462" s="108"/>
      <c r="AS462" s="108"/>
      <c r="AT462" s="108"/>
      <c r="AU462" s="108"/>
      <c r="AV462" s="108"/>
      <c r="AW462" s="108"/>
      <c r="AX462" s="108"/>
      <c r="AY462" s="108"/>
      <c r="AZ462" s="108"/>
      <c r="BA462" s="108"/>
      <c r="BB462" s="108"/>
    </row>
    <row r="463" spans="1:54" s="109" customFormat="1" ht="12" customHeight="1">
      <c r="A463" s="8">
        <v>5131016</v>
      </c>
      <c r="B463" s="8" t="s">
        <v>302</v>
      </c>
      <c r="C463" s="8" t="str">
        <f>+VLOOKUP(A463,Clasificaciones!$C$4:$H$887,6,0)</f>
        <v>Otros Gastos de Administración</v>
      </c>
      <c r="D463" s="92">
        <f>+VLOOKUP(A463,Clasificaciones!C:I,5,FALSE)</f>
        <v>872727</v>
      </c>
      <c r="E463" s="92">
        <v>0</v>
      </c>
      <c r="F463" s="92">
        <v>0</v>
      </c>
      <c r="G463" s="92">
        <v>0</v>
      </c>
      <c r="H463" s="92">
        <f t="shared" si="83"/>
        <v>872727</v>
      </c>
      <c r="I463" s="26">
        <v>0</v>
      </c>
      <c r="J463" s="26">
        <v>0</v>
      </c>
      <c r="K463" s="26"/>
      <c r="L463" s="26">
        <v>0</v>
      </c>
      <c r="M463" s="26">
        <f t="shared" ref="M463:M468" si="90">-H463</f>
        <v>-872727</v>
      </c>
      <c r="N463" s="26">
        <v>0</v>
      </c>
      <c r="O463" s="26">
        <v>0</v>
      </c>
      <c r="P463" s="26">
        <v>0</v>
      </c>
      <c r="Q463" s="26">
        <v>0</v>
      </c>
      <c r="R463" s="26">
        <v>0</v>
      </c>
      <c r="S463" s="26">
        <v>0</v>
      </c>
      <c r="T463" s="26">
        <v>0</v>
      </c>
      <c r="U463" s="26">
        <v>0</v>
      </c>
      <c r="V463" s="26">
        <v>0</v>
      </c>
      <c r="W463" s="26">
        <v>0</v>
      </c>
      <c r="X463" s="26">
        <v>0</v>
      </c>
      <c r="Y463" s="26">
        <v>0</v>
      </c>
      <c r="Z463" s="26">
        <v>0</v>
      </c>
      <c r="AA463" s="26">
        <f t="shared" si="88"/>
        <v>0</v>
      </c>
      <c r="AB463" s="107"/>
      <c r="AC463" s="107"/>
      <c r="AD463" s="107"/>
      <c r="AE463" s="107"/>
      <c r="AF463" s="107"/>
      <c r="AG463" s="107"/>
      <c r="AH463" s="107"/>
      <c r="AI463" s="107"/>
      <c r="AJ463" s="107"/>
      <c r="AK463" s="107"/>
      <c r="AL463" s="107"/>
      <c r="AM463" s="107"/>
      <c r="AN463" s="107"/>
      <c r="AO463" s="108"/>
      <c r="AP463" s="108"/>
      <c r="AQ463" s="108"/>
      <c r="AR463" s="108"/>
      <c r="AS463" s="108"/>
      <c r="AT463" s="108"/>
      <c r="AU463" s="108"/>
      <c r="AV463" s="108"/>
      <c r="AW463" s="108"/>
      <c r="AX463" s="108"/>
      <c r="AY463" s="108"/>
      <c r="AZ463" s="108"/>
      <c r="BA463" s="108"/>
      <c r="BB463" s="108"/>
    </row>
    <row r="464" spans="1:54" s="109" customFormat="1" ht="12" customHeight="1">
      <c r="A464" s="8">
        <v>5131018</v>
      </c>
      <c r="B464" s="8" t="s">
        <v>953</v>
      </c>
      <c r="C464" s="8"/>
      <c r="D464" s="92">
        <f>+VLOOKUP(A464,Clasificaciones!C:I,5,FALSE)</f>
        <v>0</v>
      </c>
      <c r="E464" s="92">
        <v>0</v>
      </c>
      <c r="F464" s="92">
        <v>0</v>
      </c>
      <c r="G464" s="92">
        <v>0</v>
      </c>
      <c r="H464" s="92">
        <f t="shared" si="83"/>
        <v>0</v>
      </c>
      <c r="I464" s="26">
        <v>0</v>
      </c>
      <c r="J464" s="26">
        <v>0</v>
      </c>
      <c r="K464" s="26">
        <v>0</v>
      </c>
      <c r="L464" s="26">
        <v>0</v>
      </c>
      <c r="M464" s="26">
        <f t="shared" si="90"/>
        <v>0</v>
      </c>
      <c r="N464" s="26">
        <v>0</v>
      </c>
      <c r="O464" s="26">
        <v>0</v>
      </c>
      <c r="P464" s="26">
        <v>0</v>
      </c>
      <c r="Q464" s="26">
        <v>0</v>
      </c>
      <c r="R464" s="26">
        <v>0</v>
      </c>
      <c r="S464" s="26">
        <v>0</v>
      </c>
      <c r="T464" s="26">
        <v>0</v>
      </c>
      <c r="U464" s="26">
        <v>0</v>
      </c>
      <c r="V464" s="26">
        <v>0</v>
      </c>
      <c r="W464" s="26">
        <v>0</v>
      </c>
      <c r="X464" s="26">
        <v>0</v>
      </c>
      <c r="Y464" s="26">
        <v>0</v>
      </c>
      <c r="Z464" s="26">
        <v>0</v>
      </c>
      <c r="AA464" s="26">
        <f t="shared" si="88"/>
        <v>0</v>
      </c>
      <c r="AB464" s="107"/>
      <c r="AC464" s="107"/>
      <c r="AD464" s="107"/>
      <c r="AE464" s="107"/>
      <c r="AF464" s="107"/>
      <c r="AG464" s="107"/>
      <c r="AH464" s="107"/>
      <c r="AI464" s="107"/>
      <c r="AJ464" s="107"/>
      <c r="AK464" s="107"/>
      <c r="AL464" s="107"/>
      <c r="AM464" s="107"/>
      <c r="AN464" s="107"/>
      <c r="AO464" s="108"/>
      <c r="AP464" s="108"/>
      <c r="AQ464" s="108"/>
      <c r="AR464" s="108"/>
      <c r="AS464" s="108"/>
      <c r="AT464" s="108"/>
      <c r="AU464" s="108"/>
      <c r="AV464" s="108"/>
      <c r="AW464" s="108"/>
      <c r="AX464" s="108"/>
      <c r="AY464" s="108"/>
      <c r="AZ464" s="108"/>
      <c r="BA464" s="108"/>
      <c r="BB464" s="108"/>
    </row>
    <row r="465" spans="1:54" s="109" customFormat="1" ht="12" customHeight="1">
      <c r="A465" s="8">
        <v>5131019</v>
      </c>
      <c r="B465" s="8" t="s">
        <v>500</v>
      </c>
      <c r="C465" s="8" t="str">
        <f>+VLOOKUP(A465,Clasificaciones!$C$4:$H$887,6,0)</f>
        <v>Otros Gastos de Administración</v>
      </c>
      <c r="D465" s="92">
        <f>+VLOOKUP(A465,Clasificaciones!C:I,5,FALSE)</f>
        <v>5172724</v>
      </c>
      <c r="E465" s="92">
        <v>0</v>
      </c>
      <c r="F465" s="92">
        <v>0</v>
      </c>
      <c r="G465" s="92">
        <v>0</v>
      </c>
      <c r="H465" s="92">
        <f t="shared" si="83"/>
        <v>5172724</v>
      </c>
      <c r="I465" s="26">
        <v>0</v>
      </c>
      <c r="J465" s="26">
        <v>0</v>
      </c>
      <c r="K465" s="26"/>
      <c r="L465" s="26">
        <v>0</v>
      </c>
      <c r="M465" s="26">
        <f t="shared" si="90"/>
        <v>-5172724</v>
      </c>
      <c r="N465" s="26">
        <v>0</v>
      </c>
      <c r="O465" s="26">
        <v>0</v>
      </c>
      <c r="P465" s="26">
        <v>0</v>
      </c>
      <c r="Q465" s="26">
        <v>0</v>
      </c>
      <c r="R465" s="26">
        <v>0</v>
      </c>
      <c r="S465" s="26">
        <v>0</v>
      </c>
      <c r="T465" s="26">
        <v>0</v>
      </c>
      <c r="U465" s="26">
        <v>0</v>
      </c>
      <c r="V465" s="26">
        <v>0</v>
      </c>
      <c r="W465" s="26">
        <v>0</v>
      </c>
      <c r="X465" s="26">
        <v>0</v>
      </c>
      <c r="Y465" s="26">
        <v>0</v>
      </c>
      <c r="Z465" s="26">
        <v>0</v>
      </c>
      <c r="AA465" s="26">
        <f t="shared" si="88"/>
        <v>0</v>
      </c>
      <c r="AB465" s="107"/>
      <c r="AC465" s="107"/>
      <c r="AD465" s="107"/>
      <c r="AE465" s="107"/>
      <c r="AF465" s="107"/>
      <c r="AG465" s="107"/>
      <c r="AH465" s="107"/>
      <c r="AI465" s="107"/>
      <c r="AJ465" s="107"/>
      <c r="AK465" s="107"/>
      <c r="AL465" s="107"/>
      <c r="AM465" s="107"/>
      <c r="AN465" s="107"/>
      <c r="AO465" s="108"/>
      <c r="AP465" s="108"/>
      <c r="AQ465" s="108"/>
      <c r="AR465" s="108"/>
      <c r="AS465" s="108"/>
      <c r="AT465" s="108"/>
      <c r="AU465" s="108"/>
      <c r="AV465" s="108"/>
      <c r="AW465" s="108"/>
      <c r="AX465" s="108"/>
      <c r="AY465" s="108"/>
      <c r="AZ465" s="108"/>
      <c r="BA465" s="108"/>
      <c r="BB465" s="108"/>
    </row>
    <row r="466" spans="1:54" s="109" customFormat="1" ht="12" customHeight="1">
      <c r="A466" s="8">
        <v>5131020</v>
      </c>
      <c r="B466" s="8" t="s">
        <v>1374</v>
      </c>
      <c r="C466" s="8"/>
      <c r="D466" s="92">
        <f>+VLOOKUP(A466,Clasificaciones!C:I,5,FALSE)</f>
        <v>50000000</v>
      </c>
      <c r="E466" s="92">
        <v>0</v>
      </c>
      <c r="F466" s="177">
        <f>+D466</f>
        <v>50000000</v>
      </c>
      <c r="G466" s="92">
        <v>0</v>
      </c>
      <c r="H466" s="92">
        <f t="shared" si="83"/>
        <v>0</v>
      </c>
      <c r="I466" s="26">
        <v>0</v>
      </c>
      <c r="J466" s="26">
        <v>0</v>
      </c>
      <c r="K466" s="26">
        <f>-H466</f>
        <v>0</v>
      </c>
      <c r="L466" s="26">
        <v>0</v>
      </c>
      <c r="M466" s="26">
        <f t="shared" si="90"/>
        <v>0</v>
      </c>
      <c r="N466" s="26">
        <v>0</v>
      </c>
      <c r="O466" s="26">
        <v>0</v>
      </c>
      <c r="P466" s="26">
        <v>0</v>
      </c>
      <c r="Q466" s="26">
        <v>0</v>
      </c>
      <c r="R466" s="26">
        <v>0</v>
      </c>
      <c r="S466" s="26">
        <v>0</v>
      </c>
      <c r="T466" s="26">
        <v>0</v>
      </c>
      <c r="U466" s="26">
        <v>0</v>
      </c>
      <c r="V466" s="26">
        <v>0</v>
      </c>
      <c r="W466" s="26">
        <v>0</v>
      </c>
      <c r="X466" s="26">
        <v>0</v>
      </c>
      <c r="Y466" s="26">
        <v>0</v>
      </c>
      <c r="Z466" s="26">
        <v>0</v>
      </c>
      <c r="AA466" s="26">
        <f t="shared" si="88"/>
        <v>0</v>
      </c>
      <c r="AB466" s="107"/>
      <c r="AC466" s="107"/>
      <c r="AD466" s="107"/>
      <c r="AE466" s="107"/>
      <c r="AF466" s="107"/>
      <c r="AG466" s="107"/>
      <c r="AH466" s="107"/>
      <c r="AI466" s="107"/>
      <c r="AJ466" s="107"/>
      <c r="AK466" s="107"/>
      <c r="AL466" s="107"/>
      <c r="AM466" s="107"/>
      <c r="AN466" s="107"/>
      <c r="AO466" s="108"/>
      <c r="AP466" s="108"/>
      <c r="AQ466" s="108"/>
      <c r="AR466" s="108"/>
      <c r="AS466" s="108"/>
      <c r="AT466" s="108"/>
      <c r="AU466" s="108"/>
      <c r="AV466" s="108"/>
      <c r="AW466" s="108"/>
      <c r="AX466" s="108"/>
      <c r="AY466" s="108"/>
      <c r="AZ466" s="108"/>
      <c r="BA466" s="108"/>
      <c r="BB466" s="108"/>
    </row>
    <row r="467" spans="1:54" s="109" customFormat="1" ht="12" customHeight="1">
      <c r="A467" s="8">
        <v>5131021</v>
      </c>
      <c r="B467" s="8" t="s">
        <v>1432</v>
      </c>
      <c r="C467" s="8"/>
      <c r="D467" s="92">
        <f>+VLOOKUP(A467,Clasificaciones!C:I,5,FALSE)</f>
        <v>80000000</v>
      </c>
      <c r="E467" s="92">
        <v>0</v>
      </c>
      <c r="F467" s="177">
        <f>+D467</f>
        <v>80000000</v>
      </c>
      <c r="G467" s="92">
        <v>0</v>
      </c>
      <c r="H467" s="92">
        <f t="shared" ref="H467" si="91">+D467-G467+E467-F467</f>
        <v>0</v>
      </c>
      <c r="I467" s="26">
        <v>0</v>
      </c>
      <c r="J467" s="26">
        <v>0</v>
      </c>
      <c r="K467" s="26">
        <f>-H467</f>
        <v>0</v>
      </c>
      <c r="L467" s="26">
        <v>0</v>
      </c>
      <c r="M467" s="26">
        <f t="shared" si="90"/>
        <v>0</v>
      </c>
      <c r="N467" s="26">
        <v>0</v>
      </c>
      <c r="O467" s="26">
        <v>0</v>
      </c>
      <c r="P467" s="26">
        <v>0</v>
      </c>
      <c r="Q467" s="26">
        <v>0</v>
      </c>
      <c r="R467" s="26">
        <v>0</v>
      </c>
      <c r="S467" s="26">
        <v>0</v>
      </c>
      <c r="T467" s="26">
        <v>0</v>
      </c>
      <c r="U467" s="26">
        <v>0</v>
      </c>
      <c r="V467" s="26">
        <v>0</v>
      </c>
      <c r="W467" s="26">
        <v>0</v>
      </c>
      <c r="X467" s="26">
        <v>0</v>
      </c>
      <c r="Y467" s="26">
        <v>0</v>
      </c>
      <c r="Z467" s="26">
        <v>0</v>
      </c>
      <c r="AA467" s="26">
        <f t="shared" si="88"/>
        <v>0</v>
      </c>
      <c r="AB467" s="107"/>
      <c r="AC467" s="107"/>
      <c r="AD467" s="107"/>
      <c r="AE467" s="107"/>
      <c r="AF467" s="107"/>
      <c r="AG467" s="107"/>
      <c r="AH467" s="107"/>
      <c r="AI467" s="107"/>
      <c r="AJ467" s="107"/>
      <c r="AK467" s="107"/>
      <c r="AL467" s="107"/>
      <c r="AM467" s="107"/>
      <c r="AN467" s="107"/>
      <c r="AO467" s="108"/>
      <c r="AP467" s="108"/>
      <c r="AQ467" s="108"/>
      <c r="AR467" s="108"/>
      <c r="AS467" s="108"/>
      <c r="AT467" s="108"/>
      <c r="AU467" s="108"/>
      <c r="AV467" s="108"/>
      <c r="AW467" s="108"/>
      <c r="AX467" s="108"/>
      <c r="AY467" s="108"/>
      <c r="AZ467" s="108"/>
      <c r="BA467" s="108"/>
      <c r="BB467" s="108"/>
    </row>
    <row r="468" spans="1:54" s="109" customFormat="1" ht="12" customHeight="1">
      <c r="A468" s="8">
        <v>5131099</v>
      </c>
      <c r="B468" s="8" t="s">
        <v>1232</v>
      </c>
      <c r="C468" s="8" t="str">
        <f>+VLOOKUP(A468,Clasificaciones!$C$4:$H$887,6,0)</f>
        <v>Otros Gastos de Administración</v>
      </c>
      <c r="D468" s="92">
        <f>+VLOOKUP(A468,Clasificaciones!C:I,5,FALSE)</f>
        <v>7985757</v>
      </c>
      <c r="E468" s="92">
        <v>0</v>
      </c>
      <c r="F468" s="92">
        <v>0</v>
      </c>
      <c r="G468" s="92">
        <v>0</v>
      </c>
      <c r="H468" s="92">
        <f t="shared" si="83"/>
        <v>7985757</v>
      </c>
      <c r="I468" s="26">
        <v>0</v>
      </c>
      <c r="J468" s="26">
        <v>0</v>
      </c>
      <c r="K468" s="26"/>
      <c r="L468" s="26">
        <v>0</v>
      </c>
      <c r="M468" s="26">
        <f t="shared" si="90"/>
        <v>-7985757</v>
      </c>
      <c r="N468" s="26">
        <v>0</v>
      </c>
      <c r="O468" s="26">
        <v>0</v>
      </c>
      <c r="P468" s="26">
        <v>0</v>
      </c>
      <c r="Q468" s="26">
        <v>0</v>
      </c>
      <c r="R468" s="26">
        <v>0</v>
      </c>
      <c r="S468" s="26">
        <v>0</v>
      </c>
      <c r="T468" s="26">
        <v>0</v>
      </c>
      <c r="U468" s="26">
        <v>0</v>
      </c>
      <c r="V468" s="26">
        <v>0</v>
      </c>
      <c r="W468" s="26">
        <v>0</v>
      </c>
      <c r="X468" s="26">
        <v>0</v>
      </c>
      <c r="Y468" s="26">
        <v>0</v>
      </c>
      <c r="Z468" s="26">
        <v>0</v>
      </c>
      <c r="AA468" s="26">
        <f t="shared" si="88"/>
        <v>0</v>
      </c>
      <c r="AB468" s="107"/>
      <c r="AC468" s="107"/>
      <c r="AD468" s="107"/>
      <c r="AE468" s="107"/>
      <c r="AF468" s="107"/>
      <c r="AG468" s="107"/>
      <c r="AH468" s="107"/>
      <c r="AI468" s="107"/>
      <c r="AJ468" s="107"/>
      <c r="AK468" s="107"/>
      <c r="AL468" s="107"/>
      <c r="AM468" s="107"/>
      <c r="AN468" s="107"/>
      <c r="AO468" s="108"/>
      <c r="AP468" s="108"/>
      <c r="AQ468" s="108"/>
      <c r="AR468" s="108"/>
      <c r="AS468" s="108"/>
      <c r="AT468" s="108"/>
      <c r="AU468" s="108"/>
      <c r="AV468" s="108"/>
      <c r="AW468" s="108"/>
      <c r="AX468" s="108"/>
      <c r="AY468" s="108"/>
      <c r="AZ468" s="108"/>
      <c r="BA468" s="108"/>
      <c r="BB468" s="108"/>
    </row>
    <row r="469" spans="1:54" s="109" customFormat="1" ht="12" customHeight="1">
      <c r="A469" s="8">
        <v>514</v>
      </c>
      <c r="B469" s="8" t="s">
        <v>954</v>
      </c>
      <c r="C469" s="8"/>
      <c r="D469" s="92">
        <f>+VLOOKUP(A469,Clasificaciones!C:I,5,FALSE)</f>
        <v>0</v>
      </c>
      <c r="E469" s="92">
        <v>0</v>
      </c>
      <c r="F469" s="92">
        <v>0</v>
      </c>
      <c r="G469" s="92">
        <v>0</v>
      </c>
      <c r="H469" s="92">
        <f t="shared" si="83"/>
        <v>0</v>
      </c>
      <c r="I469" s="26">
        <v>0</v>
      </c>
      <c r="J469" s="26">
        <v>0</v>
      </c>
      <c r="K469" s="26">
        <v>0</v>
      </c>
      <c r="L469" s="26">
        <v>0</v>
      </c>
      <c r="M469" s="26">
        <v>0</v>
      </c>
      <c r="N469" s="26">
        <v>0</v>
      </c>
      <c r="O469" s="26">
        <v>0</v>
      </c>
      <c r="P469" s="26">
        <v>0</v>
      </c>
      <c r="Q469" s="26">
        <v>0</v>
      </c>
      <c r="R469" s="26">
        <v>0</v>
      </c>
      <c r="S469" s="26">
        <v>0</v>
      </c>
      <c r="T469" s="26">
        <v>0</v>
      </c>
      <c r="U469" s="26">
        <v>0</v>
      </c>
      <c r="V469" s="26">
        <v>0</v>
      </c>
      <c r="W469" s="26">
        <v>0</v>
      </c>
      <c r="X469" s="26">
        <v>0</v>
      </c>
      <c r="Y469" s="26">
        <v>0</v>
      </c>
      <c r="Z469" s="26">
        <v>0</v>
      </c>
      <c r="AA469" s="26">
        <f t="shared" si="88"/>
        <v>0</v>
      </c>
      <c r="AB469" s="107"/>
      <c r="AC469" s="107"/>
      <c r="AD469" s="107"/>
      <c r="AE469" s="107"/>
      <c r="AF469" s="107"/>
      <c r="AG469" s="107"/>
      <c r="AH469" s="107"/>
      <c r="AI469" s="107"/>
      <c r="AJ469" s="107"/>
      <c r="AK469" s="107"/>
      <c r="AL469" s="107"/>
      <c r="AM469" s="107"/>
      <c r="AN469" s="107"/>
      <c r="AO469" s="108"/>
      <c r="AP469" s="108"/>
      <c r="AQ469" s="108"/>
      <c r="AR469" s="108"/>
      <c r="AS469" s="108"/>
      <c r="AT469" s="108"/>
      <c r="AU469" s="108"/>
      <c r="AV469" s="108"/>
      <c r="AW469" s="108"/>
      <c r="AX469" s="108"/>
      <c r="AY469" s="108"/>
      <c r="AZ469" s="108"/>
      <c r="BA469" s="108"/>
      <c r="BB469" s="108"/>
    </row>
    <row r="470" spans="1:54" s="109" customFormat="1" ht="12" customHeight="1">
      <c r="A470" s="8">
        <v>51403</v>
      </c>
      <c r="B470" s="8" t="s">
        <v>221</v>
      </c>
      <c r="C470" s="8"/>
      <c r="D470" s="92">
        <f>+VLOOKUP(A470,Clasificaciones!C:I,5,FALSE)</f>
        <v>2449436</v>
      </c>
      <c r="E470" s="92">
        <v>0</v>
      </c>
      <c r="F470" s="92">
        <v>0</v>
      </c>
      <c r="G470" s="92">
        <v>0</v>
      </c>
      <c r="H470" s="92">
        <f t="shared" ref="H470" si="92">+D470-G470+E470-F470</f>
        <v>2449436</v>
      </c>
      <c r="I470" s="26">
        <v>0</v>
      </c>
      <c r="J470" s="26">
        <v>0</v>
      </c>
      <c r="K470" s="26">
        <v>0</v>
      </c>
      <c r="L470" s="26">
        <v>0</v>
      </c>
      <c r="M470" s="26">
        <v>0</v>
      </c>
      <c r="N470" s="26">
        <v>0</v>
      </c>
      <c r="O470" s="26">
        <v>0</v>
      </c>
      <c r="P470" s="26">
        <v>0</v>
      </c>
      <c r="Q470" s="26">
        <v>0</v>
      </c>
      <c r="R470" s="26">
        <v>0</v>
      </c>
      <c r="S470" s="26">
        <v>0</v>
      </c>
      <c r="T470" s="26">
        <v>0</v>
      </c>
      <c r="U470" s="26">
        <v>0</v>
      </c>
      <c r="V470" s="26">
        <v>0</v>
      </c>
      <c r="W470" s="26">
        <v>0</v>
      </c>
      <c r="X470" s="26">
        <v>0</v>
      </c>
      <c r="Y470" s="26">
        <f>-H470</f>
        <v>-2449436</v>
      </c>
      <c r="Z470" s="26">
        <v>0</v>
      </c>
      <c r="AA470" s="26">
        <f t="shared" si="88"/>
        <v>0</v>
      </c>
      <c r="AB470" s="107"/>
      <c r="AC470" s="107"/>
      <c r="AD470" s="107"/>
      <c r="AE470" s="107"/>
      <c r="AF470" s="107"/>
      <c r="AG470" s="107"/>
      <c r="AH470" s="107"/>
      <c r="AI470" s="107"/>
      <c r="AJ470" s="107"/>
      <c r="AK470" s="107"/>
      <c r="AL470" s="107"/>
      <c r="AM470" s="107"/>
      <c r="AN470" s="107"/>
      <c r="AO470" s="108"/>
      <c r="AP470" s="108"/>
      <c r="AQ470" s="108"/>
      <c r="AR470" s="108"/>
      <c r="AS470" s="108"/>
      <c r="AT470" s="108"/>
      <c r="AU470" s="108"/>
      <c r="AV470" s="108"/>
      <c r="AW470" s="108"/>
      <c r="AX470" s="108"/>
      <c r="AY470" s="108"/>
      <c r="AZ470" s="108"/>
      <c r="BA470" s="108"/>
      <c r="BB470" s="108"/>
    </row>
    <row r="471" spans="1:54" s="109" customFormat="1" ht="12" customHeight="1">
      <c r="A471" s="8">
        <v>51404</v>
      </c>
      <c r="B471" s="8" t="s">
        <v>955</v>
      </c>
      <c r="C471" s="8"/>
      <c r="D471" s="92">
        <f>+VLOOKUP(A471,Clasificaciones!C:I,5,FALSE)</f>
        <v>275148568</v>
      </c>
      <c r="E471" s="92">
        <v>0</v>
      </c>
      <c r="F471" s="92">
        <v>0</v>
      </c>
      <c r="G471" s="92">
        <v>0</v>
      </c>
      <c r="H471" s="92">
        <f t="shared" si="83"/>
        <v>275148568</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f>-H471</f>
        <v>-275148568</v>
      </c>
      <c r="Z471" s="26">
        <v>0</v>
      </c>
      <c r="AA471" s="26">
        <f t="shared" si="88"/>
        <v>0</v>
      </c>
      <c r="AB471" s="107"/>
      <c r="AC471" s="107"/>
      <c r="AD471" s="107"/>
      <c r="AE471" s="107"/>
      <c r="AF471" s="107"/>
      <c r="AG471" s="107"/>
      <c r="AH471" s="107"/>
      <c r="AI471" s="107"/>
      <c r="AJ471" s="107"/>
      <c r="AK471" s="107"/>
      <c r="AL471" s="107"/>
      <c r="AM471" s="107"/>
      <c r="AN471" s="107"/>
      <c r="AO471" s="108"/>
      <c r="AP471" s="108"/>
      <c r="AQ471" s="108"/>
      <c r="AR471" s="108"/>
      <c r="AS471" s="108"/>
      <c r="AT471" s="108"/>
      <c r="AU471" s="108"/>
      <c r="AV471" s="108"/>
      <c r="AW471" s="108"/>
      <c r="AX471" s="108"/>
      <c r="AY471" s="108"/>
      <c r="AZ471" s="108"/>
      <c r="BA471" s="108"/>
      <c r="BB471" s="108"/>
    </row>
    <row r="472" spans="1:54" s="109" customFormat="1" ht="12" customHeight="1">
      <c r="A472" s="8">
        <v>51405</v>
      </c>
      <c r="B472" s="8" t="s">
        <v>80</v>
      </c>
      <c r="C472" s="8" t="str">
        <f>+VLOOKUP(A472,Clasificaciones!$C$4:$H$887,6,0)</f>
        <v>Otros Gastos de Administración</v>
      </c>
      <c r="D472" s="92">
        <f>+VLOOKUP(A472,Clasificaciones!C:I,5,FALSE)</f>
        <v>10219309</v>
      </c>
      <c r="E472" s="92">
        <v>0</v>
      </c>
      <c r="F472" s="92">
        <v>0</v>
      </c>
      <c r="G472" s="92">
        <v>0</v>
      </c>
      <c r="H472" s="92">
        <f t="shared" si="83"/>
        <v>10219309</v>
      </c>
      <c r="I472" s="26">
        <v>0</v>
      </c>
      <c r="J472" s="26">
        <v>0</v>
      </c>
      <c r="K472" s="26"/>
      <c r="L472" s="26">
        <v>0</v>
      </c>
      <c r="M472" s="26">
        <f t="shared" ref="M472:M473" si="93">-H472</f>
        <v>-10219309</v>
      </c>
      <c r="N472" s="26">
        <v>0</v>
      </c>
      <c r="O472" s="26">
        <v>0</v>
      </c>
      <c r="P472" s="26">
        <v>0</v>
      </c>
      <c r="Q472" s="26">
        <v>0</v>
      </c>
      <c r="R472" s="26">
        <v>0</v>
      </c>
      <c r="S472" s="26">
        <v>0</v>
      </c>
      <c r="T472" s="26">
        <v>0</v>
      </c>
      <c r="U472" s="26">
        <v>0</v>
      </c>
      <c r="V472" s="26">
        <v>0</v>
      </c>
      <c r="W472" s="26">
        <v>0</v>
      </c>
      <c r="X472" s="26">
        <v>0</v>
      </c>
      <c r="Y472" s="26">
        <v>0</v>
      </c>
      <c r="Z472" s="26">
        <v>0</v>
      </c>
      <c r="AA472" s="26">
        <f t="shared" si="88"/>
        <v>0</v>
      </c>
      <c r="AB472" s="107"/>
      <c r="AC472" s="107"/>
      <c r="AD472" s="107"/>
      <c r="AE472" s="107"/>
      <c r="AF472" s="107"/>
      <c r="AG472" s="107"/>
      <c r="AH472" s="107"/>
      <c r="AI472" s="107"/>
      <c r="AJ472" s="107"/>
      <c r="AK472" s="107"/>
      <c r="AL472" s="107"/>
      <c r="AM472" s="107"/>
      <c r="AN472" s="107"/>
      <c r="AO472" s="108"/>
      <c r="AP472" s="108"/>
      <c r="AQ472" s="108"/>
      <c r="AR472" s="108"/>
      <c r="AS472" s="108"/>
      <c r="AT472" s="108"/>
      <c r="AU472" s="108"/>
      <c r="AV472" s="108"/>
      <c r="AW472" s="108"/>
      <c r="AX472" s="108"/>
      <c r="AY472" s="108"/>
      <c r="AZ472" s="108"/>
      <c r="BA472" s="108"/>
      <c r="BB472" s="108"/>
    </row>
    <row r="473" spans="1:54" s="109" customFormat="1" ht="12" customHeight="1">
      <c r="A473" s="8">
        <v>51406</v>
      </c>
      <c r="B473" s="8" t="s">
        <v>956</v>
      </c>
      <c r="C473" s="8" t="str">
        <f>+VLOOKUP(A473,Clasificaciones!$C$4:$H$887,6,0)</f>
        <v>Otros Gastos de Administración</v>
      </c>
      <c r="D473" s="92">
        <f>+VLOOKUP(A473,Clasificaciones!C:I,5,FALSE)</f>
        <v>11569681</v>
      </c>
      <c r="E473" s="92">
        <v>0</v>
      </c>
      <c r="F473" s="92">
        <v>0</v>
      </c>
      <c r="G473" s="92">
        <v>0</v>
      </c>
      <c r="H473" s="92">
        <f t="shared" si="83"/>
        <v>11569681</v>
      </c>
      <c r="I473" s="26">
        <v>0</v>
      </c>
      <c r="J473" s="26">
        <v>0</v>
      </c>
      <c r="K473" s="26"/>
      <c r="L473" s="26">
        <v>0</v>
      </c>
      <c r="M473" s="26">
        <f t="shared" si="93"/>
        <v>-11569681</v>
      </c>
      <c r="N473" s="26">
        <v>0</v>
      </c>
      <c r="O473" s="26">
        <v>0</v>
      </c>
      <c r="P473" s="26">
        <v>0</v>
      </c>
      <c r="Q473" s="26">
        <v>0</v>
      </c>
      <c r="R473" s="26">
        <v>0</v>
      </c>
      <c r="S473" s="26">
        <v>0</v>
      </c>
      <c r="T473" s="26">
        <v>0</v>
      </c>
      <c r="U473" s="26">
        <v>0</v>
      </c>
      <c r="V473" s="26">
        <v>0</v>
      </c>
      <c r="W473" s="26">
        <v>0</v>
      </c>
      <c r="X473" s="26">
        <v>0</v>
      </c>
      <c r="Y473" s="26">
        <v>0</v>
      </c>
      <c r="Z473" s="26">
        <v>0</v>
      </c>
      <c r="AA473" s="26">
        <f t="shared" si="88"/>
        <v>0</v>
      </c>
      <c r="AB473" s="107"/>
      <c r="AC473" s="107"/>
      <c r="AD473" s="107"/>
      <c r="AE473" s="107"/>
      <c r="AF473" s="107"/>
      <c r="AG473" s="107"/>
      <c r="AH473" s="107"/>
      <c r="AI473" s="107"/>
      <c r="AJ473" s="107"/>
      <c r="AK473" s="107"/>
      <c r="AL473" s="107"/>
      <c r="AM473" s="107"/>
      <c r="AN473" s="107"/>
      <c r="AO473" s="108"/>
      <c r="AP473" s="108"/>
      <c r="AQ473" s="108"/>
      <c r="AR473" s="108"/>
      <c r="AS473" s="108"/>
      <c r="AT473" s="108"/>
      <c r="AU473" s="108"/>
      <c r="AV473" s="108"/>
      <c r="AW473" s="108"/>
      <c r="AX473" s="108"/>
      <c r="AY473" s="108"/>
      <c r="AZ473" s="108"/>
      <c r="BA473" s="108"/>
      <c r="BB473" s="108"/>
    </row>
    <row r="474" spans="1:54" s="109" customFormat="1" ht="12" customHeight="1">
      <c r="A474" s="8">
        <v>51407</v>
      </c>
      <c r="B474" s="8" t="s">
        <v>957</v>
      </c>
      <c r="C474" s="8"/>
      <c r="D474" s="92">
        <f>+VLOOKUP(A474,Clasificaciones!C:I,5,FALSE)</f>
        <v>0</v>
      </c>
      <c r="E474" s="92">
        <v>0</v>
      </c>
      <c r="F474" s="92">
        <v>0</v>
      </c>
      <c r="G474" s="92">
        <v>0</v>
      </c>
      <c r="H474" s="92">
        <f t="shared" si="83"/>
        <v>0</v>
      </c>
      <c r="I474" s="26">
        <v>0</v>
      </c>
      <c r="J474" s="26">
        <v>0</v>
      </c>
      <c r="K474" s="26">
        <f>-H474</f>
        <v>0</v>
      </c>
      <c r="L474" s="26">
        <v>0</v>
      </c>
      <c r="M474" s="26">
        <v>0</v>
      </c>
      <c r="N474" s="26">
        <v>0</v>
      </c>
      <c r="O474" s="26">
        <v>0</v>
      </c>
      <c r="P474" s="26">
        <v>0</v>
      </c>
      <c r="Q474" s="26">
        <v>0</v>
      </c>
      <c r="R474" s="26">
        <v>0</v>
      </c>
      <c r="S474" s="26">
        <v>0</v>
      </c>
      <c r="T474" s="26">
        <v>0</v>
      </c>
      <c r="U474" s="26">
        <v>0</v>
      </c>
      <c r="V474" s="26">
        <v>0</v>
      </c>
      <c r="W474" s="26">
        <v>0</v>
      </c>
      <c r="X474" s="26">
        <v>0</v>
      </c>
      <c r="Y474" s="26">
        <v>0</v>
      </c>
      <c r="Z474" s="26">
        <v>0</v>
      </c>
      <c r="AA474" s="26">
        <f t="shared" si="88"/>
        <v>0</v>
      </c>
      <c r="AB474" s="107"/>
      <c r="AC474" s="107"/>
      <c r="AD474" s="107"/>
      <c r="AE474" s="107"/>
      <c r="AF474" s="107"/>
      <c r="AG474" s="107"/>
      <c r="AH474" s="107"/>
      <c r="AI474" s="107"/>
      <c r="AJ474" s="107"/>
      <c r="AK474" s="107"/>
      <c r="AL474" s="107"/>
      <c r="AM474" s="107"/>
      <c r="AN474" s="107"/>
      <c r="AO474" s="108"/>
      <c r="AP474" s="108"/>
      <c r="AQ474" s="108"/>
      <c r="AR474" s="108"/>
      <c r="AS474" s="108"/>
      <c r="AT474" s="108"/>
      <c r="AU474" s="108"/>
      <c r="AV474" s="108"/>
      <c r="AW474" s="108"/>
      <c r="AX474" s="108"/>
      <c r="AY474" s="108"/>
      <c r="AZ474" s="108"/>
      <c r="BA474" s="108"/>
      <c r="BB474" s="108"/>
    </row>
    <row r="475" spans="1:54" s="109" customFormat="1" ht="12" customHeight="1">
      <c r="A475" s="8">
        <v>5140701</v>
      </c>
      <c r="B475" s="8" t="s">
        <v>913</v>
      </c>
      <c r="C475" s="8"/>
      <c r="D475" s="92">
        <f>+VLOOKUP(A475,Clasificaciones!C:I,5,FALSE)</f>
        <v>2396651034</v>
      </c>
      <c r="E475" s="92">
        <v>0</v>
      </c>
      <c r="F475" s="92">
        <v>0</v>
      </c>
      <c r="G475" s="92">
        <v>0</v>
      </c>
      <c r="H475" s="92">
        <f t="shared" si="83"/>
        <v>2396651034</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c r="Z475" s="26">
        <f>-H475</f>
        <v>-2396651034</v>
      </c>
      <c r="AA475" s="26">
        <f t="shared" si="88"/>
        <v>0</v>
      </c>
      <c r="AB475" s="107"/>
      <c r="AC475" s="107"/>
      <c r="AD475" s="107"/>
      <c r="AE475" s="107"/>
      <c r="AF475" s="107"/>
      <c r="AG475" s="107"/>
      <c r="AH475" s="107"/>
      <c r="AI475" s="107"/>
      <c r="AJ475" s="107"/>
      <c r="AK475" s="107"/>
      <c r="AL475" s="107"/>
      <c r="AM475" s="107"/>
      <c r="AN475" s="107"/>
      <c r="AO475" s="108"/>
      <c r="AP475" s="108"/>
      <c r="AQ475" s="108"/>
      <c r="AR475" s="108"/>
      <c r="AS475" s="108"/>
      <c r="AT475" s="108"/>
      <c r="AU475" s="108"/>
      <c r="AV475" s="108"/>
      <c r="AW475" s="108"/>
      <c r="AX475" s="108"/>
      <c r="AY475" s="108"/>
      <c r="AZ475" s="108"/>
      <c r="BA475" s="108"/>
      <c r="BB475" s="108"/>
    </row>
    <row r="476" spans="1:54" s="109" customFormat="1" ht="12" customHeight="1">
      <c r="A476" s="8">
        <v>5140702</v>
      </c>
      <c r="B476" s="8" t="s">
        <v>914</v>
      </c>
      <c r="C476" s="8"/>
      <c r="D476" s="92">
        <f>+VLOOKUP(A476,Clasificaciones!C:I,5,FALSE)</f>
        <v>1184316194</v>
      </c>
      <c r="E476" s="92">
        <v>0</v>
      </c>
      <c r="F476" s="92">
        <v>0</v>
      </c>
      <c r="G476" s="92">
        <v>0</v>
      </c>
      <c r="H476" s="92">
        <f t="shared" si="83"/>
        <v>1184316194</v>
      </c>
      <c r="I476" s="26">
        <v>0</v>
      </c>
      <c r="J476" s="26">
        <v>0</v>
      </c>
      <c r="K476" s="26">
        <v>0</v>
      </c>
      <c r="L476" s="26">
        <v>0</v>
      </c>
      <c r="M476" s="26">
        <v>0</v>
      </c>
      <c r="N476" s="26">
        <v>0</v>
      </c>
      <c r="O476" s="26">
        <v>0</v>
      </c>
      <c r="P476" s="26">
        <v>0</v>
      </c>
      <c r="Q476" s="26">
        <v>0</v>
      </c>
      <c r="R476" s="26">
        <v>0</v>
      </c>
      <c r="S476" s="26">
        <v>0</v>
      </c>
      <c r="T476" s="26">
        <v>0</v>
      </c>
      <c r="U476" s="26">
        <v>0</v>
      </c>
      <c r="V476" s="26">
        <v>0</v>
      </c>
      <c r="W476" s="26">
        <v>0</v>
      </c>
      <c r="X476" s="26">
        <v>0</v>
      </c>
      <c r="Y476" s="26">
        <v>0</v>
      </c>
      <c r="Z476" s="26">
        <f>-H476</f>
        <v>-1184316194</v>
      </c>
      <c r="AA476" s="26">
        <f t="shared" si="88"/>
        <v>0</v>
      </c>
      <c r="AB476" s="107"/>
      <c r="AC476" s="107"/>
      <c r="AD476" s="107"/>
      <c r="AE476" s="107"/>
      <c r="AF476" s="107"/>
      <c r="AG476" s="107"/>
      <c r="AH476" s="107"/>
      <c r="AI476" s="107"/>
      <c r="AJ476" s="107"/>
      <c r="AK476" s="107"/>
      <c r="AL476" s="107"/>
      <c r="AM476" s="107"/>
      <c r="AN476" s="107"/>
      <c r="AO476" s="108"/>
      <c r="AP476" s="108"/>
      <c r="AQ476" s="108"/>
      <c r="AR476" s="108"/>
      <c r="AS476" s="108"/>
      <c r="AT476" s="108"/>
      <c r="AU476" s="108"/>
      <c r="AV476" s="108"/>
      <c r="AW476" s="108"/>
      <c r="AX476" s="108"/>
      <c r="AY476" s="108"/>
      <c r="AZ476" s="108"/>
      <c r="BA476" s="108"/>
      <c r="BB476" s="108"/>
    </row>
    <row r="477" spans="1:54" s="109" customFormat="1" ht="12" customHeight="1">
      <c r="A477" s="8">
        <v>515</v>
      </c>
      <c r="B477" s="8" t="s">
        <v>304</v>
      </c>
      <c r="C477" s="8"/>
      <c r="D477" s="92">
        <f>+VLOOKUP(A477,Clasificaciones!C:I,5,FALSE)</f>
        <v>0</v>
      </c>
      <c r="E477" s="92">
        <v>0</v>
      </c>
      <c r="F477" s="92">
        <v>0</v>
      </c>
      <c r="G477" s="92">
        <v>0</v>
      </c>
      <c r="H477" s="92">
        <f t="shared" si="83"/>
        <v>0</v>
      </c>
      <c r="I477" s="26">
        <v>0</v>
      </c>
      <c r="J477" s="26">
        <v>0</v>
      </c>
      <c r="K477" s="26">
        <f t="shared" ref="K477:K480" si="94">-H477</f>
        <v>0</v>
      </c>
      <c r="L477" s="26">
        <v>0</v>
      </c>
      <c r="M477" s="26">
        <v>0</v>
      </c>
      <c r="N477" s="26">
        <v>0</v>
      </c>
      <c r="O477" s="26">
        <v>0</v>
      </c>
      <c r="P477" s="26">
        <v>0</v>
      </c>
      <c r="Q477" s="26">
        <v>0</v>
      </c>
      <c r="R477" s="26">
        <v>0</v>
      </c>
      <c r="S477" s="26">
        <v>0</v>
      </c>
      <c r="T477" s="26">
        <v>0</v>
      </c>
      <c r="U477" s="26">
        <v>0</v>
      </c>
      <c r="V477" s="26">
        <v>0</v>
      </c>
      <c r="W477" s="26">
        <v>0</v>
      </c>
      <c r="X477" s="26">
        <v>0</v>
      </c>
      <c r="Y477" s="26">
        <v>0</v>
      </c>
      <c r="Z477" s="26">
        <v>0</v>
      </c>
      <c r="AA477" s="26">
        <f t="shared" si="88"/>
        <v>0</v>
      </c>
      <c r="AB477" s="107"/>
      <c r="AC477" s="107"/>
      <c r="AD477" s="107"/>
      <c r="AE477" s="107"/>
      <c r="AF477" s="107"/>
      <c r="AG477" s="107"/>
      <c r="AH477" s="107"/>
      <c r="AI477" s="107"/>
      <c r="AJ477" s="107"/>
      <c r="AK477" s="107"/>
      <c r="AL477" s="107"/>
      <c r="AM477" s="107"/>
      <c r="AN477" s="107"/>
      <c r="AO477" s="108"/>
      <c r="AP477" s="108"/>
      <c r="AQ477" s="108"/>
      <c r="AR477" s="108"/>
      <c r="AS477" s="108"/>
      <c r="AT477" s="108"/>
      <c r="AU477" s="108"/>
      <c r="AV477" s="108"/>
      <c r="AW477" s="108"/>
      <c r="AX477" s="108"/>
      <c r="AY477" s="108"/>
      <c r="AZ477" s="108"/>
      <c r="BA477" s="108"/>
      <c r="BB477" s="108"/>
    </row>
    <row r="478" spans="1:54" s="109" customFormat="1" ht="12" customHeight="1">
      <c r="A478" s="8">
        <v>51501</v>
      </c>
      <c r="B478" s="8" t="s">
        <v>79</v>
      </c>
      <c r="C478" s="8"/>
      <c r="D478" s="92">
        <f>+VLOOKUP(A478,Clasificaciones!C:I,5,FALSE)</f>
        <v>152286289</v>
      </c>
      <c r="E478" s="92">
        <v>0</v>
      </c>
      <c r="F478" s="177">
        <f>+D478</f>
        <v>152286289</v>
      </c>
      <c r="G478" s="92">
        <v>0</v>
      </c>
      <c r="H478" s="92">
        <f t="shared" si="83"/>
        <v>0</v>
      </c>
      <c r="I478" s="26">
        <v>0</v>
      </c>
      <c r="J478" s="26">
        <v>0</v>
      </c>
      <c r="K478" s="26">
        <f t="shared" si="94"/>
        <v>0</v>
      </c>
      <c r="L478" s="26">
        <v>0</v>
      </c>
      <c r="M478" s="26">
        <v>0</v>
      </c>
      <c r="N478" s="26">
        <v>0</v>
      </c>
      <c r="O478" s="26">
        <v>0</v>
      </c>
      <c r="P478" s="26">
        <v>0</v>
      </c>
      <c r="Q478" s="26">
        <v>0</v>
      </c>
      <c r="R478" s="26">
        <v>0</v>
      </c>
      <c r="S478" s="26">
        <v>0</v>
      </c>
      <c r="T478" s="26">
        <v>0</v>
      </c>
      <c r="U478" s="26">
        <v>0</v>
      </c>
      <c r="V478" s="26">
        <v>0</v>
      </c>
      <c r="W478" s="26">
        <v>0</v>
      </c>
      <c r="X478" s="26">
        <v>0</v>
      </c>
      <c r="Y478" s="26">
        <v>0</v>
      </c>
      <c r="Z478" s="26">
        <v>0</v>
      </c>
      <c r="AA478" s="26">
        <f t="shared" si="88"/>
        <v>0</v>
      </c>
      <c r="AB478" s="107"/>
      <c r="AC478" s="107"/>
      <c r="AD478" s="107"/>
      <c r="AE478" s="107"/>
      <c r="AF478" s="107"/>
      <c r="AG478" s="107"/>
      <c r="AH478" s="107"/>
      <c r="AI478" s="107"/>
      <c r="AJ478" s="107"/>
      <c r="AK478" s="107"/>
      <c r="AL478" s="107"/>
      <c r="AM478" s="107"/>
      <c r="AN478" s="107"/>
      <c r="AO478" s="108"/>
      <c r="AP478" s="108"/>
      <c r="AQ478" s="108"/>
      <c r="AR478" s="108"/>
      <c r="AS478" s="108"/>
      <c r="AT478" s="108"/>
      <c r="AU478" s="108"/>
      <c r="AV478" s="108"/>
      <c r="AW478" s="108"/>
      <c r="AX478" s="108"/>
      <c r="AY478" s="108"/>
      <c r="AZ478" s="108"/>
      <c r="BA478" s="108"/>
      <c r="BB478" s="108"/>
    </row>
    <row r="479" spans="1:54" s="109" customFormat="1" ht="12" customHeight="1">
      <c r="A479" s="8">
        <v>51502</v>
      </c>
      <c r="B479" s="8" t="s">
        <v>958</v>
      </c>
      <c r="C479" s="8" t="str">
        <f>+VLOOKUP(A479,Clasificaciones!$C$4:$H$887,6,0)</f>
        <v>Impuestos, tasas y contribuciones</v>
      </c>
      <c r="D479" s="92">
        <f>+VLOOKUP(A479,Clasificaciones!C:I,5,FALSE)</f>
        <v>49783131</v>
      </c>
      <c r="E479" s="92">
        <v>0</v>
      </c>
      <c r="F479" s="92">
        <v>0</v>
      </c>
      <c r="G479" s="92">
        <v>0</v>
      </c>
      <c r="H479" s="92">
        <f t="shared" si="83"/>
        <v>49783131</v>
      </c>
      <c r="I479" s="26">
        <v>0</v>
      </c>
      <c r="J479" s="26">
        <v>0</v>
      </c>
      <c r="K479" s="26"/>
      <c r="L479" s="26">
        <v>0</v>
      </c>
      <c r="M479" s="26">
        <f>-H479</f>
        <v>-49783131</v>
      </c>
      <c r="N479" s="26">
        <v>0</v>
      </c>
      <c r="O479" s="26">
        <v>0</v>
      </c>
      <c r="P479" s="26">
        <v>0</v>
      </c>
      <c r="Q479" s="26">
        <v>0</v>
      </c>
      <c r="R479" s="26">
        <v>0</v>
      </c>
      <c r="S479" s="26">
        <v>0</v>
      </c>
      <c r="T479" s="26">
        <v>0</v>
      </c>
      <c r="U479" s="26">
        <v>0</v>
      </c>
      <c r="V479" s="26">
        <v>0</v>
      </c>
      <c r="W479" s="26">
        <v>0</v>
      </c>
      <c r="X479" s="26">
        <v>0</v>
      </c>
      <c r="Y479" s="26">
        <v>0</v>
      </c>
      <c r="Z479" s="26">
        <v>0</v>
      </c>
      <c r="AA479" s="26">
        <f t="shared" si="88"/>
        <v>0</v>
      </c>
      <c r="AB479" s="107"/>
      <c r="AC479" s="107"/>
      <c r="AD479" s="107"/>
      <c r="AE479" s="107"/>
      <c r="AF479" s="107"/>
      <c r="AG479" s="107"/>
      <c r="AH479" s="107"/>
      <c r="AI479" s="107"/>
      <c r="AJ479" s="107"/>
      <c r="AK479" s="107"/>
      <c r="AL479" s="107"/>
      <c r="AM479" s="107"/>
      <c r="AN479" s="107"/>
      <c r="AO479" s="108"/>
      <c r="AP479" s="108"/>
      <c r="AQ479" s="108"/>
      <c r="AR479" s="108"/>
      <c r="AS479" s="108"/>
      <c r="AT479" s="108"/>
      <c r="AU479" s="108"/>
      <c r="AV479" s="108"/>
      <c r="AW479" s="108"/>
      <c r="AX479" s="108"/>
      <c r="AY479" s="108"/>
      <c r="AZ479" s="108"/>
      <c r="BA479" s="108"/>
      <c r="BB479" s="108"/>
    </row>
    <row r="480" spans="1:54" s="109" customFormat="1" ht="12" customHeight="1">
      <c r="A480" s="8">
        <v>51503</v>
      </c>
      <c r="B480" s="8" t="s">
        <v>959</v>
      </c>
      <c r="C480" s="8"/>
      <c r="D480" s="92">
        <f>+VLOOKUP(A480,Clasificaciones!C:I,5,FALSE)</f>
        <v>0</v>
      </c>
      <c r="E480" s="92">
        <v>0</v>
      </c>
      <c r="F480" s="92">
        <v>0</v>
      </c>
      <c r="G480" s="92">
        <v>0</v>
      </c>
      <c r="H480" s="92">
        <f t="shared" si="83"/>
        <v>0</v>
      </c>
      <c r="I480" s="26">
        <v>0</v>
      </c>
      <c r="J480" s="26">
        <v>0</v>
      </c>
      <c r="K480" s="26">
        <f t="shared" si="94"/>
        <v>0</v>
      </c>
      <c r="L480" s="26">
        <v>0</v>
      </c>
      <c r="M480" s="26">
        <v>0</v>
      </c>
      <c r="N480" s="26">
        <v>0</v>
      </c>
      <c r="O480" s="26">
        <v>0</v>
      </c>
      <c r="P480" s="26">
        <v>0</v>
      </c>
      <c r="Q480" s="26">
        <v>0</v>
      </c>
      <c r="R480" s="26">
        <v>0</v>
      </c>
      <c r="S480" s="26">
        <v>0</v>
      </c>
      <c r="T480" s="26">
        <v>0</v>
      </c>
      <c r="U480" s="26">
        <v>0</v>
      </c>
      <c r="V480" s="26">
        <v>0</v>
      </c>
      <c r="W480" s="26">
        <v>0</v>
      </c>
      <c r="X480" s="26">
        <v>0</v>
      </c>
      <c r="Y480" s="26">
        <v>0</v>
      </c>
      <c r="Z480" s="26">
        <v>0</v>
      </c>
      <c r="AA480" s="26">
        <f t="shared" si="88"/>
        <v>0</v>
      </c>
      <c r="AB480" s="107"/>
      <c r="AC480" s="107"/>
      <c r="AD480" s="107"/>
      <c r="AE480" s="107"/>
      <c r="AF480" s="107"/>
      <c r="AG480" s="107"/>
      <c r="AH480" s="107"/>
      <c r="AI480" s="107"/>
      <c r="AJ480" s="107"/>
      <c r="AK480" s="107"/>
      <c r="AL480" s="107"/>
      <c r="AM480" s="107"/>
      <c r="AN480" s="107"/>
      <c r="AO480" s="108"/>
      <c r="AP480" s="108"/>
      <c r="AQ480" s="108"/>
      <c r="AR480" s="108"/>
      <c r="AS480" s="108"/>
      <c r="AT480" s="108"/>
      <c r="AU480" s="108"/>
      <c r="AV480" s="108"/>
      <c r="AW480" s="108"/>
      <c r="AX480" s="108"/>
      <c r="AY480" s="108"/>
      <c r="AZ480" s="108"/>
      <c r="BA480" s="108"/>
      <c r="BB480" s="108"/>
    </row>
    <row r="481" spans="1:54" s="109" customFormat="1" ht="12" customHeight="1">
      <c r="A481" s="8">
        <v>5150301</v>
      </c>
      <c r="B481" s="8" t="s">
        <v>960</v>
      </c>
      <c r="C481" s="8" t="str">
        <f>+VLOOKUP(A481,Clasificaciones!$C$4:$H$887,6,0)</f>
        <v>Otros Gastos de Administración</v>
      </c>
      <c r="D481" s="92">
        <f>+VLOOKUP(A481,Clasificaciones!C:I,5,FALSE)</f>
        <v>62352222</v>
      </c>
      <c r="E481" s="92">
        <v>0</v>
      </c>
      <c r="F481" s="92">
        <v>0</v>
      </c>
      <c r="G481" s="92">
        <v>0</v>
      </c>
      <c r="H481" s="92">
        <f t="shared" si="83"/>
        <v>62352222</v>
      </c>
      <c r="I481" s="26">
        <v>0</v>
      </c>
      <c r="J481" s="26">
        <v>0</v>
      </c>
      <c r="K481" s="26"/>
      <c r="L481" s="26">
        <v>0</v>
      </c>
      <c r="M481" s="26">
        <f t="shared" ref="M481:M484" si="95">-H481</f>
        <v>-62352222</v>
      </c>
      <c r="N481" s="26">
        <v>0</v>
      </c>
      <c r="O481" s="26">
        <v>0</v>
      </c>
      <c r="P481" s="26">
        <v>0</v>
      </c>
      <c r="Q481" s="26">
        <v>0</v>
      </c>
      <c r="R481" s="26">
        <v>0</v>
      </c>
      <c r="S481" s="26">
        <v>0</v>
      </c>
      <c r="T481" s="26">
        <v>0</v>
      </c>
      <c r="U481" s="26">
        <v>0</v>
      </c>
      <c r="V481" s="26">
        <v>0</v>
      </c>
      <c r="W481" s="26">
        <v>0</v>
      </c>
      <c r="X481" s="26">
        <v>0</v>
      </c>
      <c r="Y481" s="26">
        <v>0</v>
      </c>
      <c r="Z481" s="26">
        <v>0</v>
      </c>
      <c r="AA481" s="26">
        <f t="shared" si="88"/>
        <v>0</v>
      </c>
      <c r="AB481" s="107"/>
      <c r="AC481" s="107"/>
      <c r="AD481" s="107"/>
      <c r="AE481" s="107"/>
      <c r="AF481" s="107"/>
      <c r="AG481" s="107"/>
      <c r="AH481" s="107"/>
      <c r="AI481" s="107"/>
      <c r="AJ481" s="107"/>
      <c r="AK481" s="107"/>
      <c r="AL481" s="107"/>
      <c r="AM481" s="107"/>
      <c r="AN481" s="107"/>
      <c r="AO481" s="108"/>
      <c r="AP481" s="108"/>
      <c r="AQ481" s="108"/>
      <c r="AR481" s="108"/>
      <c r="AS481" s="108"/>
      <c r="AT481" s="108"/>
      <c r="AU481" s="108"/>
      <c r="AV481" s="108"/>
      <c r="AW481" s="108"/>
      <c r="AX481" s="108"/>
      <c r="AY481" s="108"/>
      <c r="AZ481" s="108"/>
      <c r="BA481" s="108"/>
      <c r="BB481" s="108"/>
    </row>
    <row r="482" spans="1:54" s="109" customFormat="1" ht="12" customHeight="1">
      <c r="A482" s="8">
        <v>5150302</v>
      </c>
      <c r="B482" s="8" t="s">
        <v>1235</v>
      </c>
      <c r="C482" s="8" t="str">
        <f>+VLOOKUP(A482,Clasificaciones!$C$4:$H$887,6,0)</f>
        <v>Otros Gastos de Administración</v>
      </c>
      <c r="D482" s="92">
        <f>+VLOOKUP(A482,Clasificaciones!C:I,5,FALSE)</f>
        <v>1999270</v>
      </c>
      <c r="E482" s="92">
        <v>0</v>
      </c>
      <c r="F482" s="92">
        <v>0</v>
      </c>
      <c r="G482" s="92">
        <v>0</v>
      </c>
      <c r="H482" s="92">
        <f t="shared" si="83"/>
        <v>1999270</v>
      </c>
      <c r="I482" s="26">
        <v>0</v>
      </c>
      <c r="J482" s="26">
        <v>0</v>
      </c>
      <c r="K482" s="26"/>
      <c r="L482" s="26">
        <v>0</v>
      </c>
      <c r="M482" s="26">
        <f t="shared" si="95"/>
        <v>-1999270</v>
      </c>
      <c r="N482" s="26">
        <v>0</v>
      </c>
      <c r="O482" s="26">
        <v>0</v>
      </c>
      <c r="P482" s="26">
        <v>0</v>
      </c>
      <c r="Q482" s="26">
        <v>0</v>
      </c>
      <c r="R482" s="26">
        <v>0</v>
      </c>
      <c r="S482" s="26">
        <v>0</v>
      </c>
      <c r="T482" s="26">
        <v>0</v>
      </c>
      <c r="U482" s="26">
        <v>0</v>
      </c>
      <c r="V482" s="26">
        <v>0</v>
      </c>
      <c r="W482" s="26">
        <v>0</v>
      </c>
      <c r="X482" s="26">
        <v>0</v>
      </c>
      <c r="Y482" s="26">
        <v>0</v>
      </c>
      <c r="Z482" s="26">
        <v>0</v>
      </c>
      <c r="AA482" s="26">
        <f t="shared" si="88"/>
        <v>0</v>
      </c>
      <c r="AB482" s="107"/>
      <c r="AC482" s="107"/>
      <c r="AD482" s="107"/>
      <c r="AE482" s="107"/>
      <c r="AF482" s="107"/>
      <c r="AG482" s="107"/>
      <c r="AH482" s="107"/>
      <c r="AI482" s="107"/>
      <c r="AJ482" s="107"/>
      <c r="AK482" s="107"/>
      <c r="AL482" s="107"/>
      <c r="AM482" s="107"/>
      <c r="AN482" s="107"/>
      <c r="AO482" s="108"/>
      <c r="AP482" s="108"/>
      <c r="AQ482" s="108"/>
      <c r="AR482" s="108"/>
      <c r="AS482" s="108"/>
      <c r="AT482" s="108"/>
      <c r="AU482" s="108"/>
      <c r="AV482" s="108"/>
      <c r="AW482" s="108"/>
      <c r="AX482" s="108"/>
      <c r="AY482" s="108"/>
      <c r="AZ482" s="108"/>
      <c r="BA482" s="108"/>
      <c r="BB482" s="108"/>
    </row>
    <row r="483" spans="1:54" s="109" customFormat="1" ht="12" customHeight="1">
      <c r="A483" s="8">
        <v>51504</v>
      </c>
      <c r="B483" s="8" t="s">
        <v>961</v>
      </c>
      <c r="C483" s="8" t="str">
        <f>+VLOOKUP(A483,Clasificaciones!$C$4:$H$887,6,0)</f>
        <v>Otros Gastos de Administración</v>
      </c>
      <c r="D483" s="92">
        <f>+VLOOKUP(A483,Clasificaciones!C:I,5,FALSE)</f>
        <v>394303928</v>
      </c>
      <c r="E483" s="92">
        <v>0</v>
      </c>
      <c r="F483" s="92">
        <v>0</v>
      </c>
      <c r="G483" s="92">
        <v>0</v>
      </c>
      <c r="H483" s="92">
        <f t="shared" si="83"/>
        <v>394303928</v>
      </c>
      <c r="I483" s="26">
        <v>0</v>
      </c>
      <c r="J483" s="26">
        <v>0</v>
      </c>
      <c r="K483" s="26"/>
      <c r="L483" s="26">
        <v>0</v>
      </c>
      <c r="M483" s="26">
        <f t="shared" si="95"/>
        <v>-394303928</v>
      </c>
      <c r="N483" s="26">
        <v>0</v>
      </c>
      <c r="O483" s="26">
        <v>0</v>
      </c>
      <c r="P483" s="26">
        <v>0</v>
      </c>
      <c r="Q483" s="26">
        <v>0</v>
      </c>
      <c r="R483" s="26">
        <v>0</v>
      </c>
      <c r="S483" s="26">
        <v>0</v>
      </c>
      <c r="T483" s="26">
        <v>0</v>
      </c>
      <c r="U483" s="26">
        <v>0</v>
      </c>
      <c r="V483" s="26">
        <v>0</v>
      </c>
      <c r="W483" s="26">
        <v>0</v>
      </c>
      <c r="X483" s="26">
        <v>0</v>
      </c>
      <c r="Y483" s="26">
        <v>0</v>
      </c>
      <c r="Z483" s="26">
        <v>0</v>
      </c>
      <c r="AA483" s="26">
        <f t="shared" si="88"/>
        <v>0</v>
      </c>
      <c r="AB483" s="107"/>
      <c r="AC483" s="107"/>
      <c r="AD483" s="107"/>
      <c r="AE483" s="107"/>
      <c r="AF483" s="107"/>
      <c r="AG483" s="107"/>
      <c r="AH483" s="107"/>
      <c r="AI483" s="107"/>
      <c r="AJ483" s="107"/>
      <c r="AK483" s="107"/>
      <c r="AL483" s="107"/>
      <c r="AM483" s="107"/>
      <c r="AN483" s="107"/>
      <c r="AO483" s="108"/>
      <c r="AP483" s="108"/>
      <c r="AQ483" s="108"/>
      <c r="AR483" s="108"/>
      <c r="AS483" s="108"/>
      <c r="AT483" s="108"/>
      <c r="AU483" s="108"/>
      <c r="AV483" s="108"/>
      <c r="AW483" s="108"/>
      <c r="AX483" s="108"/>
      <c r="AY483" s="108"/>
      <c r="AZ483" s="108"/>
      <c r="BA483" s="108"/>
      <c r="BB483" s="108"/>
    </row>
    <row r="484" spans="1:54" s="109" customFormat="1" ht="12" customHeight="1">
      <c r="A484" s="8">
        <v>51505</v>
      </c>
      <c r="B484" s="8" t="s">
        <v>1236</v>
      </c>
      <c r="C484" s="8" t="str">
        <f>+VLOOKUP(A484,Clasificaciones!$C$4:$H$887,6,0)</f>
        <v>Multas</v>
      </c>
      <c r="D484" s="92">
        <f>+VLOOKUP(A484,Clasificaciones!C:I,5,FALSE)</f>
        <v>5282911</v>
      </c>
      <c r="E484" s="92">
        <v>0</v>
      </c>
      <c r="F484" s="92">
        <v>0</v>
      </c>
      <c r="G484" s="92">
        <v>0</v>
      </c>
      <c r="H484" s="92">
        <f t="shared" si="83"/>
        <v>5282911</v>
      </c>
      <c r="I484" s="26">
        <v>0</v>
      </c>
      <c r="J484" s="26">
        <v>0</v>
      </c>
      <c r="K484" s="26"/>
      <c r="L484" s="26">
        <v>0</v>
      </c>
      <c r="M484" s="26">
        <f t="shared" si="95"/>
        <v>-5282911</v>
      </c>
      <c r="N484" s="26">
        <v>0</v>
      </c>
      <c r="O484" s="26">
        <v>0</v>
      </c>
      <c r="P484" s="26">
        <v>0</v>
      </c>
      <c r="Q484" s="26">
        <v>0</v>
      </c>
      <c r="R484" s="26">
        <v>0</v>
      </c>
      <c r="S484" s="26">
        <v>0</v>
      </c>
      <c r="T484" s="26">
        <v>0</v>
      </c>
      <c r="U484" s="26">
        <v>0</v>
      </c>
      <c r="V484" s="26">
        <v>0</v>
      </c>
      <c r="W484" s="26">
        <v>0</v>
      </c>
      <c r="X484" s="26">
        <v>0</v>
      </c>
      <c r="Y484" s="26">
        <v>0</v>
      </c>
      <c r="Z484" s="26">
        <v>0</v>
      </c>
      <c r="AA484" s="26">
        <f t="shared" si="88"/>
        <v>0</v>
      </c>
      <c r="AB484" s="107"/>
      <c r="AC484" s="107"/>
      <c r="AD484" s="107"/>
      <c r="AE484" s="107"/>
      <c r="AF484" s="107"/>
      <c r="AG484" s="107"/>
      <c r="AH484" s="107"/>
      <c r="AI484" s="107"/>
      <c r="AJ484" s="107"/>
      <c r="AK484" s="107"/>
      <c r="AL484" s="107"/>
      <c r="AM484" s="107"/>
      <c r="AN484" s="107"/>
      <c r="AO484" s="108"/>
      <c r="AP484" s="108"/>
      <c r="AQ484" s="108"/>
      <c r="AR484" s="108"/>
      <c r="AS484" s="108"/>
      <c r="AT484" s="108"/>
      <c r="AU484" s="108"/>
      <c r="AV484" s="108"/>
      <c r="AW484" s="108"/>
      <c r="AX484" s="108"/>
      <c r="AY484" s="108"/>
      <c r="AZ484" s="108"/>
      <c r="BA484" s="108"/>
      <c r="BB484" s="108"/>
    </row>
    <row r="485" spans="1:54" s="109" customFormat="1" ht="12" customHeight="1">
      <c r="A485" s="8">
        <v>52</v>
      </c>
      <c r="B485" s="8" t="s">
        <v>303</v>
      </c>
      <c r="C485" s="8"/>
      <c r="D485" s="92">
        <f>+VLOOKUP(A485,Clasificaciones!C:I,5,FALSE)</f>
        <v>0</v>
      </c>
      <c r="E485" s="92">
        <v>0</v>
      </c>
      <c r="F485" s="92">
        <v>0</v>
      </c>
      <c r="G485" s="92">
        <v>0</v>
      </c>
      <c r="H485" s="92">
        <f t="shared" si="83"/>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c r="Z485" s="26">
        <v>0</v>
      </c>
      <c r="AA485" s="26">
        <f t="shared" si="88"/>
        <v>0</v>
      </c>
      <c r="AB485" s="107"/>
      <c r="AC485" s="107"/>
      <c r="AD485" s="107"/>
      <c r="AE485" s="107"/>
      <c r="AF485" s="107"/>
      <c r="AG485" s="107"/>
      <c r="AH485" s="107"/>
      <c r="AI485" s="107"/>
      <c r="AJ485" s="107"/>
      <c r="AK485" s="107"/>
      <c r="AL485" s="107"/>
      <c r="AM485" s="107"/>
      <c r="AN485" s="107"/>
      <c r="AO485" s="108"/>
      <c r="AP485" s="108"/>
      <c r="AQ485" s="108"/>
      <c r="AR485" s="108"/>
      <c r="AS485" s="108"/>
      <c r="AT485" s="108"/>
      <c r="AU485" s="108"/>
      <c r="AV485" s="108"/>
      <c r="AW485" s="108"/>
      <c r="AX485" s="108"/>
      <c r="AY485" s="108"/>
      <c r="AZ485" s="108"/>
      <c r="BA485" s="108"/>
      <c r="BB485" s="108"/>
    </row>
    <row r="486" spans="1:54" s="109" customFormat="1" ht="12" customHeight="1">
      <c r="A486" s="8">
        <v>5204</v>
      </c>
      <c r="B486" s="8" t="s">
        <v>962</v>
      </c>
      <c r="C486" s="8" t="str">
        <f>+VLOOKUP(A486,Clasificaciones!$C$4:$H$887,6,0)</f>
        <v>Otros Egresos</v>
      </c>
      <c r="D486" s="92">
        <f>+VLOOKUP(A486,Clasificaciones!C:I,5,FALSE)</f>
        <v>12107</v>
      </c>
      <c r="E486" s="92">
        <v>0</v>
      </c>
      <c r="F486" s="92">
        <v>0</v>
      </c>
      <c r="G486" s="92">
        <v>0</v>
      </c>
      <c r="H486" s="92">
        <f t="shared" si="83"/>
        <v>12107</v>
      </c>
      <c r="I486" s="26">
        <v>0</v>
      </c>
      <c r="J486" s="26">
        <v>0</v>
      </c>
      <c r="K486" s="26"/>
      <c r="L486" s="26">
        <v>0</v>
      </c>
      <c r="M486" s="26">
        <f>-H486</f>
        <v>-12107</v>
      </c>
      <c r="N486" s="26">
        <v>0</v>
      </c>
      <c r="O486" s="26">
        <v>0</v>
      </c>
      <c r="P486" s="26">
        <v>0</v>
      </c>
      <c r="Q486" s="26">
        <v>0</v>
      </c>
      <c r="R486" s="26">
        <v>0</v>
      </c>
      <c r="S486" s="26">
        <v>0</v>
      </c>
      <c r="T486" s="26">
        <v>0</v>
      </c>
      <c r="U486" s="26">
        <v>0</v>
      </c>
      <c r="V486" s="26">
        <v>0</v>
      </c>
      <c r="W486" s="26">
        <v>0</v>
      </c>
      <c r="X486" s="26">
        <v>0</v>
      </c>
      <c r="Y486" s="26">
        <v>0</v>
      </c>
      <c r="Z486" s="26">
        <v>0</v>
      </c>
      <c r="AA486" s="26">
        <f t="shared" si="88"/>
        <v>0</v>
      </c>
      <c r="AB486" s="107"/>
      <c r="AC486" s="107"/>
      <c r="AD486" s="107"/>
      <c r="AE486" s="107"/>
      <c r="AF486" s="107"/>
      <c r="AG486" s="107"/>
      <c r="AH486" s="107"/>
      <c r="AI486" s="107"/>
      <c r="AJ486" s="107"/>
      <c r="AK486" s="107"/>
      <c r="AL486" s="107"/>
      <c r="AM486" s="107"/>
      <c r="AN486" s="107"/>
      <c r="AO486" s="108"/>
      <c r="AP486" s="108"/>
      <c r="AQ486" s="108"/>
      <c r="AR486" s="108"/>
      <c r="AS486" s="108"/>
      <c r="AT486" s="108"/>
      <c r="AU486" s="108"/>
      <c r="AV486" s="108"/>
      <c r="AW486" s="108"/>
      <c r="AX486" s="108"/>
      <c r="AY486" s="108"/>
      <c r="AZ486" s="108"/>
      <c r="BA486" s="108"/>
      <c r="BB486" s="108"/>
    </row>
    <row r="487" spans="1:54" s="14" customFormat="1" ht="10.199999999999999">
      <c r="A487" s="10"/>
      <c r="B487" s="10" t="s">
        <v>57</v>
      </c>
      <c r="C487" s="10"/>
      <c r="D487" s="27">
        <f>-D273</f>
        <v>2497475898</v>
      </c>
      <c r="E487" s="27">
        <v>0</v>
      </c>
      <c r="F487" s="178">
        <f>+D487</f>
        <v>2497475898</v>
      </c>
      <c r="G487" s="27">
        <v>0</v>
      </c>
      <c r="H487" s="27">
        <f>+D487+E487-F487</f>
        <v>0</v>
      </c>
      <c r="I487" s="27"/>
      <c r="J487" s="27"/>
      <c r="K487" s="27"/>
      <c r="L487" s="27"/>
      <c r="M487" s="27"/>
      <c r="N487" s="27"/>
      <c r="O487" s="27"/>
      <c r="P487" s="27"/>
      <c r="Q487" s="27"/>
      <c r="R487" s="27"/>
      <c r="S487" s="27"/>
      <c r="T487" s="27"/>
      <c r="U487" s="27"/>
      <c r="V487" s="27"/>
      <c r="W487" s="27"/>
      <c r="X487" s="27"/>
      <c r="Y487" s="27"/>
      <c r="Z487" s="27"/>
      <c r="AA487" s="27">
        <f t="shared" ref="AA487" si="96">SUM(H487:Z487)</f>
        <v>0</v>
      </c>
      <c r="AB487" s="12"/>
      <c r="AC487" s="12"/>
      <c r="AD487" s="12"/>
      <c r="AE487" s="12"/>
      <c r="AF487" s="12"/>
      <c r="AG487" s="12"/>
      <c r="AH487" s="12"/>
      <c r="AI487" s="12"/>
      <c r="AJ487" s="12"/>
      <c r="AK487" s="12"/>
      <c r="AL487" s="12"/>
      <c r="AM487" s="12"/>
      <c r="AN487" s="12"/>
      <c r="AO487" s="13"/>
      <c r="AP487" s="13"/>
      <c r="AQ487" s="13"/>
      <c r="AR487" s="13"/>
      <c r="AS487" s="13"/>
      <c r="AT487" s="13"/>
      <c r="AU487" s="13"/>
      <c r="AV487" s="13"/>
      <c r="AW487" s="13"/>
      <c r="AX487" s="13"/>
      <c r="AY487" s="13"/>
      <c r="AZ487" s="13"/>
      <c r="BA487" s="13"/>
      <c r="BB487" s="13"/>
    </row>
    <row r="488" spans="1:54" s="2" customFormat="1" ht="10.8" thickBot="1">
      <c r="A488" s="3"/>
      <c r="B488" s="3" t="s">
        <v>77</v>
      </c>
      <c r="C488" s="3"/>
      <c r="D488" s="28">
        <f>+SUM(D4:D487)</f>
        <v>0</v>
      </c>
      <c r="E488" s="28">
        <f>SUM(E52:E487)</f>
        <v>7667468107</v>
      </c>
      <c r="F488" s="28">
        <f>SUM(F52:F487)</f>
        <v>7667468107</v>
      </c>
      <c r="G488" s="28">
        <f t="shared" ref="G488:AA488" si="97">SUM(G4:G487)</f>
        <v>0</v>
      </c>
      <c r="H488" s="28">
        <f t="shared" si="97"/>
        <v>0</v>
      </c>
      <c r="I488" s="28">
        <f t="shared" si="97"/>
        <v>3217721992</v>
      </c>
      <c r="J488" s="28">
        <f t="shared" si="97"/>
        <v>-3721700414</v>
      </c>
      <c r="K488" s="28">
        <f t="shared" si="97"/>
        <v>0</v>
      </c>
      <c r="L488" s="28">
        <f t="shared" si="97"/>
        <v>0</v>
      </c>
      <c r="M488" s="28">
        <f t="shared" si="97"/>
        <v>-3665644973</v>
      </c>
      <c r="N488" s="28">
        <f t="shared" si="97"/>
        <v>-421109192</v>
      </c>
      <c r="O488" s="28">
        <f t="shared" si="97"/>
        <v>-1499000000</v>
      </c>
      <c r="P488" s="28">
        <f t="shared" si="97"/>
        <v>0</v>
      </c>
      <c r="Q488" s="28">
        <f t="shared" si="97"/>
        <v>0</v>
      </c>
      <c r="R488" s="28">
        <f t="shared" si="97"/>
        <v>-1028033354</v>
      </c>
      <c r="S488" s="28">
        <f t="shared" si="97"/>
        <v>-6188054057</v>
      </c>
      <c r="T488" s="28">
        <f t="shared" si="97"/>
        <v>34634230</v>
      </c>
      <c r="U488" s="28">
        <f t="shared" si="97"/>
        <v>1369315</v>
      </c>
      <c r="V488" s="28">
        <f t="shared" si="97"/>
        <v>15000000000</v>
      </c>
      <c r="W488" s="28">
        <f t="shared" si="97"/>
        <v>804962553</v>
      </c>
      <c r="X488" s="28">
        <f t="shared" si="97"/>
        <v>0</v>
      </c>
      <c r="Y488" s="28">
        <f t="shared" si="97"/>
        <v>-277598004</v>
      </c>
      <c r="Z488" s="28">
        <f t="shared" si="97"/>
        <v>-30742990</v>
      </c>
      <c r="AA488" s="28">
        <f t="shared" si="97"/>
        <v>2226805106</v>
      </c>
      <c r="AB488" s="61"/>
      <c r="AC488" s="61"/>
      <c r="AD488" s="61"/>
      <c r="AE488" s="61"/>
      <c r="AF488" s="61"/>
      <c r="AG488" s="61"/>
      <c r="AH488" s="61"/>
      <c r="AI488" s="61"/>
      <c r="AJ488" s="61"/>
      <c r="AK488" s="61"/>
      <c r="AL488" s="61"/>
      <c r="AM488" s="61"/>
      <c r="AN488" s="61"/>
      <c r="AO488" s="1"/>
      <c r="AP488" s="1"/>
      <c r="AQ488" s="1"/>
      <c r="AR488" s="1"/>
      <c r="AS488" s="1"/>
      <c r="AT488" s="1"/>
      <c r="AU488" s="1"/>
      <c r="AV488" s="1"/>
      <c r="AW488" s="1"/>
      <c r="AX488" s="1"/>
      <c r="AY488" s="1"/>
      <c r="AZ488" s="1"/>
      <c r="BA488" s="1"/>
      <c r="BB488" s="1"/>
    </row>
    <row r="489" spans="1:54" s="82" customFormat="1" ht="14.4" thickTop="1">
      <c r="F489" s="93">
        <f>+F488-E488</f>
        <v>0</v>
      </c>
      <c r="G489" s="82" t="s">
        <v>1444</v>
      </c>
      <c r="I489" s="24"/>
      <c r="J489" s="15"/>
      <c r="K489" s="15"/>
      <c r="L489" s="15"/>
      <c r="M489" s="15"/>
      <c r="N489" s="15">
        <f>+SUM(I488:N488)</f>
        <v>-4590732587</v>
      </c>
      <c r="O489" s="15"/>
      <c r="P489" s="15"/>
      <c r="Q489" s="15"/>
      <c r="R489" s="15"/>
      <c r="S489" s="15"/>
      <c r="T489" s="15"/>
      <c r="U489" s="15">
        <f>+SUM(O488:U488)</f>
        <v>-8679083866</v>
      </c>
      <c r="V489" s="15"/>
      <c r="W489" s="15"/>
      <c r="X489" s="15"/>
      <c r="Y489" s="15">
        <f>+SUM(V488:Y488)</f>
        <v>15527364549</v>
      </c>
      <c r="Z489" s="15">
        <f>Z488</f>
        <v>-30742990</v>
      </c>
      <c r="AA489" s="29">
        <f>SUM(H489:Z489)</f>
        <v>2226805106</v>
      </c>
      <c r="AB489" s="16">
        <f>+AA488-AA489</f>
        <v>0</v>
      </c>
      <c r="AC489" s="16"/>
      <c r="AD489" s="16"/>
      <c r="AE489" s="16"/>
      <c r="AF489" s="16"/>
      <c r="AG489" s="16"/>
      <c r="AH489" s="16"/>
      <c r="AI489" s="16"/>
      <c r="AJ489" s="16"/>
      <c r="AK489" s="16"/>
      <c r="AL489" s="16"/>
      <c r="AM489" s="16"/>
      <c r="AN489" s="16"/>
      <c r="AO489" s="83"/>
      <c r="AP489" s="83"/>
      <c r="AQ489" s="83"/>
      <c r="AR489" s="83"/>
      <c r="AS489" s="83"/>
      <c r="AT489" s="83"/>
      <c r="AU489" s="83"/>
      <c r="AV489" s="83"/>
      <c r="AW489" s="83"/>
      <c r="AX489" s="83"/>
      <c r="AY489" s="83"/>
      <c r="AZ489" s="83"/>
      <c r="BA489" s="83"/>
      <c r="BB489" s="83"/>
    </row>
    <row r="490" spans="1:54" ht="13.8">
      <c r="A490" s="84"/>
      <c r="B490" s="84"/>
      <c r="C490" s="84"/>
      <c r="D490" s="84"/>
      <c r="E490" s="84"/>
      <c r="F490" s="85"/>
      <c r="G490" s="84"/>
      <c r="H490" s="84"/>
      <c r="I490" s="7"/>
      <c r="J490" s="7"/>
      <c r="K490" s="7"/>
      <c r="L490" s="7"/>
      <c r="M490" s="7"/>
      <c r="N490" s="7"/>
      <c r="O490" s="7"/>
      <c r="P490" s="7"/>
      <c r="Q490" s="7"/>
      <c r="R490" s="7"/>
      <c r="S490" s="7"/>
      <c r="T490" s="7"/>
      <c r="U490" s="7"/>
      <c r="V490" s="7"/>
      <c r="W490" s="7"/>
      <c r="X490" s="7"/>
      <c r="Y490" s="7"/>
      <c r="Z490" s="7"/>
      <c r="AA490" s="30"/>
      <c r="AB490" s="86"/>
      <c r="AC490" s="61"/>
      <c r="AD490" s="61"/>
      <c r="AE490" s="61"/>
      <c r="AF490" s="61"/>
      <c r="AG490" s="61"/>
      <c r="AH490" s="61"/>
      <c r="AI490" s="61"/>
      <c r="AJ490" s="61"/>
      <c r="AK490" s="61"/>
      <c r="AL490" s="61"/>
      <c r="AM490" s="61"/>
      <c r="AN490" s="61"/>
    </row>
    <row r="491" spans="1:54" ht="13.8">
      <c r="A491" s="81"/>
      <c r="B491" s="81"/>
      <c r="C491" s="81"/>
      <c r="D491" s="81"/>
      <c r="E491" s="158"/>
      <c r="F491" s="158"/>
      <c r="G491" s="158"/>
      <c r="H491" s="81"/>
      <c r="I491" s="81"/>
      <c r="J491" s="81"/>
      <c r="K491" s="81"/>
      <c r="L491" s="81"/>
      <c r="M491" s="81"/>
      <c r="N491" s="81"/>
      <c r="O491" s="81"/>
      <c r="P491" s="81"/>
      <c r="Q491" s="81"/>
      <c r="R491" s="81"/>
      <c r="S491" s="81"/>
      <c r="T491" s="81"/>
      <c r="U491" s="81"/>
      <c r="V491" s="81"/>
      <c r="W491" s="81"/>
      <c r="X491" s="81"/>
      <c r="Y491" s="81"/>
      <c r="Z491" s="81"/>
      <c r="AA491" s="87"/>
      <c r="AB491" s="86"/>
    </row>
    <row r="492" spans="1:54" ht="13.8">
      <c r="D492" s="88"/>
      <c r="E492" s="89"/>
      <c r="F492" s="159"/>
      <c r="G492" s="88"/>
      <c r="H492" s="4"/>
      <c r="I492" s="5"/>
      <c r="J492" s="5"/>
      <c r="K492" s="5"/>
      <c r="L492" s="5"/>
      <c r="M492" s="5"/>
      <c r="N492" s="5"/>
      <c r="O492" s="5"/>
      <c r="P492" s="5"/>
      <c r="Q492" s="5"/>
      <c r="R492" s="5"/>
      <c r="S492" s="5"/>
      <c r="T492" s="5"/>
      <c r="U492" s="5"/>
      <c r="V492" s="5"/>
      <c r="W492" s="5"/>
      <c r="X492" s="5"/>
      <c r="Y492" s="5"/>
      <c r="Z492" s="5"/>
    </row>
    <row r="493" spans="1:54" ht="13.8">
      <c r="D493" s="91"/>
      <c r="I493" s="6"/>
      <c r="J493" s="6"/>
      <c r="K493" s="6"/>
      <c r="L493" s="6"/>
      <c r="M493" s="6"/>
      <c r="N493" s="6"/>
      <c r="O493" s="6"/>
      <c r="P493" s="6"/>
      <c r="Q493" s="6"/>
      <c r="R493" s="6"/>
      <c r="S493" s="6"/>
      <c r="T493" s="6"/>
      <c r="U493" s="6"/>
      <c r="V493" s="6"/>
      <c r="W493" s="6"/>
      <c r="X493" s="6"/>
      <c r="Y493" s="6"/>
      <c r="Z493" s="6"/>
    </row>
    <row r="494" spans="1:54" ht="15" customHeight="1">
      <c r="D494" s="91"/>
    </row>
  </sheetData>
  <autoFilter ref="B1:AB489" xr:uid="{00000000-0009-0000-0000-000005000000}"/>
  <customSheetViews>
    <customSheetView guid="{B9F63820-5C32-455A-BC9D-0BE84D6B0867}" scale="113" state="hidden">
      <pane xSplit="6" ySplit="3" topLeftCell="G47" activePane="bottomRight" state="frozen"/>
      <selection pane="bottomRight" activeCell="A58" sqref="A58"/>
      <pageMargins left="0.7" right="0.7" top="0.75" bottom="0.75" header="0.3" footer="0.3"/>
      <pageSetup orientation="portrait" r:id="rId1"/>
    </customSheetView>
    <customSheetView guid="{7015FC6D-0680-4B00-AA0E-B83DA1D0B666}" scale="113">
      <pane xSplit="6" ySplit="3" topLeftCell="G47" activePane="bottomRight" state="frozen"/>
      <selection pane="bottomRight" activeCell="A58" sqref="A58"/>
      <pageMargins left="0.7" right="0.7" top="0.75" bottom="0.75" header="0.3" footer="0.3"/>
      <pageSetup orientation="portrait" r:id="rId2"/>
    </customSheetView>
    <customSheetView guid="{5FCC9217-B3E9-4B91-A943-5F21728EBEE9}" scale="113">
      <pane xSplit="6" ySplit="3" topLeftCell="G47" activePane="bottomRight" state="frozen"/>
      <selection pane="bottomRight" activeCell="A58" sqref="A58"/>
      <pageMargins left="0.7" right="0.7" top="0.75" bottom="0.75" header="0.3" footer="0.3"/>
      <pageSetup orientation="portrait" r:id="rId3"/>
    </customSheetView>
    <customSheetView guid="{F3648BCD-1CED-4BBB-AE63-37BDB925883F}" scale="113" state="hidden">
      <pane xSplit="6" ySplit="3" topLeftCell="G47" activePane="bottomRight" state="frozen"/>
      <selection pane="bottomRight" activeCell="A58" sqref="A58"/>
      <pageMargins left="0.7" right="0.7" top="0.75" bottom="0.75" header="0.3" footer="0.3"/>
      <pageSetup orientation="portrait" r:id="rId4"/>
    </customSheetView>
  </customSheetViews>
  <mergeCells count="7">
    <mergeCell ref="A2:A3"/>
    <mergeCell ref="B2:B3"/>
    <mergeCell ref="E2:F2"/>
    <mergeCell ref="AA2:AA3"/>
    <mergeCell ref="I2:N2"/>
    <mergeCell ref="O2:U2"/>
    <mergeCell ref="V2:Z2"/>
  </mergeCell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5F5A0-2066-4906-A20F-09F5F3C57CCA}">
  <dimension ref="A1:G447"/>
  <sheetViews>
    <sheetView showGridLines="0" zoomScale="90" zoomScaleNormal="90" workbookViewId="0">
      <pane xSplit="2" ySplit="7" topLeftCell="C180" activePane="bottomRight" state="frozen"/>
      <selection activeCell="B84" sqref="B84"/>
      <selection pane="topRight" activeCell="B84" sqref="B84"/>
      <selection pane="bottomLeft" activeCell="B84" sqref="B84"/>
      <selection pane="bottomRight" activeCell="B84" sqref="B84"/>
    </sheetView>
  </sheetViews>
  <sheetFormatPr baseColWidth="10" defaultColWidth="11.5546875" defaultRowHeight="15" customHeight="1"/>
  <cols>
    <col min="1" max="1" width="15.88671875" style="145" customWidth="1"/>
    <col min="2" max="2" width="49" style="145" customWidth="1"/>
    <col min="3" max="3" width="23.6640625" style="145" customWidth="1"/>
    <col min="4" max="4" width="22" style="145" customWidth="1"/>
    <col min="5" max="5" width="11.5546875" style="145"/>
    <col min="6" max="6" width="14.6640625" style="147" bestFit="1" customWidth="1"/>
    <col min="7" max="7" width="13.6640625" style="145" bestFit="1" customWidth="1"/>
    <col min="8" max="16384" width="11.5546875" style="145"/>
  </cols>
  <sheetData>
    <row r="1" spans="1:6" ht="15" customHeight="1">
      <c r="A1" s="154" t="s">
        <v>230</v>
      </c>
      <c r="B1" s="149"/>
      <c r="C1" s="149"/>
    </row>
    <row r="3" spans="1:6" ht="15" customHeight="1">
      <c r="B3" s="153" t="s">
        <v>738</v>
      </c>
      <c r="C3" s="152"/>
      <c r="D3" s="152"/>
    </row>
    <row r="4" spans="1:6" ht="15" customHeight="1">
      <c r="A4" s="151"/>
      <c r="B4" s="149"/>
      <c r="C4" s="149"/>
    </row>
    <row r="5" spans="1:6" ht="15" customHeight="1">
      <c r="B5" s="150" t="s">
        <v>1433</v>
      </c>
      <c r="C5" s="149"/>
    </row>
    <row r="6" spans="1:6" ht="15" customHeight="1">
      <c r="B6" s="149"/>
      <c r="C6" s="149"/>
    </row>
    <row r="7" spans="1:6" s="147" customFormat="1" ht="15" customHeight="1">
      <c r="A7" s="148" t="s">
        <v>1</v>
      </c>
      <c r="B7" s="148" t="s">
        <v>75</v>
      </c>
      <c r="C7" s="148" t="s">
        <v>739</v>
      </c>
      <c r="D7" s="148" t="s">
        <v>740</v>
      </c>
      <c r="F7" s="148" t="s">
        <v>1465</v>
      </c>
    </row>
    <row r="8" spans="1:6" ht="15" customHeight="1">
      <c r="A8" s="161">
        <v>1</v>
      </c>
      <c r="B8" s="65" t="s">
        <v>3</v>
      </c>
      <c r="C8" s="65">
        <v>101792478199</v>
      </c>
      <c r="D8" s="144">
        <v>14867692.736999987</v>
      </c>
      <c r="E8" s="145">
        <f>+VLOOKUP(A8,Clasificaciones!C:C,1,FALSE)</f>
        <v>1</v>
      </c>
      <c r="F8" s="147" t="s">
        <v>6</v>
      </c>
    </row>
    <row r="9" spans="1:6" ht="15" customHeight="1">
      <c r="A9" s="161">
        <v>11</v>
      </c>
      <c r="B9" s="65" t="s">
        <v>4</v>
      </c>
      <c r="C9" s="65">
        <v>91991760820</v>
      </c>
      <c r="D9" s="144">
        <v>13388779.366999984</v>
      </c>
      <c r="E9" s="145">
        <f>+VLOOKUP(A9,Clasificaciones!C:C,1,FALSE)</f>
        <v>11</v>
      </c>
      <c r="F9" s="147" t="s">
        <v>6</v>
      </c>
    </row>
    <row r="10" spans="1:6" ht="15" customHeight="1">
      <c r="A10" s="161">
        <v>111</v>
      </c>
      <c r="B10" s="65" t="s">
        <v>5</v>
      </c>
      <c r="C10" s="65">
        <v>2889773997</v>
      </c>
      <c r="D10" s="144">
        <v>420587.10699999332</v>
      </c>
      <c r="E10" s="145">
        <f>+VLOOKUP(A10,Clasificaciones!C:C,1,FALSE)</f>
        <v>111</v>
      </c>
      <c r="F10" s="147" t="s">
        <v>6</v>
      </c>
    </row>
    <row r="11" spans="1:6" ht="15" customHeight="1">
      <c r="A11" s="161">
        <v>11103</v>
      </c>
      <c r="B11" s="65" t="s">
        <v>17</v>
      </c>
      <c r="C11" s="65">
        <v>2889773997</v>
      </c>
      <c r="D11" s="144">
        <v>420587.10699999332</v>
      </c>
      <c r="E11" s="145">
        <f>+VLOOKUP(A11,Clasificaciones!C:C,1,FALSE)</f>
        <v>11103</v>
      </c>
    </row>
    <row r="12" spans="1:6" ht="15" customHeight="1">
      <c r="A12" s="161">
        <v>1110301</v>
      </c>
      <c r="B12" s="65" t="s">
        <v>741</v>
      </c>
      <c r="C12" s="65">
        <v>2568723880</v>
      </c>
      <c r="D12" s="144">
        <v>373860.43000000715</v>
      </c>
      <c r="E12" s="145">
        <f>+VLOOKUP(A12,Clasificaciones!C:C,1,FALSE)</f>
        <v>1110301</v>
      </c>
      <c r="F12" s="147" t="s">
        <v>6</v>
      </c>
    </row>
    <row r="13" spans="1:6" ht="15" customHeight="1">
      <c r="A13" s="161">
        <v>111030101</v>
      </c>
      <c r="B13" s="65" t="s">
        <v>969</v>
      </c>
      <c r="C13" s="155">
        <v>1872447497</v>
      </c>
      <c r="D13" s="144">
        <v>272522.09000000358</v>
      </c>
      <c r="E13" s="145">
        <f>+VLOOKUP(A13,Clasificaciones!C:C,1,FALSE)</f>
        <v>111030101</v>
      </c>
      <c r="F13" s="147" t="s">
        <v>6</v>
      </c>
    </row>
    <row r="14" spans="1:6" ht="15" customHeight="1">
      <c r="A14" s="161">
        <v>111030102</v>
      </c>
      <c r="B14" s="65" t="s">
        <v>742</v>
      </c>
      <c r="C14" s="155">
        <v>121221490</v>
      </c>
      <c r="D14" s="144">
        <v>17642.969999998808</v>
      </c>
      <c r="E14" s="145">
        <f>+VLOOKUP(A14,Clasificaciones!C:C,1,FALSE)</f>
        <v>111030102</v>
      </c>
      <c r="F14" s="147" t="s">
        <v>6</v>
      </c>
    </row>
    <row r="15" spans="1:6" ht="15" customHeight="1">
      <c r="A15" s="161">
        <v>111030103</v>
      </c>
      <c r="B15" s="65" t="s">
        <v>743</v>
      </c>
      <c r="C15" s="155">
        <v>6027989</v>
      </c>
      <c r="D15" s="144">
        <v>877.32999999998719</v>
      </c>
      <c r="E15" s="145">
        <f>+VLOOKUP(A15,Clasificaciones!C:C,1,FALSE)</f>
        <v>111030103</v>
      </c>
      <c r="F15" s="147" t="s">
        <v>6</v>
      </c>
    </row>
    <row r="16" spans="1:6" ht="15" customHeight="1">
      <c r="A16" s="161">
        <v>111030104</v>
      </c>
      <c r="B16" s="65" t="s">
        <v>744</v>
      </c>
      <c r="C16" s="155">
        <v>6000000</v>
      </c>
      <c r="D16" s="144">
        <v>873.26</v>
      </c>
      <c r="E16" s="145">
        <f>+VLOOKUP(A16,Clasificaciones!C:C,1,FALSE)</f>
        <v>111030104</v>
      </c>
      <c r="F16" s="147" t="s">
        <v>6</v>
      </c>
    </row>
    <row r="17" spans="1:6" ht="15" customHeight="1">
      <c r="A17" s="161">
        <v>111030106</v>
      </c>
      <c r="B17" s="65" t="s">
        <v>745</v>
      </c>
      <c r="C17" s="155">
        <v>5560000</v>
      </c>
      <c r="D17" s="144">
        <v>809.21999999997206</v>
      </c>
      <c r="E17" s="145">
        <f>+VLOOKUP(A17,Clasificaciones!C:C,1,FALSE)</f>
        <v>111030106</v>
      </c>
      <c r="F17" s="147" t="s">
        <v>6</v>
      </c>
    </row>
    <row r="18" spans="1:6" ht="15" customHeight="1">
      <c r="A18" s="161">
        <v>111030107</v>
      </c>
      <c r="B18" s="65" t="s">
        <v>746</v>
      </c>
      <c r="C18" s="155">
        <v>300374</v>
      </c>
      <c r="D18" s="144">
        <v>43.72</v>
      </c>
      <c r="E18" s="145">
        <f>+VLOOKUP(A18,Clasificaciones!C:C,1,FALSE)</f>
        <v>111030107</v>
      </c>
      <c r="F18" s="147" t="s">
        <v>6</v>
      </c>
    </row>
    <row r="19" spans="1:6" ht="15" customHeight="1">
      <c r="A19" s="161">
        <v>111030108</v>
      </c>
      <c r="B19" s="65" t="s">
        <v>747</v>
      </c>
      <c r="C19" s="155">
        <v>3468465</v>
      </c>
      <c r="D19" s="144">
        <v>504.80999999999767</v>
      </c>
      <c r="E19" s="145">
        <f>+VLOOKUP(A19,Clasificaciones!C:C,1,FALSE)</f>
        <v>111030108</v>
      </c>
      <c r="F19" s="147" t="s">
        <v>6</v>
      </c>
    </row>
    <row r="20" spans="1:6" ht="15" customHeight="1">
      <c r="A20" s="161">
        <v>111030109</v>
      </c>
      <c r="B20" s="65" t="s">
        <v>748</v>
      </c>
      <c r="C20" s="155">
        <v>3982</v>
      </c>
      <c r="D20" s="144">
        <v>0.58000000007450581</v>
      </c>
      <c r="E20" s="145">
        <f>+VLOOKUP(A20,Clasificaciones!C:C,1,FALSE)</f>
        <v>111030109</v>
      </c>
      <c r="F20" s="147" t="s">
        <v>6</v>
      </c>
    </row>
    <row r="21" spans="1:6" ht="15" customHeight="1">
      <c r="A21" s="161">
        <v>111030111</v>
      </c>
      <c r="B21" s="65" t="s">
        <v>970</v>
      </c>
      <c r="C21" s="155">
        <v>36676</v>
      </c>
      <c r="D21" s="144">
        <v>5.340000000083819</v>
      </c>
      <c r="E21" s="145">
        <f>+VLOOKUP(A21,Clasificaciones!C:C,1,FALSE)</f>
        <v>111030111</v>
      </c>
      <c r="F21" s="147" t="s">
        <v>6</v>
      </c>
    </row>
    <row r="22" spans="1:6" ht="15" customHeight="1">
      <c r="A22" s="161">
        <v>111030112</v>
      </c>
      <c r="B22" s="65" t="s">
        <v>749</v>
      </c>
      <c r="C22" s="65">
        <v>263032</v>
      </c>
      <c r="D22" s="144">
        <v>38.28</v>
      </c>
      <c r="E22" s="145">
        <f>+VLOOKUP(A22,Clasificaciones!C:C,1,FALSE)</f>
        <v>111030112</v>
      </c>
      <c r="F22" s="147" t="s">
        <v>6</v>
      </c>
    </row>
    <row r="23" spans="1:6" ht="15" customHeight="1">
      <c r="A23" s="161">
        <v>111030113</v>
      </c>
      <c r="B23" s="65" t="s">
        <v>750</v>
      </c>
      <c r="C23" s="65">
        <v>18159282</v>
      </c>
      <c r="D23" s="144">
        <v>2642.9599999999919</v>
      </c>
      <c r="E23" s="145">
        <f>+VLOOKUP(A23,Clasificaciones!C:C,1,FALSE)</f>
        <v>111030113</v>
      </c>
      <c r="F23" s="147" t="s">
        <v>6</v>
      </c>
    </row>
    <row r="24" spans="1:6" ht="15" customHeight="1">
      <c r="A24" s="161">
        <v>111030114</v>
      </c>
      <c r="B24" s="65" t="s">
        <v>751</v>
      </c>
      <c r="C24" s="65">
        <v>6759960</v>
      </c>
      <c r="D24" s="144">
        <v>983.87000000011176</v>
      </c>
      <c r="E24" s="145">
        <f>+VLOOKUP(A24,Clasificaciones!C:C,1,FALSE)</f>
        <v>111030114</v>
      </c>
      <c r="F24" s="147" t="s">
        <v>6</v>
      </c>
    </row>
    <row r="25" spans="1:6" ht="15" customHeight="1">
      <c r="A25" s="161">
        <v>111030116</v>
      </c>
      <c r="B25" s="65" t="s">
        <v>1311</v>
      </c>
      <c r="C25" s="65">
        <v>3800000</v>
      </c>
      <c r="D25" s="144">
        <v>553.05999999999995</v>
      </c>
      <c r="E25" s="145">
        <f>+VLOOKUP(A25,Clasificaciones!C:C,1,FALSE)</f>
        <v>111030116</v>
      </c>
      <c r="F25" s="147" t="s">
        <v>6</v>
      </c>
    </row>
    <row r="26" spans="1:6" ht="15" customHeight="1">
      <c r="A26" s="161">
        <v>111030117</v>
      </c>
      <c r="B26" s="65" t="s">
        <v>986</v>
      </c>
      <c r="C26" s="65">
        <v>1000706</v>
      </c>
      <c r="D26" s="144">
        <v>145.64999999999998</v>
      </c>
      <c r="E26" s="145">
        <f>+VLOOKUP(A26,Clasificaciones!C:C,1,FALSE)</f>
        <v>111030117</v>
      </c>
      <c r="F26" s="147" t="s">
        <v>6</v>
      </c>
    </row>
    <row r="27" spans="1:6" ht="15" customHeight="1">
      <c r="A27" s="161">
        <v>111030118</v>
      </c>
      <c r="B27" s="65" t="s">
        <v>1312</v>
      </c>
      <c r="C27" s="65">
        <v>468059075</v>
      </c>
      <c r="D27" s="144">
        <v>68122.84</v>
      </c>
      <c r="E27" s="145">
        <f>+VLOOKUP(A27,Clasificaciones!C:C,1,FALSE)</f>
        <v>111030118</v>
      </c>
      <c r="F27" s="147" t="s">
        <v>6</v>
      </c>
    </row>
    <row r="28" spans="1:6" ht="15" customHeight="1">
      <c r="A28" s="161">
        <v>111030119</v>
      </c>
      <c r="B28" s="65" t="s">
        <v>761</v>
      </c>
      <c r="C28" s="65">
        <v>110</v>
      </c>
      <c r="D28" s="144">
        <v>2.0000000004074536E-2</v>
      </c>
      <c r="E28" s="145">
        <f>+VLOOKUP(A28,Clasificaciones!C:C,1,FALSE)</f>
        <v>111030119</v>
      </c>
      <c r="F28" s="147" t="s">
        <v>6</v>
      </c>
    </row>
    <row r="29" spans="1:6" ht="15" customHeight="1">
      <c r="A29" s="161">
        <v>111030121</v>
      </c>
      <c r="B29" s="65" t="s">
        <v>988</v>
      </c>
      <c r="C29" s="155">
        <v>47834073</v>
      </c>
      <c r="D29" s="144">
        <v>6961.929999999702</v>
      </c>
      <c r="E29" s="145">
        <f>+VLOOKUP(A29,Clasificaciones!C:C,1,FALSE)</f>
        <v>111030121</v>
      </c>
      <c r="F29" s="147" t="s">
        <v>6</v>
      </c>
    </row>
    <row r="30" spans="1:6" ht="15" customHeight="1">
      <c r="A30" s="161">
        <v>111030122</v>
      </c>
      <c r="B30" s="65" t="s">
        <v>1313</v>
      </c>
      <c r="C30" s="155">
        <v>7781169</v>
      </c>
      <c r="D30" s="144">
        <v>1132.5</v>
      </c>
      <c r="E30" s="145">
        <f>+VLOOKUP(A30,Clasificaciones!C:C,1,FALSE)</f>
        <v>111030122</v>
      </c>
      <c r="F30" s="147" t="s">
        <v>6</v>
      </c>
    </row>
    <row r="31" spans="1:6" ht="15" customHeight="1">
      <c r="A31" s="161">
        <v>1110302</v>
      </c>
      <c r="B31" s="65" t="s">
        <v>752</v>
      </c>
      <c r="C31" s="155">
        <v>321050117</v>
      </c>
      <c r="D31" s="144">
        <v>46726.677000015974</v>
      </c>
      <c r="E31" s="145">
        <f>+VLOOKUP(A31,Clasificaciones!C:C,1,FALSE)</f>
        <v>1110302</v>
      </c>
      <c r="F31" s="147" t="s">
        <v>229</v>
      </c>
    </row>
    <row r="32" spans="1:6" ht="15" customHeight="1">
      <c r="A32" s="161">
        <v>111030201</v>
      </c>
      <c r="B32" s="65" t="s">
        <v>989</v>
      </c>
      <c r="C32" s="155">
        <v>1</v>
      </c>
      <c r="D32" s="144">
        <v>0</v>
      </c>
      <c r="E32" s="145">
        <f>+VLOOKUP(A32,Clasificaciones!C:C,1,FALSE)</f>
        <v>111030201</v>
      </c>
      <c r="F32" s="147" t="s">
        <v>229</v>
      </c>
    </row>
    <row r="33" spans="1:6" ht="15" customHeight="1">
      <c r="A33" s="161">
        <v>111030202</v>
      </c>
      <c r="B33" s="65" t="s">
        <v>753</v>
      </c>
      <c r="C33" s="155">
        <v>103749</v>
      </c>
      <c r="D33" s="144">
        <v>15.099999994039536</v>
      </c>
      <c r="E33" s="145">
        <f>+VLOOKUP(A33,Clasificaciones!C:C,1,FALSE)</f>
        <v>111030202</v>
      </c>
      <c r="F33" s="147" t="s">
        <v>229</v>
      </c>
    </row>
    <row r="34" spans="1:6" ht="15" customHeight="1">
      <c r="A34" s="161">
        <v>111030203</v>
      </c>
      <c r="B34" s="65" t="s">
        <v>754</v>
      </c>
      <c r="C34" s="155">
        <v>47566618</v>
      </c>
      <c r="D34" s="144">
        <v>6923</v>
      </c>
      <c r="E34" s="145">
        <f>+VLOOKUP(A34,Clasificaciones!C:C,1,FALSE)</f>
        <v>111030203</v>
      </c>
      <c r="F34" s="147" t="s">
        <v>229</v>
      </c>
    </row>
    <row r="35" spans="1:6" ht="15" customHeight="1">
      <c r="A35" s="161">
        <v>111030204</v>
      </c>
      <c r="B35" s="65" t="s">
        <v>755</v>
      </c>
      <c r="C35" s="155">
        <v>51387132</v>
      </c>
      <c r="D35" s="144">
        <v>7479.0499999999984</v>
      </c>
      <c r="E35" s="145">
        <f>+VLOOKUP(A35,Clasificaciones!C:C,1,FALSE)</f>
        <v>111030204</v>
      </c>
      <c r="F35" s="147" t="s">
        <v>229</v>
      </c>
    </row>
    <row r="36" spans="1:6" ht="15" customHeight="1">
      <c r="A36" s="161">
        <v>111030206</v>
      </c>
      <c r="B36" s="65" t="s">
        <v>756</v>
      </c>
      <c r="C36" s="155">
        <v>39661888</v>
      </c>
      <c r="D36" s="144">
        <v>5772.5199999999031</v>
      </c>
      <c r="E36" s="145">
        <f>+VLOOKUP(A36,Clasificaciones!C:C,1,FALSE)</f>
        <v>111030206</v>
      </c>
      <c r="F36" s="147" t="s">
        <v>229</v>
      </c>
    </row>
    <row r="37" spans="1:6" ht="15" customHeight="1">
      <c r="A37" s="161">
        <v>111030207</v>
      </c>
      <c r="B37" s="65" t="s">
        <v>991</v>
      </c>
      <c r="C37" s="155">
        <v>12780</v>
      </c>
      <c r="D37" s="144">
        <v>1.86</v>
      </c>
      <c r="E37" s="145">
        <f>+VLOOKUP(A37,Clasificaciones!C:C,1,FALSE)</f>
        <v>111030207</v>
      </c>
      <c r="F37" s="147" t="s">
        <v>229</v>
      </c>
    </row>
    <row r="38" spans="1:6" ht="15" customHeight="1">
      <c r="A38" s="161">
        <v>111030209</v>
      </c>
      <c r="B38" s="65" t="s">
        <v>757</v>
      </c>
      <c r="C38" s="155">
        <v>34835</v>
      </c>
      <c r="D38" s="144">
        <v>5.0699999998323619</v>
      </c>
      <c r="E38" s="145">
        <f>+VLOOKUP(A38,Clasificaciones!C:C,1,FALSE)</f>
        <v>111030209</v>
      </c>
      <c r="F38" s="147" t="s">
        <v>229</v>
      </c>
    </row>
    <row r="39" spans="1:6" ht="15" customHeight="1">
      <c r="A39" s="161">
        <v>111030210</v>
      </c>
      <c r="B39" s="65" t="s">
        <v>758</v>
      </c>
      <c r="C39" s="155">
        <v>28300935</v>
      </c>
      <c r="D39" s="144">
        <v>4119.0100000000093</v>
      </c>
      <c r="E39" s="145">
        <f>+VLOOKUP(A39,Clasificaciones!C:C,1,FALSE)</f>
        <v>111030210</v>
      </c>
      <c r="F39" s="147" t="s">
        <v>229</v>
      </c>
    </row>
    <row r="40" spans="1:6" ht="15" customHeight="1">
      <c r="A40" s="161">
        <v>111030211</v>
      </c>
      <c r="B40" s="65" t="s">
        <v>759</v>
      </c>
      <c r="C40" s="65">
        <v>16401929</v>
      </c>
      <c r="D40" s="144">
        <v>2387.1900000000023</v>
      </c>
      <c r="E40" s="145">
        <f>+VLOOKUP(A40,Clasificaciones!C:C,1,FALSE)</f>
        <v>111030211</v>
      </c>
      <c r="F40" s="147" t="s">
        <v>229</v>
      </c>
    </row>
    <row r="41" spans="1:6" ht="15" customHeight="1">
      <c r="A41" s="161">
        <v>111030212</v>
      </c>
      <c r="B41" s="65" t="s">
        <v>760</v>
      </c>
      <c r="C41" s="65">
        <v>22914151</v>
      </c>
      <c r="D41" s="144">
        <v>3335</v>
      </c>
      <c r="E41" s="145">
        <f>+VLOOKUP(A41,Clasificaciones!C:C,1,FALSE)</f>
        <v>111030212</v>
      </c>
      <c r="F41" s="147" t="s">
        <v>229</v>
      </c>
    </row>
    <row r="42" spans="1:6" ht="15" customHeight="1">
      <c r="A42" s="161">
        <v>111030214</v>
      </c>
      <c r="B42" s="65" t="s">
        <v>761</v>
      </c>
      <c r="C42" s="65">
        <v>10492</v>
      </c>
      <c r="D42" s="144">
        <v>1.5270000002346935</v>
      </c>
      <c r="E42" s="145">
        <f>+VLOOKUP(A42,Clasificaciones!C:C,1,FALSE)</f>
        <v>111030214</v>
      </c>
      <c r="F42" s="147" t="s">
        <v>229</v>
      </c>
    </row>
    <row r="43" spans="1:6" ht="15" customHeight="1">
      <c r="A43" s="161">
        <v>111030216</v>
      </c>
      <c r="B43" s="65" t="s">
        <v>1355</v>
      </c>
      <c r="C43" s="65">
        <v>6871291</v>
      </c>
      <c r="D43" s="144">
        <v>1000.0700000000651</v>
      </c>
      <c r="E43" s="145">
        <f>+VLOOKUP(A43,Clasificaciones!C:C,1,FALSE)</f>
        <v>111030216</v>
      </c>
      <c r="F43" s="147" t="s">
        <v>229</v>
      </c>
    </row>
    <row r="44" spans="1:6" ht="15" customHeight="1">
      <c r="A44" s="161">
        <v>111030217</v>
      </c>
      <c r="B44" s="65" t="s">
        <v>762</v>
      </c>
      <c r="C44" s="65">
        <v>61362792</v>
      </c>
      <c r="D44" s="144">
        <v>8930.9399999999441</v>
      </c>
      <c r="E44" s="145">
        <f>+VLOOKUP(A44,Clasificaciones!C:C,1,FALSE)</f>
        <v>111030217</v>
      </c>
      <c r="F44" s="147" t="s">
        <v>229</v>
      </c>
    </row>
    <row r="45" spans="1:6" ht="15" customHeight="1">
      <c r="A45" s="161">
        <v>111030218</v>
      </c>
      <c r="B45" s="65" t="s">
        <v>763</v>
      </c>
      <c r="C45" s="65">
        <v>26311969</v>
      </c>
      <c r="D45" s="144">
        <v>3829.5299999999988</v>
      </c>
      <c r="E45" s="145">
        <f>+VLOOKUP(A45,Clasificaciones!C:C,1,FALSE)</f>
        <v>111030218</v>
      </c>
      <c r="F45" s="147" t="s">
        <v>229</v>
      </c>
    </row>
    <row r="46" spans="1:6" ht="15" customHeight="1">
      <c r="A46" s="161">
        <v>111030219</v>
      </c>
      <c r="B46" s="65" t="s">
        <v>764</v>
      </c>
      <c r="C46" s="65">
        <v>20109555</v>
      </c>
      <c r="D46" s="144">
        <v>2926.8099999995902</v>
      </c>
      <c r="E46" s="145">
        <f>+VLOOKUP(A46,Clasificaciones!C:C,1,FALSE)</f>
        <v>111030219</v>
      </c>
      <c r="F46" s="147" t="s">
        <v>229</v>
      </c>
    </row>
    <row r="47" spans="1:6" ht="15" customHeight="1">
      <c r="A47" s="161">
        <v>112</v>
      </c>
      <c r="B47" s="65" t="s">
        <v>249</v>
      </c>
      <c r="C47" s="65">
        <v>87224765301</v>
      </c>
      <c r="D47" s="144">
        <v>12694975.610000014</v>
      </c>
      <c r="E47" s="145">
        <f>+VLOOKUP(A47,Clasificaciones!C:C,1,FALSE)</f>
        <v>112</v>
      </c>
      <c r="F47" s="147" t="s">
        <v>6</v>
      </c>
    </row>
    <row r="48" spans="1:6" ht="15" customHeight="1">
      <c r="A48" s="161">
        <v>11201</v>
      </c>
      <c r="B48" s="65" t="s">
        <v>765</v>
      </c>
      <c r="C48" s="65">
        <v>15972022950</v>
      </c>
      <c r="D48" s="144">
        <v>2324620.099999994</v>
      </c>
      <c r="E48" s="145">
        <f>+VLOOKUP(A48,Clasificaciones!C:C,1,FALSE)</f>
        <v>11201</v>
      </c>
      <c r="F48" s="147" t="s">
        <v>6</v>
      </c>
    </row>
    <row r="49" spans="1:6" ht="15" customHeight="1">
      <c r="A49" s="161">
        <v>112011</v>
      </c>
      <c r="B49" s="65" t="s">
        <v>766</v>
      </c>
      <c r="C49" s="65">
        <v>15972022950</v>
      </c>
      <c r="D49" s="144">
        <v>2324620.099999994</v>
      </c>
      <c r="E49" s="145">
        <f>+VLOOKUP(A49,Clasificaciones!C:C,1,FALSE)</f>
        <v>112011</v>
      </c>
      <c r="F49" s="147" t="s">
        <v>6</v>
      </c>
    </row>
    <row r="50" spans="1:6" ht="15" customHeight="1">
      <c r="A50" s="161">
        <v>1120111</v>
      </c>
      <c r="B50" s="65" t="s">
        <v>767</v>
      </c>
      <c r="C50" s="65">
        <v>75000000</v>
      </c>
      <c r="D50" s="144">
        <v>10915.739999999991</v>
      </c>
      <c r="E50" s="145">
        <f>+VLOOKUP(A50,Clasificaciones!C:C,1,FALSE)</f>
        <v>1120111</v>
      </c>
      <c r="F50" s="147" t="s">
        <v>6</v>
      </c>
    </row>
    <row r="51" spans="1:6" ht="15" customHeight="1">
      <c r="A51" s="161">
        <v>11201111</v>
      </c>
      <c r="B51" s="65" t="s">
        <v>768</v>
      </c>
      <c r="C51" s="65">
        <v>75000000</v>
      </c>
      <c r="D51" s="144">
        <v>10915.739999999991</v>
      </c>
      <c r="E51" s="145">
        <f>+VLOOKUP(A51,Clasificaciones!C:C,1,FALSE)</f>
        <v>11201111</v>
      </c>
      <c r="F51" s="147" t="s">
        <v>6</v>
      </c>
    </row>
    <row r="52" spans="1:6" ht="15" customHeight="1">
      <c r="A52" s="161">
        <v>1120111101</v>
      </c>
      <c r="B52" s="65" t="s">
        <v>769</v>
      </c>
      <c r="C52" s="65">
        <v>75000000</v>
      </c>
      <c r="D52" s="144">
        <v>10915.739999999991</v>
      </c>
      <c r="E52" s="145">
        <f>+VLOOKUP(A52,Clasificaciones!C:C,1,FALSE)</f>
        <v>1120111101</v>
      </c>
      <c r="F52" s="147" t="s">
        <v>6</v>
      </c>
    </row>
    <row r="53" spans="1:6" ht="15" customHeight="1">
      <c r="A53" s="161">
        <v>1120112</v>
      </c>
      <c r="B53" s="65" t="s">
        <v>770</v>
      </c>
      <c r="C53" s="65">
        <v>2449329600</v>
      </c>
      <c r="D53" s="144">
        <v>356483.37999999517</v>
      </c>
      <c r="E53" s="145">
        <f>+VLOOKUP(A53,Clasificaciones!C:C,1,FALSE)</f>
        <v>1120112</v>
      </c>
      <c r="F53" s="147" t="s">
        <v>6</v>
      </c>
    </row>
    <row r="54" spans="1:6" ht="15" customHeight="1">
      <c r="A54" s="161">
        <v>11201121</v>
      </c>
      <c r="B54" s="65" t="s">
        <v>574</v>
      </c>
      <c r="C54" s="65">
        <v>100000000</v>
      </c>
      <c r="D54" s="144">
        <v>14554.319999999367</v>
      </c>
      <c r="E54" s="145">
        <f>+VLOOKUP(A54,Clasificaciones!C:C,1,FALSE)</f>
        <v>11201121</v>
      </c>
      <c r="F54" s="147" t="s">
        <v>6</v>
      </c>
    </row>
    <row r="55" spans="1:6" ht="15" customHeight="1">
      <c r="A55" s="161">
        <v>1120112101</v>
      </c>
      <c r="B55" s="65" t="s">
        <v>771</v>
      </c>
      <c r="C55" s="65">
        <v>100000000</v>
      </c>
      <c r="D55" s="144">
        <v>14554.319999999367</v>
      </c>
      <c r="E55" s="145">
        <f>+VLOOKUP(A55,Clasificaciones!C:C,1,FALSE)</f>
        <v>1120112101</v>
      </c>
      <c r="F55" s="147" t="s">
        <v>6</v>
      </c>
    </row>
    <row r="56" spans="1:6" ht="15" customHeight="1">
      <c r="A56" s="161">
        <v>11201122</v>
      </c>
      <c r="B56" s="65" t="s">
        <v>1001</v>
      </c>
      <c r="C56" s="65">
        <v>68708100</v>
      </c>
      <c r="D56" s="144">
        <v>10000</v>
      </c>
      <c r="E56" s="145">
        <f>+VLOOKUP(A56,Clasificaciones!C:C,1,FALSE)</f>
        <v>11201122</v>
      </c>
      <c r="F56" s="147" t="s">
        <v>6</v>
      </c>
    </row>
    <row r="57" spans="1:6" ht="15" customHeight="1">
      <c r="A57" s="161">
        <v>1120112202</v>
      </c>
      <c r="B57" s="65" t="s">
        <v>886</v>
      </c>
      <c r="C57" s="65">
        <v>68708100</v>
      </c>
      <c r="D57" s="144">
        <v>10000</v>
      </c>
      <c r="E57" s="145">
        <f>+VLOOKUP(A57,Clasificaciones!C:C,1,FALSE)</f>
        <v>1120112202</v>
      </c>
      <c r="F57" s="147" t="s">
        <v>229</v>
      </c>
    </row>
    <row r="58" spans="1:6" ht="15" customHeight="1">
      <c r="A58" s="161">
        <v>11201123</v>
      </c>
      <c r="B58" s="65" t="s">
        <v>73</v>
      </c>
      <c r="C58" s="65">
        <v>2280621500</v>
      </c>
      <c r="D58" s="144">
        <v>331929.06000000238</v>
      </c>
      <c r="E58" s="145">
        <f>+VLOOKUP(A58,Clasificaciones!C:C,1,FALSE)</f>
        <v>11201123</v>
      </c>
      <c r="F58" s="147" t="s">
        <v>6</v>
      </c>
    </row>
    <row r="59" spans="1:6" ht="15" customHeight="1">
      <c r="A59" s="161">
        <v>1120112301</v>
      </c>
      <c r="B59" s="65" t="s">
        <v>772</v>
      </c>
      <c r="C59" s="65">
        <v>1250000000</v>
      </c>
      <c r="D59" s="144">
        <v>181929.05999999493</v>
      </c>
      <c r="E59" s="145">
        <f>+VLOOKUP(A59,Clasificaciones!C:C,1,FALSE)</f>
        <v>1120112301</v>
      </c>
      <c r="F59" s="147" t="s">
        <v>6</v>
      </c>
    </row>
    <row r="60" spans="1:6" ht="15" customHeight="1">
      <c r="A60" s="161">
        <v>1120112302</v>
      </c>
      <c r="B60" s="65" t="s">
        <v>773</v>
      </c>
      <c r="C60" s="65">
        <v>1030621500</v>
      </c>
      <c r="D60" s="144">
        <v>150000</v>
      </c>
      <c r="E60" s="145">
        <f>+VLOOKUP(A60,Clasificaciones!C:C,1,FALSE)</f>
        <v>1120112302</v>
      </c>
      <c r="F60" s="147" t="s">
        <v>229</v>
      </c>
    </row>
    <row r="61" spans="1:6" ht="15" customHeight="1">
      <c r="A61" s="161">
        <v>1120113</v>
      </c>
      <c r="B61" s="65" t="s">
        <v>774</v>
      </c>
      <c r="C61" s="65">
        <v>2623000000</v>
      </c>
      <c r="D61" s="144">
        <v>381759.93999999762</v>
      </c>
      <c r="E61" s="145">
        <f>+VLOOKUP(A61,Clasificaciones!C:C,1,FALSE)</f>
        <v>1120113</v>
      </c>
      <c r="F61" s="147" t="s">
        <v>6</v>
      </c>
    </row>
    <row r="62" spans="1:6" ht="15" customHeight="1">
      <c r="A62" s="161">
        <v>11201131</v>
      </c>
      <c r="B62" s="65" t="s">
        <v>775</v>
      </c>
      <c r="C62" s="65">
        <v>2623000000</v>
      </c>
      <c r="D62" s="144">
        <v>381759.94000000134</v>
      </c>
      <c r="E62" s="145">
        <f>+VLOOKUP(A62,Clasificaciones!C:C,1,FALSE)</f>
        <v>11201131</v>
      </c>
      <c r="F62" s="147" t="s">
        <v>6</v>
      </c>
    </row>
    <row r="63" spans="1:6" ht="15" customHeight="1">
      <c r="A63" s="161">
        <v>1120113101</v>
      </c>
      <c r="B63" s="65" t="s">
        <v>776</v>
      </c>
      <c r="C63" s="65">
        <v>2623000000</v>
      </c>
      <c r="D63" s="144">
        <v>381759.94000000134</v>
      </c>
      <c r="E63" s="145">
        <f>+VLOOKUP(A63,Clasificaciones!C:C,1,FALSE)</f>
        <v>1120113101</v>
      </c>
      <c r="F63" s="147" t="s">
        <v>6</v>
      </c>
    </row>
    <row r="64" spans="1:6" ht="15" customHeight="1">
      <c r="A64" s="161">
        <v>1120114</v>
      </c>
      <c r="B64" s="65" t="s">
        <v>779</v>
      </c>
      <c r="C64" s="65">
        <v>8007017205</v>
      </c>
      <c r="D64" s="144">
        <v>1165367.2899999991</v>
      </c>
      <c r="E64" s="145">
        <f>+VLOOKUP(A64,Clasificaciones!C:C,1,FALSE)</f>
        <v>1120114</v>
      </c>
      <c r="F64" s="147" t="s">
        <v>6</v>
      </c>
    </row>
    <row r="65" spans="1:6" ht="15" customHeight="1">
      <c r="A65" s="161">
        <v>11201143</v>
      </c>
      <c r="B65" s="65" t="s">
        <v>73</v>
      </c>
      <c r="C65" s="65">
        <v>8007017205</v>
      </c>
      <c r="D65" s="144">
        <v>1165367.2899999991</v>
      </c>
      <c r="E65" s="145">
        <f>+VLOOKUP(A65,Clasificaciones!C:C,1,FALSE)</f>
        <v>11201143</v>
      </c>
      <c r="F65" s="147" t="s">
        <v>6</v>
      </c>
    </row>
    <row r="66" spans="1:6" ht="15" customHeight="1">
      <c r="A66" s="161">
        <v>1120114301</v>
      </c>
      <c r="B66" s="65" t="s">
        <v>780</v>
      </c>
      <c r="C66" s="65">
        <v>8007017205</v>
      </c>
      <c r="D66" s="144">
        <v>1165367.290000001</v>
      </c>
      <c r="E66" s="145">
        <f>+VLOOKUP(A66,Clasificaciones!C:C,1,FALSE)</f>
        <v>1120114301</v>
      </c>
      <c r="F66" s="701" t="s">
        <v>6</v>
      </c>
    </row>
    <row r="67" spans="1:6" ht="15" customHeight="1">
      <c r="A67" s="161">
        <v>1120116</v>
      </c>
      <c r="B67" s="65" t="s">
        <v>781</v>
      </c>
      <c r="C67" s="65">
        <v>2817676145</v>
      </c>
      <c r="D67" s="144">
        <v>410093.75</v>
      </c>
      <c r="E67" s="145">
        <f>+VLOOKUP(A67,Clasificaciones!C:C,1,FALSE)</f>
        <v>1120116</v>
      </c>
      <c r="F67" s="701" t="s">
        <v>6</v>
      </c>
    </row>
    <row r="68" spans="1:6" ht="15" customHeight="1">
      <c r="A68" s="161">
        <v>11201161</v>
      </c>
      <c r="B68" s="65" t="s">
        <v>782</v>
      </c>
      <c r="C68" s="65">
        <v>24998629362</v>
      </c>
      <c r="D68" s="144">
        <v>3638381.7100000004</v>
      </c>
      <c r="E68" s="145">
        <f>+VLOOKUP(A68,Clasificaciones!C:C,1,FALSE)</f>
        <v>11201161</v>
      </c>
      <c r="F68" s="701" t="s">
        <v>6</v>
      </c>
    </row>
    <row r="69" spans="1:6" ht="15" customHeight="1">
      <c r="A69" s="161">
        <v>1120116101</v>
      </c>
      <c r="B69" s="65" t="s">
        <v>783</v>
      </c>
      <c r="C69" s="65">
        <v>3684400000</v>
      </c>
      <c r="D69" s="144">
        <v>536239.54</v>
      </c>
      <c r="E69" s="145">
        <f>+VLOOKUP(A69,Clasificaciones!C:C,1,FALSE)</f>
        <v>1120116101</v>
      </c>
      <c r="F69" s="701" t="s">
        <v>6</v>
      </c>
    </row>
    <row r="70" spans="1:6" ht="15" customHeight="1">
      <c r="A70" s="161">
        <v>1120116104</v>
      </c>
      <c r="B70" s="65" t="s">
        <v>971</v>
      </c>
      <c r="C70" s="65">
        <v>887918555</v>
      </c>
      <c r="D70" s="144">
        <v>129230.55000000005</v>
      </c>
      <c r="E70" s="145">
        <f>+VLOOKUP(A70,Clasificaciones!C:C,1,FALSE)</f>
        <v>1120116104</v>
      </c>
      <c r="F70" s="701" t="s">
        <v>229</v>
      </c>
    </row>
    <row r="71" spans="1:6" ht="15" customHeight="1">
      <c r="A71" s="161">
        <v>1120116105</v>
      </c>
      <c r="B71" s="65" t="s">
        <v>784</v>
      </c>
      <c r="C71" s="65">
        <v>1462373699</v>
      </c>
      <c r="D71" s="144">
        <v>212838.62000000008</v>
      </c>
      <c r="E71" s="145">
        <f>+VLOOKUP(A71,Clasificaciones!C:C,1,FALSE)</f>
        <v>1120116105</v>
      </c>
      <c r="F71" s="701" t="s">
        <v>6</v>
      </c>
    </row>
    <row r="72" spans="1:6" ht="15" customHeight="1">
      <c r="A72" s="161">
        <v>1120116106</v>
      </c>
      <c r="B72" s="65" t="s">
        <v>785</v>
      </c>
      <c r="C72" s="65">
        <v>412685515</v>
      </c>
      <c r="D72" s="144">
        <v>60063.589999999844</v>
      </c>
      <c r="E72" s="145">
        <f>+VLOOKUP(A72,Clasificaciones!C:C,1,FALSE)</f>
        <v>1120116106</v>
      </c>
      <c r="F72" s="701" t="s">
        <v>229</v>
      </c>
    </row>
    <row r="73" spans="1:6" ht="15" customHeight="1">
      <c r="A73" s="161">
        <v>1120116107</v>
      </c>
      <c r="B73" s="65" t="s">
        <v>786</v>
      </c>
      <c r="C73" s="65">
        <v>13691268545</v>
      </c>
      <c r="D73" s="144">
        <v>1992671.6899999992</v>
      </c>
      <c r="E73" s="145">
        <f>+VLOOKUP(A73,Clasificaciones!C:C,1,FALSE)</f>
        <v>1120116107</v>
      </c>
      <c r="F73" s="701" t="s">
        <v>6</v>
      </c>
    </row>
    <row r="74" spans="1:6" ht="15" customHeight="1">
      <c r="A74" s="161">
        <v>1120116114</v>
      </c>
      <c r="B74" s="65" t="s">
        <v>1016</v>
      </c>
      <c r="C74" s="65">
        <v>69</v>
      </c>
      <c r="D74" s="144">
        <v>9.9999999947613105E-3</v>
      </c>
      <c r="E74" s="145">
        <f>+VLOOKUP(A74,Clasificaciones!C:C,1,FALSE)</f>
        <v>1120116114</v>
      </c>
      <c r="F74" s="701" t="s">
        <v>229</v>
      </c>
    </row>
    <row r="75" spans="1:6" ht="15" customHeight="1">
      <c r="A75" s="161">
        <v>1120116117</v>
      </c>
      <c r="B75" s="65" t="s">
        <v>788</v>
      </c>
      <c r="C75" s="65">
        <v>1679208575</v>
      </c>
      <c r="D75" s="144">
        <v>244397.46999999997</v>
      </c>
      <c r="E75" s="145">
        <f>+VLOOKUP(A75,Clasificaciones!C:C,1,FALSE)</f>
        <v>1120116117</v>
      </c>
      <c r="F75" s="147" t="s">
        <v>6</v>
      </c>
    </row>
    <row r="76" spans="1:6" ht="15" customHeight="1">
      <c r="A76" s="161">
        <v>1120116118</v>
      </c>
      <c r="B76" s="65" t="s">
        <v>789</v>
      </c>
      <c r="C76" s="65">
        <v>3139299404</v>
      </c>
      <c r="D76" s="144">
        <v>456903.82999999996</v>
      </c>
      <c r="E76" s="145">
        <f>+VLOOKUP(A76,Clasificaciones!C:C,1,FALSE)</f>
        <v>1120116118</v>
      </c>
      <c r="F76" s="147" t="s">
        <v>229</v>
      </c>
    </row>
    <row r="77" spans="1:6" ht="15" customHeight="1">
      <c r="A77" s="161">
        <v>1120116129</v>
      </c>
      <c r="B77" s="65" t="s">
        <v>790</v>
      </c>
      <c r="C77" s="65">
        <v>41475000</v>
      </c>
      <c r="D77" s="144">
        <v>6036.4100000000317</v>
      </c>
      <c r="E77" s="145">
        <f>+VLOOKUP(A77,Clasificaciones!C:C,1,FALSE)</f>
        <v>1120116129</v>
      </c>
      <c r="F77" s="147" t="s">
        <v>6</v>
      </c>
    </row>
    <row r="78" spans="1:6" ht="15" customHeight="1">
      <c r="A78" s="161">
        <v>11201162</v>
      </c>
      <c r="B78" s="65" t="s">
        <v>791</v>
      </c>
      <c r="C78" s="65">
        <v>-22180953217</v>
      </c>
      <c r="D78" s="144">
        <v>-3228287.9600000004</v>
      </c>
      <c r="E78" s="145">
        <f>+VLOOKUP(A78,Clasificaciones!C:C,1,FALSE)</f>
        <v>11201162</v>
      </c>
      <c r="F78" s="147" t="s">
        <v>6</v>
      </c>
    </row>
    <row r="79" spans="1:6" ht="15" customHeight="1">
      <c r="A79" s="161">
        <v>1120116201</v>
      </c>
      <c r="B79" s="65" t="s">
        <v>792</v>
      </c>
      <c r="C79" s="65">
        <v>-3649070137</v>
      </c>
      <c r="D79" s="144">
        <v>-531097.52</v>
      </c>
      <c r="E79" s="145">
        <f>+VLOOKUP(A79,Clasificaciones!C:C,1,FALSE)</f>
        <v>1120116201</v>
      </c>
      <c r="F79" s="147" t="s">
        <v>6</v>
      </c>
    </row>
    <row r="80" spans="1:6" ht="15" customHeight="1">
      <c r="A80" s="161">
        <v>1120116204</v>
      </c>
      <c r="B80" s="65" t="s">
        <v>972</v>
      </c>
      <c r="C80" s="65">
        <v>-876158271</v>
      </c>
      <c r="D80" s="144">
        <v>-127518.92000000004</v>
      </c>
      <c r="E80" s="145">
        <f>+VLOOKUP(A80,Clasificaciones!C:C,1,FALSE)</f>
        <v>1120116204</v>
      </c>
      <c r="F80" s="147" t="s">
        <v>229</v>
      </c>
    </row>
    <row r="81" spans="1:6" ht="15" customHeight="1">
      <c r="A81" s="161">
        <v>1120116205</v>
      </c>
      <c r="B81" s="65" t="s">
        <v>793</v>
      </c>
      <c r="C81" s="65">
        <v>-1156671548</v>
      </c>
      <c r="D81" s="144">
        <v>-168345.73000000045</v>
      </c>
      <c r="E81" s="145">
        <f>+VLOOKUP(A81,Clasificaciones!C:C,1,FALSE)</f>
        <v>1120116205</v>
      </c>
      <c r="F81" s="147" t="s">
        <v>6</v>
      </c>
    </row>
    <row r="82" spans="1:6" ht="15" customHeight="1">
      <c r="A82" s="161">
        <v>1120116206</v>
      </c>
      <c r="B82" s="65" t="s">
        <v>794</v>
      </c>
      <c r="C82" s="65">
        <v>-363487836</v>
      </c>
      <c r="D82" s="144">
        <v>-52903.200000000186</v>
      </c>
      <c r="E82" s="145">
        <f>+VLOOKUP(A82,Clasificaciones!C:C,1,FALSE)</f>
        <v>1120116206</v>
      </c>
      <c r="F82" s="147" t="s">
        <v>229</v>
      </c>
    </row>
    <row r="83" spans="1:6" ht="15" customHeight="1">
      <c r="A83" s="161">
        <v>1120116207</v>
      </c>
      <c r="B83" s="65" t="s">
        <v>795</v>
      </c>
      <c r="C83" s="65">
        <v>-13256785621</v>
      </c>
      <c r="D83" s="144">
        <v>-1929435.629999999</v>
      </c>
      <c r="E83" s="145">
        <f>+VLOOKUP(A83,Clasificaciones!C:C,1,FALSE)</f>
        <v>1120116207</v>
      </c>
      <c r="F83" s="147" t="s">
        <v>6</v>
      </c>
    </row>
    <row r="84" spans="1:6" ht="15" customHeight="1">
      <c r="A84" s="161">
        <v>1120116208</v>
      </c>
      <c r="B84" s="65" t="s">
        <v>1034</v>
      </c>
      <c r="C84" s="65">
        <v>69</v>
      </c>
      <c r="D84" s="144">
        <v>1.0000000009313226E-2</v>
      </c>
      <c r="E84" s="145">
        <f>+VLOOKUP(A84,Clasificaciones!C:C,1,FALSE)</f>
        <v>1120116208</v>
      </c>
      <c r="F84" s="147" t="s">
        <v>229</v>
      </c>
    </row>
    <row r="85" spans="1:6" ht="15" customHeight="1">
      <c r="A85" s="161">
        <v>1120116217</v>
      </c>
      <c r="B85" s="65" t="s">
        <v>797</v>
      </c>
      <c r="C85" s="65">
        <v>-1495389292</v>
      </c>
      <c r="D85" s="144">
        <v>-217643.81000000006</v>
      </c>
      <c r="E85" s="145">
        <f>+VLOOKUP(A85,Clasificaciones!C:C,1,FALSE)</f>
        <v>1120116217</v>
      </c>
      <c r="F85" s="147" t="s">
        <v>6</v>
      </c>
    </row>
    <row r="86" spans="1:6" ht="15" customHeight="1">
      <c r="A86" s="161">
        <v>1120116218</v>
      </c>
      <c r="B86" s="65" t="s">
        <v>798</v>
      </c>
      <c r="C86" s="65">
        <v>-1343245691</v>
      </c>
      <c r="D86" s="144">
        <v>-195500.33999999997</v>
      </c>
      <c r="E86" s="145">
        <f>+VLOOKUP(A86,Clasificaciones!C:C,1,FALSE)</f>
        <v>1120116218</v>
      </c>
      <c r="F86" s="147" t="s">
        <v>229</v>
      </c>
    </row>
    <row r="87" spans="1:6" ht="15" customHeight="1">
      <c r="A87" s="161">
        <v>1120116229</v>
      </c>
      <c r="B87" s="65" t="s">
        <v>799</v>
      </c>
      <c r="C87" s="65">
        <v>-40144890</v>
      </c>
      <c r="D87" s="144">
        <v>-5842.8199999999488</v>
      </c>
      <c r="E87" s="145">
        <f>+VLOOKUP(A87,Clasificaciones!C:C,1,FALSE)</f>
        <v>1120116229</v>
      </c>
      <c r="F87" s="147" t="s">
        <v>6</v>
      </c>
    </row>
    <row r="88" spans="1:6" ht="15" customHeight="1">
      <c r="A88" s="161">
        <v>11203</v>
      </c>
      <c r="B88" s="65" t="s">
        <v>158</v>
      </c>
      <c r="C88" s="65">
        <v>71252742351</v>
      </c>
      <c r="D88" s="144">
        <v>10370355.509999998</v>
      </c>
      <c r="E88" s="145">
        <f>+VLOOKUP(A88,Clasificaciones!C:C,1,FALSE)</f>
        <v>11203</v>
      </c>
      <c r="F88" s="147" t="s">
        <v>6</v>
      </c>
    </row>
    <row r="89" spans="1:6" ht="15" customHeight="1">
      <c r="A89" s="161">
        <v>112031</v>
      </c>
      <c r="B89" s="65" t="s">
        <v>800</v>
      </c>
      <c r="C89" s="65">
        <v>71189321682</v>
      </c>
      <c r="D89" s="144">
        <v>10361125.060000002</v>
      </c>
      <c r="E89" s="145">
        <f>+VLOOKUP(A89,Clasificaciones!C:C,1,FALSE)</f>
        <v>112031</v>
      </c>
      <c r="F89" s="147" t="s">
        <v>6</v>
      </c>
    </row>
    <row r="90" spans="1:6" ht="15" customHeight="1">
      <c r="A90" s="161">
        <v>11203101</v>
      </c>
      <c r="B90" s="65" t="s">
        <v>801</v>
      </c>
      <c r="C90" s="65">
        <v>71189321682</v>
      </c>
      <c r="D90" s="144">
        <v>10361125.060000002</v>
      </c>
      <c r="E90" s="145">
        <f>+VLOOKUP(A90,Clasificaciones!C:C,1,FALSE)</f>
        <v>11203101</v>
      </c>
      <c r="F90" s="147" t="s">
        <v>6</v>
      </c>
    </row>
    <row r="91" spans="1:6" ht="15" customHeight="1">
      <c r="A91" s="161">
        <v>1120310101</v>
      </c>
      <c r="B91" s="65" t="s">
        <v>802</v>
      </c>
      <c r="C91" s="65">
        <v>45276000000</v>
      </c>
      <c r="D91" s="144">
        <v>6589616.0700000003</v>
      </c>
      <c r="E91" s="145">
        <f>+VLOOKUP(A91,Clasificaciones!C:C,1,FALSE)</f>
        <v>1120310101</v>
      </c>
      <c r="F91" s="147" t="s">
        <v>6</v>
      </c>
    </row>
    <row r="92" spans="1:6" ht="15" customHeight="1">
      <c r="A92" s="161">
        <v>1120310102</v>
      </c>
      <c r="B92" s="65" t="s">
        <v>803</v>
      </c>
      <c r="C92" s="65">
        <v>5125624260</v>
      </c>
      <c r="D92" s="144">
        <v>746000</v>
      </c>
      <c r="E92" s="145">
        <f>+VLOOKUP(A92,Clasificaciones!C:C,1,FALSE)</f>
        <v>1120310102</v>
      </c>
      <c r="F92" s="147" t="s">
        <v>229</v>
      </c>
    </row>
    <row r="93" spans="1:6" ht="15" customHeight="1">
      <c r="A93" s="161">
        <v>1120310103</v>
      </c>
      <c r="B93" s="65" t="s">
        <v>1314</v>
      </c>
      <c r="C93" s="65">
        <v>4000000000</v>
      </c>
      <c r="D93" s="144">
        <v>582172.99</v>
      </c>
      <c r="E93" s="145">
        <f>+VLOOKUP(A93,Clasificaciones!C:C,1,FALSE)</f>
        <v>1120310103</v>
      </c>
      <c r="F93" s="147" t="s">
        <v>6</v>
      </c>
    </row>
    <row r="94" spans="1:6" ht="15" customHeight="1">
      <c r="A94" s="161">
        <v>1120310104</v>
      </c>
      <c r="B94" s="65" t="s">
        <v>1414</v>
      </c>
      <c r="C94" s="65">
        <v>16787697422</v>
      </c>
      <c r="D94" s="144">
        <v>2443336</v>
      </c>
      <c r="E94" s="145">
        <f>+VLOOKUP(A94,Clasificaciones!C:C,1,FALSE)</f>
        <v>1120310104</v>
      </c>
      <c r="F94" s="147" t="s">
        <v>229</v>
      </c>
    </row>
    <row r="95" spans="1:6" ht="15" customHeight="1">
      <c r="A95" s="161">
        <v>112032</v>
      </c>
      <c r="B95" s="65" t="s">
        <v>1064</v>
      </c>
      <c r="C95" s="65">
        <v>63420669</v>
      </c>
      <c r="D95" s="144">
        <v>9230.4500000000007</v>
      </c>
      <c r="E95" s="145">
        <f>+VLOOKUP(A95,Clasificaciones!C:C,1,FALSE)</f>
        <v>112032</v>
      </c>
      <c r="F95" s="147" t="s">
        <v>6</v>
      </c>
    </row>
    <row r="96" spans="1:6" ht="15" customHeight="1">
      <c r="A96" s="161">
        <v>11203201</v>
      </c>
      <c r="B96" s="65" t="s">
        <v>1064</v>
      </c>
      <c r="C96" s="65">
        <v>63246150</v>
      </c>
      <c r="D96" s="144">
        <v>9205.0500000000029</v>
      </c>
      <c r="E96" s="145">
        <f>+VLOOKUP(A96,Clasificaciones!C:C,1,FALSE)</f>
        <v>11203201</v>
      </c>
      <c r="F96" s="147" t="s">
        <v>6</v>
      </c>
    </row>
    <row r="97" spans="1:6" ht="15" customHeight="1">
      <c r="A97" s="161">
        <v>1120320114</v>
      </c>
      <c r="B97" s="65" t="s">
        <v>899</v>
      </c>
      <c r="C97" s="65">
        <v>63246150</v>
      </c>
      <c r="D97" s="144">
        <v>9205.0500000000011</v>
      </c>
      <c r="E97" s="145">
        <f>+VLOOKUP(A97,Clasificaciones!C:C,1,FALSE)</f>
        <v>1120320114</v>
      </c>
      <c r="F97" s="147" t="s">
        <v>229</v>
      </c>
    </row>
    <row r="98" spans="1:6" ht="15" customHeight="1">
      <c r="A98" s="161">
        <v>11203202</v>
      </c>
      <c r="B98" s="65" t="s">
        <v>1357</v>
      </c>
      <c r="C98" s="65">
        <v>713671</v>
      </c>
      <c r="D98" s="144">
        <v>103.87</v>
      </c>
      <c r="E98" s="145">
        <f>+VLOOKUP(A98,Clasificaciones!C:C,1,FALSE)</f>
        <v>11203202</v>
      </c>
      <c r="F98" s="147" t="s">
        <v>6</v>
      </c>
    </row>
    <row r="99" spans="1:6" ht="15" customHeight="1">
      <c r="A99" s="161">
        <v>1120320202</v>
      </c>
      <c r="B99" s="65" t="s">
        <v>1358</v>
      </c>
      <c r="C99" s="65">
        <v>713671</v>
      </c>
      <c r="D99" s="144">
        <v>103.87</v>
      </c>
      <c r="E99" s="145">
        <f>+VLOOKUP(A99,Clasificaciones!C:C,1,FALSE)</f>
        <v>1120320202</v>
      </c>
      <c r="F99" s="147" t="s">
        <v>229</v>
      </c>
    </row>
    <row r="100" spans="1:6" ht="15" customHeight="1">
      <c r="A100" s="161">
        <v>11203203</v>
      </c>
      <c r="B100" s="65" t="s">
        <v>1359</v>
      </c>
      <c r="C100" s="65">
        <v>-539152</v>
      </c>
      <c r="D100" s="144">
        <v>-78.47</v>
      </c>
      <c r="E100" s="145">
        <f>+VLOOKUP(A100,Clasificaciones!C:C,1,FALSE)</f>
        <v>11203203</v>
      </c>
      <c r="F100" s="147" t="s">
        <v>6</v>
      </c>
    </row>
    <row r="101" spans="1:6" ht="15" customHeight="1">
      <c r="A101" s="161">
        <v>1120320302</v>
      </c>
      <c r="B101" s="65" t="s">
        <v>1360</v>
      </c>
      <c r="C101" s="65">
        <v>-539152</v>
      </c>
      <c r="D101" s="144">
        <v>-78.47</v>
      </c>
      <c r="E101" s="145">
        <f>+VLOOKUP(A101,Clasificaciones!C:C,1,FALSE)</f>
        <v>1120320302</v>
      </c>
      <c r="F101" s="147" t="s">
        <v>229</v>
      </c>
    </row>
    <row r="102" spans="1:6" ht="15" customHeight="1">
      <c r="A102" s="161">
        <v>113</v>
      </c>
      <c r="B102" s="65" t="s">
        <v>804</v>
      </c>
      <c r="C102" s="65">
        <v>1848463639</v>
      </c>
      <c r="D102" s="144">
        <v>269033.91000000015</v>
      </c>
      <c r="E102" s="145">
        <f>+VLOOKUP(A102,Clasificaciones!C:C,1,FALSE)</f>
        <v>113</v>
      </c>
      <c r="F102" s="147" t="s">
        <v>6</v>
      </c>
    </row>
    <row r="103" spans="1:6" ht="15" customHeight="1">
      <c r="A103" s="161">
        <v>11301</v>
      </c>
      <c r="B103" s="65" t="s">
        <v>434</v>
      </c>
      <c r="C103" s="65">
        <v>79989783</v>
      </c>
      <c r="D103" s="144">
        <v>11641.020000000484</v>
      </c>
      <c r="E103" s="145">
        <f>+VLOOKUP(A103,Clasificaciones!C:C,1,FALSE)</f>
        <v>11301</v>
      </c>
      <c r="F103" s="147" t="s">
        <v>6</v>
      </c>
    </row>
    <row r="104" spans="1:6" ht="15" customHeight="1">
      <c r="A104" s="161">
        <v>1130101</v>
      </c>
      <c r="B104" s="65" t="s">
        <v>805</v>
      </c>
      <c r="C104" s="65">
        <v>73016363</v>
      </c>
      <c r="D104" s="144">
        <v>10626.090000000026</v>
      </c>
      <c r="E104" s="145">
        <f>+VLOOKUP(A104,Clasificaciones!C:C,1,FALSE)</f>
        <v>1130101</v>
      </c>
      <c r="F104" s="147" t="s">
        <v>6</v>
      </c>
    </row>
    <row r="105" spans="1:6" ht="15" customHeight="1">
      <c r="A105" s="161">
        <v>113010101</v>
      </c>
      <c r="B105" s="65" t="s">
        <v>806</v>
      </c>
      <c r="C105" s="65">
        <v>61105608</v>
      </c>
      <c r="D105" s="144">
        <v>8892.5599999999977</v>
      </c>
      <c r="E105" s="145">
        <f>+VLOOKUP(A105,Clasificaciones!C:C,1,FALSE)</f>
        <v>113010101</v>
      </c>
      <c r="F105" s="147" t="s">
        <v>6</v>
      </c>
    </row>
    <row r="106" spans="1:6" ht="15" customHeight="1">
      <c r="A106" s="161">
        <v>113010102</v>
      </c>
      <c r="B106" s="65" t="s">
        <v>807</v>
      </c>
      <c r="C106" s="65">
        <v>11910755</v>
      </c>
      <c r="D106" s="144">
        <v>1733.5299999999986</v>
      </c>
      <c r="E106" s="145">
        <f>+VLOOKUP(A106,Clasificaciones!C:C,1,FALSE)</f>
        <v>113010102</v>
      </c>
      <c r="F106" s="147" t="s">
        <v>229</v>
      </c>
    </row>
    <row r="107" spans="1:6" ht="15" customHeight="1">
      <c r="A107" s="161">
        <v>1130102</v>
      </c>
      <c r="B107" s="65" t="s">
        <v>623</v>
      </c>
      <c r="C107" s="65">
        <v>6973420</v>
      </c>
      <c r="D107" s="144">
        <v>1014.9300000006333</v>
      </c>
      <c r="E107" s="145">
        <f>+VLOOKUP(A107,Clasificaciones!C:C,1,FALSE)</f>
        <v>1130102</v>
      </c>
      <c r="F107" s="147" t="s">
        <v>6</v>
      </c>
    </row>
    <row r="108" spans="1:6" ht="15" customHeight="1">
      <c r="A108" s="161">
        <v>113010201</v>
      </c>
      <c r="B108" s="65" t="s">
        <v>1315</v>
      </c>
      <c r="C108" s="65">
        <v>3975686</v>
      </c>
      <c r="D108" s="144">
        <v>578.62999999988824</v>
      </c>
      <c r="E108" s="145">
        <f>+VLOOKUP(A108,Clasificaciones!C:C,1,FALSE)</f>
        <v>113010201</v>
      </c>
      <c r="F108" s="147" t="s">
        <v>6</v>
      </c>
    </row>
    <row r="109" spans="1:6" ht="15" customHeight="1">
      <c r="A109" s="161">
        <v>113010202</v>
      </c>
      <c r="B109" s="65" t="s">
        <v>1316</v>
      </c>
      <c r="C109" s="65">
        <v>2997734</v>
      </c>
      <c r="D109" s="144">
        <v>436.29999999981374</v>
      </c>
      <c r="E109" s="145">
        <f>+VLOOKUP(A109,Clasificaciones!C:C,1,FALSE)</f>
        <v>113010202</v>
      </c>
      <c r="F109" s="147" t="s">
        <v>229</v>
      </c>
    </row>
    <row r="110" spans="1:6" ht="15" customHeight="1">
      <c r="A110" s="161">
        <v>11302</v>
      </c>
      <c r="B110" s="65" t="s">
        <v>808</v>
      </c>
      <c r="C110" s="65">
        <v>1502593731</v>
      </c>
      <c r="D110" s="144">
        <v>218692.36999999997</v>
      </c>
      <c r="E110" s="145">
        <f>+VLOOKUP(A110,Clasificaciones!C:C,1,FALSE)</f>
        <v>11302</v>
      </c>
      <c r="F110" s="147" t="s">
        <v>6</v>
      </c>
    </row>
    <row r="111" spans="1:6" ht="15" customHeight="1">
      <c r="A111" s="161">
        <v>1130202</v>
      </c>
      <c r="B111" s="65" t="s">
        <v>809</v>
      </c>
      <c r="C111" s="65">
        <v>3300000</v>
      </c>
      <c r="D111" s="144">
        <v>480.28999999999724</v>
      </c>
      <c r="E111" s="145">
        <f>+VLOOKUP(A111,Clasificaciones!C:C,1,FALSE)</f>
        <v>1130202</v>
      </c>
      <c r="F111" s="147" t="s">
        <v>6</v>
      </c>
    </row>
    <row r="112" spans="1:6" ht="15" customHeight="1">
      <c r="A112" s="161">
        <v>113020201</v>
      </c>
      <c r="B112" s="65" t="s">
        <v>1075</v>
      </c>
      <c r="C112" s="65">
        <v>3300000</v>
      </c>
      <c r="D112" s="144">
        <v>480.28999999999996</v>
      </c>
      <c r="E112" s="145">
        <f>+VLOOKUP(A112,Clasificaciones!C:C,1,FALSE)</f>
        <v>113020201</v>
      </c>
      <c r="F112" s="147" t="s">
        <v>6</v>
      </c>
    </row>
    <row r="113" spans="1:6" ht="15" customHeight="1">
      <c r="A113" s="161">
        <v>1130203</v>
      </c>
      <c r="B113" s="65" t="s">
        <v>182</v>
      </c>
      <c r="C113" s="65">
        <v>1499293731</v>
      </c>
      <c r="D113" s="144">
        <v>218212.08000000005</v>
      </c>
      <c r="E113" s="145">
        <f>+VLOOKUP(A113,Clasificaciones!C:C,1,FALSE)</f>
        <v>1130203</v>
      </c>
      <c r="F113" s="147" t="s">
        <v>6</v>
      </c>
    </row>
    <row r="114" spans="1:6" ht="15" customHeight="1">
      <c r="A114" s="161">
        <v>113020301</v>
      </c>
      <c r="B114" s="65" t="s">
        <v>811</v>
      </c>
      <c r="C114" s="65">
        <v>51047566</v>
      </c>
      <c r="D114" s="144">
        <v>7429.6299999999983</v>
      </c>
      <c r="E114" s="145">
        <f>+VLOOKUP(A114,Clasificaciones!C:C,1,FALSE)</f>
        <v>113020301</v>
      </c>
      <c r="F114" s="147" t="s">
        <v>6</v>
      </c>
    </row>
    <row r="115" spans="1:6" ht="15" customHeight="1">
      <c r="A115" s="161">
        <v>113020302</v>
      </c>
      <c r="B115" s="65" t="s">
        <v>812</v>
      </c>
      <c r="C115" s="65">
        <v>1448246165</v>
      </c>
      <c r="D115" s="144">
        <v>210782.44999999998</v>
      </c>
      <c r="E115" s="145">
        <f>+VLOOKUP(A115,Clasificaciones!C:C,1,FALSE)</f>
        <v>113020302</v>
      </c>
      <c r="F115" s="147" t="s">
        <v>229</v>
      </c>
    </row>
    <row r="116" spans="1:6" ht="15" customHeight="1">
      <c r="A116" s="161">
        <v>11303</v>
      </c>
      <c r="B116" s="65" t="s">
        <v>813</v>
      </c>
      <c r="C116" s="65">
        <v>2</v>
      </c>
      <c r="D116" s="144">
        <v>0</v>
      </c>
      <c r="E116" s="145">
        <f>+VLOOKUP(A116,Clasificaciones!C:C,1,FALSE)</f>
        <v>11303</v>
      </c>
      <c r="F116" s="147" t="s">
        <v>6</v>
      </c>
    </row>
    <row r="117" spans="1:6" ht="15" customHeight="1">
      <c r="A117" s="161">
        <v>1130301</v>
      </c>
      <c r="B117" s="65" t="s">
        <v>814</v>
      </c>
      <c r="C117" s="65">
        <v>2</v>
      </c>
      <c r="D117" s="144">
        <v>0</v>
      </c>
      <c r="E117" s="145">
        <f>+VLOOKUP(A117,Clasificaciones!C:C,1,FALSE)</f>
        <v>1130301</v>
      </c>
      <c r="F117" s="147" t="s">
        <v>6</v>
      </c>
    </row>
    <row r="118" spans="1:6" ht="15" customHeight="1">
      <c r="A118" s="161">
        <v>113030102</v>
      </c>
      <c r="B118" s="65" t="s">
        <v>814</v>
      </c>
      <c r="C118" s="65">
        <v>2</v>
      </c>
      <c r="D118" s="144">
        <v>0</v>
      </c>
      <c r="E118" s="145">
        <f>+VLOOKUP(A118,Clasificaciones!C:C,1,FALSE)</f>
        <v>113030102</v>
      </c>
      <c r="F118" s="147" t="s">
        <v>229</v>
      </c>
    </row>
    <row r="119" spans="1:6" ht="15" customHeight="1">
      <c r="A119" s="161">
        <v>11308</v>
      </c>
      <c r="B119" s="65" t="s">
        <v>1361</v>
      </c>
      <c r="C119" s="65">
        <v>263603385</v>
      </c>
      <c r="D119" s="144">
        <v>38365.69</v>
      </c>
      <c r="E119" s="145">
        <f>+VLOOKUP(A119,Clasificaciones!C:C,1,FALSE)</f>
        <v>11308</v>
      </c>
      <c r="F119" s="147" t="s">
        <v>6</v>
      </c>
    </row>
    <row r="120" spans="1:6" ht="15" customHeight="1">
      <c r="A120" s="161">
        <v>1130801</v>
      </c>
      <c r="B120" s="65" t="s">
        <v>817</v>
      </c>
      <c r="C120" s="65">
        <v>263473908</v>
      </c>
      <c r="D120" s="144">
        <v>38346.850000000006</v>
      </c>
      <c r="E120" s="145">
        <f>+VLOOKUP(A120,Clasificaciones!C:C,1,FALSE)</f>
        <v>1130801</v>
      </c>
      <c r="F120" s="147" t="s">
        <v>6</v>
      </c>
    </row>
    <row r="121" spans="1:6" ht="15" customHeight="1">
      <c r="A121" s="161">
        <v>1130805</v>
      </c>
      <c r="B121" s="65" t="s">
        <v>818</v>
      </c>
      <c r="C121" s="65">
        <v>129477</v>
      </c>
      <c r="D121" s="144">
        <v>18.840000000000003</v>
      </c>
      <c r="E121" s="145">
        <f>+VLOOKUP(A121,Clasificaciones!C:C,1,FALSE)</f>
        <v>1130805</v>
      </c>
      <c r="F121" s="147" t="s">
        <v>6</v>
      </c>
    </row>
    <row r="122" spans="1:6" ht="15" customHeight="1">
      <c r="A122" s="161">
        <v>11309</v>
      </c>
      <c r="B122" s="65" t="s">
        <v>819</v>
      </c>
      <c r="C122" s="65">
        <v>2276738</v>
      </c>
      <c r="D122" s="144">
        <v>334.83000000000175</v>
      </c>
      <c r="E122" s="145">
        <f>+VLOOKUP(A122,Clasificaciones!C:C,1,FALSE)</f>
        <v>11309</v>
      </c>
      <c r="F122" s="147" t="s">
        <v>6</v>
      </c>
    </row>
    <row r="123" spans="1:6" ht="15" customHeight="1">
      <c r="A123" s="161">
        <v>1130902</v>
      </c>
      <c r="B123" s="65" t="s">
        <v>820</v>
      </c>
      <c r="C123" s="65">
        <v>2276738</v>
      </c>
      <c r="D123" s="144">
        <v>334.83000000000004</v>
      </c>
      <c r="E123" s="145">
        <f>+VLOOKUP(A123,Clasificaciones!C:C,1,FALSE)</f>
        <v>1130902</v>
      </c>
      <c r="F123" s="147" t="s">
        <v>6</v>
      </c>
    </row>
    <row r="124" spans="1:6" ht="15" customHeight="1">
      <c r="A124" s="161">
        <v>113090201</v>
      </c>
      <c r="B124" s="65" t="s">
        <v>821</v>
      </c>
      <c r="C124" s="65">
        <v>2276738</v>
      </c>
      <c r="D124" s="144">
        <v>334.83000000000004</v>
      </c>
      <c r="E124" s="145">
        <f>+VLOOKUP(A124,Clasificaciones!C:C,1,FALSE)</f>
        <v>113090201</v>
      </c>
      <c r="F124" s="147" t="s">
        <v>6</v>
      </c>
    </row>
    <row r="125" spans="1:6" ht="15" customHeight="1">
      <c r="A125" s="161">
        <v>115</v>
      </c>
      <c r="B125" s="65" t="s">
        <v>374</v>
      </c>
      <c r="C125" s="65">
        <v>28757883</v>
      </c>
      <c r="D125" s="144">
        <v>4182.7400000000016</v>
      </c>
      <c r="E125" s="145">
        <f>+VLOOKUP(A125,Clasificaciones!C:C,1,FALSE)</f>
        <v>115</v>
      </c>
      <c r="F125" s="147" t="s">
        <v>6</v>
      </c>
    </row>
    <row r="126" spans="1:6" ht="15" customHeight="1">
      <c r="A126" s="161">
        <v>11501</v>
      </c>
      <c r="B126" s="65" t="s">
        <v>1362</v>
      </c>
      <c r="C126" s="65">
        <v>22312903</v>
      </c>
      <c r="D126" s="144">
        <v>3246.2200000000012</v>
      </c>
      <c r="E126" s="145">
        <f>+VLOOKUP(A126,Clasificaciones!C:C,1,FALSE)</f>
        <v>11501</v>
      </c>
      <c r="F126" s="147" t="s">
        <v>6</v>
      </c>
    </row>
    <row r="127" spans="1:6" ht="15" customHeight="1">
      <c r="A127" s="161">
        <v>1150103</v>
      </c>
      <c r="B127" s="65" t="s">
        <v>1094</v>
      </c>
      <c r="C127" s="65">
        <v>2472234</v>
      </c>
      <c r="D127" s="144">
        <v>363.64</v>
      </c>
      <c r="E127" s="145">
        <f>+VLOOKUP(A127,Clasificaciones!C:C,1,FALSE)</f>
        <v>1150103</v>
      </c>
    </row>
    <row r="128" spans="1:6" ht="15" customHeight="1">
      <c r="A128" s="161">
        <v>1150105</v>
      </c>
      <c r="B128" s="65" t="s">
        <v>1363</v>
      </c>
      <c r="C128" s="65">
        <v>12613510</v>
      </c>
      <c r="D128" s="144">
        <v>1820</v>
      </c>
      <c r="E128" s="145">
        <f>+VLOOKUP(A128,Clasificaciones!C:C,1,FALSE)</f>
        <v>1150105</v>
      </c>
    </row>
    <row r="129" spans="1:6" ht="15" customHeight="1">
      <c r="A129" s="161">
        <v>1150106</v>
      </c>
      <c r="B129" s="65" t="s">
        <v>1364</v>
      </c>
      <c r="C129" s="65">
        <v>1360304</v>
      </c>
      <c r="D129" s="144">
        <v>200</v>
      </c>
      <c r="E129" s="145">
        <f>+VLOOKUP(A129,Clasificaciones!C:C,1,FALSE)</f>
        <v>1150106</v>
      </c>
    </row>
    <row r="130" spans="1:6" ht="15" customHeight="1">
      <c r="A130" s="161">
        <v>1150107</v>
      </c>
      <c r="B130" s="65" t="s">
        <v>1415</v>
      </c>
      <c r="C130" s="65">
        <v>5866855</v>
      </c>
      <c r="D130" s="144">
        <v>862.58</v>
      </c>
      <c r="E130" s="145">
        <f>+VLOOKUP(A130,Clasificaciones!C:C,1,FALSE)</f>
        <v>1150107</v>
      </c>
    </row>
    <row r="131" spans="1:6" ht="15" customHeight="1">
      <c r="A131" s="161">
        <v>11502</v>
      </c>
      <c r="B131" s="65" t="s">
        <v>824</v>
      </c>
      <c r="C131" s="65">
        <v>6444980</v>
      </c>
      <c r="D131" s="144">
        <v>936.52</v>
      </c>
      <c r="E131" s="145">
        <f>+VLOOKUP(A131,Clasificaciones!C:C,1,FALSE)</f>
        <v>11502</v>
      </c>
      <c r="F131" s="147" t="s">
        <v>6</v>
      </c>
    </row>
    <row r="132" spans="1:6" ht="15" customHeight="1">
      <c r="A132" s="161">
        <v>1150205</v>
      </c>
      <c r="B132" s="65" t="s">
        <v>624</v>
      </c>
      <c r="C132" s="65">
        <v>6444980</v>
      </c>
      <c r="D132" s="144">
        <v>936.52</v>
      </c>
      <c r="E132" s="145">
        <f>+VLOOKUP(A132,Clasificaciones!C:C,1,FALSE)</f>
        <v>1150205</v>
      </c>
      <c r="F132" s="147" t="s">
        <v>6</v>
      </c>
    </row>
    <row r="133" spans="1:6" ht="15" customHeight="1">
      <c r="A133" s="161">
        <v>12</v>
      </c>
      <c r="B133" s="65" t="s">
        <v>7</v>
      </c>
      <c r="C133" s="65">
        <v>9800717379</v>
      </c>
      <c r="D133" s="144">
        <v>1478913.37</v>
      </c>
      <c r="E133" s="145">
        <f>+VLOOKUP(A133,Clasificaciones!C:C,1,FALSE)</f>
        <v>12</v>
      </c>
      <c r="F133" s="147" t="s">
        <v>6</v>
      </c>
    </row>
    <row r="134" spans="1:6" ht="15" customHeight="1">
      <c r="A134" s="161">
        <v>121</v>
      </c>
      <c r="B134" s="65" t="s">
        <v>162</v>
      </c>
      <c r="C134" s="65">
        <v>7946406868</v>
      </c>
      <c r="D134" s="144">
        <v>1199346.27</v>
      </c>
      <c r="E134" s="145">
        <f>+VLOOKUP(A134,Clasificaciones!C:C,1,FALSE)</f>
        <v>121</v>
      </c>
      <c r="F134" s="147" t="s">
        <v>6</v>
      </c>
    </row>
    <row r="135" spans="1:6" ht="15" customHeight="1">
      <c r="A135" s="161">
        <v>12101</v>
      </c>
      <c r="B135" s="65" t="s">
        <v>825</v>
      </c>
      <c r="C135" s="65">
        <v>7046406868</v>
      </c>
      <c r="D135" s="144">
        <v>1068357.3499999999</v>
      </c>
      <c r="E135" s="145">
        <f>+VLOOKUP(A135,Clasificaciones!C:C,1,FALSE)</f>
        <v>12101</v>
      </c>
      <c r="F135" s="147" t="s">
        <v>6</v>
      </c>
    </row>
    <row r="136" spans="1:6" ht="15" customHeight="1">
      <c r="A136" s="161">
        <v>121011</v>
      </c>
      <c r="B136" s="65" t="s">
        <v>826</v>
      </c>
      <c r="C136" s="65">
        <v>7046406868</v>
      </c>
      <c r="D136" s="144">
        <v>1068357.3499999999</v>
      </c>
      <c r="E136" s="145">
        <f>+VLOOKUP(A136,Clasificaciones!C:C,1,FALSE)</f>
        <v>121011</v>
      </c>
      <c r="F136" s="147" t="s">
        <v>6</v>
      </c>
    </row>
    <row r="137" spans="1:6" ht="15" customHeight="1">
      <c r="A137" s="161">
        <v>12101103</v>
      </c>
      <c r="B137" s="65" t="s">
        <v>1365</v>
      </c>
      <c r="C137" s="65">
        <v>4999000000</v>
      </c>
      <c r="D137" s="144">
        <v>763725.42</v>
      </c>
      <c r="E137" s="145">
        <f>+VLOOKUP(A137,Clasificaciones!C:C,1,FALSE)</f>
        <v>12101103</v>
      </c>
      <c r="F137" s="147" t="s">
        <v>6</v>
      </c>
    </row>
    <row r="138" spans="1:6" ht="15" customHeight="1">
      <c r="A138" s="161">
        <v>1210110301</v>
      </c>
      <c r="B138" s="65" t="s">
        <v>503</v>
      </c>
      <c r="C138" s="65">
        <v>4999000000</v>
      </c>
      <c r="D138" s="144">
        <v>763725.42</v>
      </c>
      <c r="E138" s="145">
        <f>+VLOOKUP(A138,Clasificaciones!C:C,1,FALSE)</f>
        <v>1210110301</v>
      </c>
      <c r="F138" s="147" t="s">
        <v>6</v>
      </c>
    </row>
    <row r="139" spans="1:6" ht="15" customHeight="1">
      <c r="A139" s="161">
        <v>12101108</v>
      </c>
      <c r="B139" s="65" t="s">
        <v>610</v>
      </c>
      <c r="C139" s="65">
        <v>2047406868</v>
      </c>
      <c r="D139" s="144">
        <v>304631.93</v>
      </c>
      <c r="E139" s="145">
        <f>+VLOOKUP(A139,Clasificaciones!C:C,1,FALSE)</f>
        <v>12101108</v>
      </c>
      <c r="F139" s="147" t="s">
        <v>6</v>
      </c>
    </row>
    <row r="140" spans="1:6" ht="15" customHeight="1">
      <c r="A140" s="161">
        <v>1210110801</v>
      </c>
      <c r="B140" s="65" t="s">
        <v>481</v>
      </c>
      <c r="C140" s="65">
        <v>2047406868</v>
      </c>
      <c r="D140" s="144">
        <v>304631.93</v>
      </c>
      <c r="E140" s="145">
        <f>+VLOOKUP(A140,Clasificaciones!C:C,1,FALSE)</f>
        <v>1210110801</v>
      </c>
      <c r="F140" s="147" t="s">
        <v>6</v>
      </c>
    </row>
    <row r="141" spans="1:6" ht="15" customHeight="1">
      <c r="A141" s="161">
        <v>12103</v>
      </c>
      <c r="B141" s="65" t="s">
        <v>827</v>
      </c>
      <c r="C141" s="65">
        <v>900000000</v>
      </c>
      <c r="D141" s="144">
        <v>130988.91999999998</v>
      </c>
      <c r="E141" s="145">
        <f>+VLOOKUP(A141,Clasificaciones!C:C,1,FALSE)</f>
        <v>12103</v>
      </c>
      <c r="F141" s="147" t="s">
        <v>6</v>
      </c>
    </row>
    <row r="142" spans="1:6" ht="15" customHeight="1">
      <c r="A142" s="161">
        <v>1210301</v>
      </c>
      <c r="B142" s="65" t="s">
        <v>828</v>
      </c>
      <c r="C142" s="65">
        <v>900000000</v>
      </c>
      <c r="D142" s="144">
        <v>130988.91999999998</v>
      </c>
      <c r="E142" s="145">
        <f>+VLOOKUP(A142,Clasificaciones!C:C,1,FALSE)</f>
        <v>1210301</v>
      </c>
      <c r="F142" s="147" t="s">
        <v>6</v>
      </c>
    </row>
    <row r="143" spans="1:6" ht="15" customHeight="1">
      <c r="A143" s="161">
        <v>127</v>
      </c>
      <c r="B143" s="65" t="s">
        <v>829</v>
      </c>
      <c r="C143" s="65">
        <v>1035038400</v>
      </c>
      <c r="D143" s="144">
        <v>153119.34</v>
      </c>
      <c r="E143" s="145">
        <f>+VLOOKUP(A143,Clasificaciones!C:C,1,FALSE)</f>
        <v>127</v>
      </c>
      <c r="F143" s="147" t="s">
        <v>6</v>
      </c>
    </row>
    <row r="144" spans="1:6" ht="15" customHeight="1">
      <c r="A144" s="161">
        <v>12701</v>
      </c>
      <c r="B144" s="65" t="s">
        <v>830</v>
      </c>
      <c r="C144" s="65">
        <v>1035038400</v>
      </c>
      <c r="D144" s="144">
        <v>153119.34</v>
      </c>
      <c r="E144" s="145">
        <f>+VLOOKUP(A144,Clasificaciones!C:C,1,FALSE)</f>
        <v>12701</v>
      </c>
      <c r="F144" s="147" t="s">
        <v>6</v>
      </c>
    </row>
    <row r="145" spans="1:6" ht="15" customHeight="1">
      <c r="A145" s="161">
        <v>1270102</v>
      </c>
      <c r="B145" s="65" t="s">
        <v>164</v>
      </c>
      <c r="C145" s="65">
        <v>122540485</v>
      </c>
      <c r="D145" s="144">
        <v>18105.099999999999</v>
      </c>
      <c r="E145" s="145">
        <f>+VLOOKUP(A145,Clasificaciones!C:C,1,FALSE)</f>
        <v>1270102</v>
      </c>
      <c r="F145" s="147" t="s">
        <v>6</v>
      </c>
    </row>
    <row r="146" spans="1:6" ht="15" customHeight="1">
      <c r="A146" s="161">
        <v>1270103</v>
      </c>
      <c r="B146" s="65" t="s">
        <v>1279</v>
      </c>
      <c r="C146" s="65">
        <v>249008778</v>
      </c>
      <c r="D146" s="144">
        <v>36822.800000000003</v>
      </c>
      <c r="E146" s="145">
        <f>+VLOOKUP(A146,Clasificaciones!C:C,1,FALSE)</f>
        <v>1270103</v>
      </c>
      <c r="F146" s="147" t="s">
        <v>6</v>
      </c>
    </row>
    <row r="147" spans="1:6" ht="15" customHeight="1">
      <c r="A147" s="161">
        <v>1270104</v>
      </c>
      <c r="B147" s="65" t="s">
        <v>832</v>
      </c>
      <c r="C147" s="65">
        <v>357508232</v>
      </c>
      <c r="D147" s="144">
        <v>52550.51</v>
      </c>
      <c r="E147" s="145">
        <f>+VLOOKUP(A147,Clasificaciones!C:C,1,FALSE)</f>
        <v>1270104</v>
      </c>
      <c r="F147" s="147" t="s">
        <v>6</v>
      </c>
    </row>
    <row r="148" spans="1:6" ht="15" customHeight="1">
      <c r="A148" s="161">
        <v>1270107</v>
      </c>
      <c r="B148" s="65" t="s">
        <v>1120</v>
      </c>
      <c r="C148" s="65">
        <v>316522493</v>
      </c>
      <c r="D148" s="144">
        <v>47288.01</v>
      </c>
      <c r="E148" s="145">
        <f>+VLOOKUP(A148,Clasificaciones!C:C,1,FALSE)</f>
        <v>1270107</v>
      </c>
      <c r="F148" s="147" t="s">
        <v>6</v>
      </c>
    </row>
    <row r="149" spans="1:6" ht="15" customHeight="1">
      <c r="A149" s="161">
        <v>1270120</v>
      </c>
      <c r="B149" s="65" t="s">
        <v>833</v>
      </c>
      <c r="C149" s="65">
        <v>-10541588</v>
      </c>
      <c r="D149" s="144">
        <v>-1647.08</v>
      </c>
      <c r="E149" s="145">
        <f>+VLOOKUP(A149,Clasificaciones!C:C,1,FALSE)</f>
        <v>1270120</v>
      </c>
      <c r="F149" s="147" t="s">
        <v>6</v>
      </c>
    </row>
    <row r="150" spans="1:6" ht="15" customHeight="1">
      <c r="A150" s="161">
        <v>127012003</v>
      </c>
      <c r="B150" s="65" t="s">
        <v>834</v>
      </c>
      <c r="C150" s="65">
        <v>-588477</v>
      </c>
      <c r="D150" s="144">
        <v>-88.1</v>
      </c>
      <c r="E150" s="145">
        <f>+VLOOKUP(A150,Clasificaciones!C:C,1,FALSE)</f>
        <v>127012003</v>
      </c>
      <c r="F150" s="147" t="s">
        <v>6</v>
      </c>
    </row>
    <row r="151" spans="1:6" ht="15" customHeight="1">
      <c r="A151" s="161">
        <v>127012004</v>
      </c>
      <c r="B151" s="65" t="s">
        <v>835</v>
      </c>
      <c r="C151" s="65">
        <v>-9953111</v>
      </c>
      <c r="D151" s="144">
        <v>-1558.98</v>
      </c>
      <c r="E151" s="145">
        <f>+VLOOKUP(A151,Clasificaciones!C:C,1,FALSE)</f>
        <v>127012004</v>
      </c>
      <c r="F151" s="147" t="s">
        <v>6</v>
      </c>
    </row>
    <row r="152" spans="1:6" ht="15" customHeight="1">
      <c r="A152" s="161">
        <v>128</v>
      </c>
      <c r="B152" s="65" t="s">
        <v>836</v>
      </c>
      <c r="C152" s="65">
        <v>806897193</v>
      </c>
      <c r="D152" s="144">
        <v>124527.76</v>
      </c>
      <c r="E152" s="145">
        <f>+VLOOKUP(A152,Clasificaciones!C:C,1,FALSE)</f>
        <v>128</v>
      </c>
      <c r="F152" s="147" t="s">
        <v>6</v>
      </c>
    </row>
    <row r="153" spans="1:6" ht="15" customHeight="1">
      <c r="A153" s="161">
        <v>12801</v>
      </c>
      <c r="B153" s="65" t="s">
        <v>96</v>
      </c>
      <c r="C153" s="65">
        <v>345173952</v>
      </c>
      <c r="D153" s="144">
        <v>50632.63</v>
      </c>
      <c r="E153" s="145">
        <f>+VLOOKUP(A153,Clasificaciones!C:C,1,FALSE)</f>
        <v>12801</v>
      </c>
      <c r="F153" s="147" t="s">
        <v>6</v>
      </c>
    </row>
    <row r="154" spans="1:6" ht="15" customHeight="1">
      <c r="A154" s="161">
        <v>1280102</v>
      </c>
      <c r="B154" s="65" t="s">
        <v>837</v>
      </c>
      <c r="C154" s="65">
        <v>345173952</v>
      </c>
      <c r="D154" s="144">
        <v>50632.63</v>
      </c>
      <c r="E154" s="145">
        <f>+VLOOKUP(A154,Clasificaciones!C:C,1,FALSE)</f>
        <v>1280102</v>
      </c>
    </row>
    <row r="155" spans="1:6" ht="15" customHeight="1">
      <c r="A155" s="161">
        <v>12802</v>
      </c>
      <c r="B155" s="65" t="s">
        <v>838</v>
      </c>
      <c r="C155" s="65">
        <v>690611542</v>
      </c>
      <c r="D155" s="144">
        <v>111079.05</v>
      </c>
      <c r="E155" s="145">
        <f>+VLOOKUP(A155,Clasificaciones!C:C,1,FALSE)</f>
        <v>12802</v>
      </c>
      <c r="F155" s="147" t="s">
        <v>6</v>
      </c>
    </row>
    <row r="156" spans="1:6" ht="15" customHeight="1">
      <c r="A156" s="161">
        <v>12803</v>
      </c>
      <c r="B156" s="65" t="s">
        <v>97</v>
      </c>
      <c r="C156" s="65">
        <v>8000000</v>
      </c>
      <c r="D156" s="144">
        <v>1288.27</v>
      </c>
      <c r="E156" s="145">
        <f>+VLOOKUP(A156,Clasificaciones!C:C,1,FALSE)</f>
        <v>12803</v>
      </c>
      <c r="F156" s="147" t="s">
        <v>6</v>
      </c>
    </row>
    <row r="157" spans="1:6" ht="15" customHeight="1">
      <c r="A157" s="161">
        <v>12804</v>
      </c>
      <c r="B157" s="65" t="s">
        <v>331</v>
      </c>
      <c r="C157" s="65">
        <v>57764419</v>
      </c>
      <c r="D157" s="144">
        <v>9621.58</v>
      </c>
      <c r="E157" s="145">
        <f>+VLOOKUP(A157,Clasificaciones!C:C,1,FALSE)</f>
        <v>12804</v>
      </c>
      <c r="F157" s="147" t="s">
        <v>6</v>
      </c>
    </row>
    <row r="158" spans="1:6" ht="15" customHeight="1">
      <c r="A158" s="161">
        <v>1280401</v>
      </c>
      <c r="B158" s="65" t="s">
        <v>170</v>
      </c>
      <c r="C158" s="65">
        <v>57764419</v>
      </c>
      <c r="D158" s="144">
        <v>9621.58</v>
      </c>
      <c r="E158" s="145">
        <f>+VLOOKUP(A158,Clasificaciones!C:C,1,FALSE)</f>
        <v>1280401</v>
      </c>
      <c r="F158" s="147" t="s">
        <v>6</v>
      </c>
    </row>
    <row r="159" spans="1:6" ht="15" customHeight="1">
      <c r="A159" s="161">
        <v>12808</v>
      </c>
      <c r="B159" s="65" t="s">
        <v>1416</v>
      </c>
      <c r="C159" s="65">
        <v>45425205</v>
      </c>
      <c r="D159" s="144">
        <v>6681.81</v>
      </c>
      <c r="E159" s="145">
        <f>+VLOOKUP(A159,Clasificaciones!C:C,1,FALSE)</f>
        <v>12808</v>
      </c>
    </row>
    <row r="160" spans="1:6" ht="15" customHeight="1">
      <c r="A160" s="161">
        <v>12820</v>
      </c>
      <c r="B160" s="65" t="s">
        <v>840</v>
      </c>
      <c r="C160" s="65">
        <v>-340077925</v>
      </c>
      <c r="D160" s="144">
        <v>-54775.58</v>
      </c>
      <c r="E160" s="145">
        <f>+VLOOKUP(A160,Clasificaciones!C:C,1,FALSE)</f>
        <v>12820</v>
      </c>
      <c r="F160" s="147" t="s">
        <v>6</v>
      </c>
    </row>
    <row r="161" spans="1:6" ht="15" customHeight="1">
      <c r="A161" s="161">
        <v>1282001</v>
      </c>
      <c r="B161" s="65" t="s">
        <v>96</v>
      </c>
      <c r="C161" s="65">
        <v>-39032934</v>
      </c>
      <c r="D161" s="144">
        <v>-5745.34</v>
      </c>
      <c r="E161" s="145">
        <f>+VLOOKUP(A161,Clasificaciones!C:C,1,FALSE)</f>
        <v>1282001</v>
      </c>
      <c r="F161" s="147" t="s">
        <v>6</v>
      </c>
    </row>
    <row r="162" spans="1:6" ht="15" customHeight="1">
      <c r="A162" s="161">
        <v>1282002</v>
      </c>
      <c r="B162" s="65" t="s">
        <v>97</v>
      </c>
      <c r="C162" s="65">
        <v>-3200012</v>
      </c>
      <c r="D162" s="144">
        <v>-515.30999999999995</v>
      </c>
      <c r="E162" s="145">
        <f>+VLOOKUP(A162,Clasificaciones!C:C,1,FALSE)</f>
        <v>1282002</v>
      </c>
      <c r="F162" s="147" t="s">
        <v>6</v>
      </c>
    </row>
    <row r="163" spans="1:6" ht="15" customHeight="1">
      <c r="A163" s="161">
        <v>1282003</v>
      </c>
      <c r="B163" s="65" t="s">
        <v>170</v>
      </c>
      <c r="C163" s="65">
        <v>-43292732</v>
      </c>
      <c r="D163" s="144">
        <v>-7233.58</v>
      </c>
      <c r="E163" s="145">
        <f>+VLOOKUP(A163,Clasificaciones!C:C,1,FALSE)</f>
        <v>1282003</v>
      </c>
      <c r="F163" s="147" t="s">
        <v>6</v>
      </c>
    </row>
    <row r="164" spans="1:6" ht="15" customHeight="1">
      <c r="A164" s="161">
        <v>1282004</v>
      </c>
      <c r="B164" s="65" t="s">
        <v>841</v>
      </c>
      <c r="C164" s="65">
        <v>-254552247</v>
      </c>
      <c r="D164" s="144">
        <v>-41281.35</v>
      </c>
      <c r="E164" s="145">
        <f>+VLOOKUP(A164,Clasificaciones!C:C,1,FALSE)</f>
        <v>1282004</v>
      </c>
      <c r="F164" s="147" t="s">
        <v>6</v>
      </c>
    </row>
    <row r="165" spans="1:6" ht="15" customHeight="1">
      <c r="A165" s="161">
        <v>129</v>
      </c>
      <c r="B165" s="65" t="s">
        <v>1317</v>
      </c>
      <c r="C165" s="65">
        <v>12374918</v>
      </c>
      <c r="D165" s="144">
        <v>1920</v>
      </c>
      <c r="E165" s="145">
        <f>+VLOOKUP(A165,Clasificaciones!C:C,1,FALSE)</f>
        <v>129</v>
      </c>
    </row>
    <row r="166" spans="1:6" ht="15" customHeight="1">
      <c r="A166" s="161">
        <v>12901</v>
      </c>
      <c r="B166" s="65" t="s">
        <v>1318</v>
      </c>
      <c r="C166" s="65">
        <v>12374918</v>
      </c>
      <c r="D166" s="144">
        <v>1920</v>
      </c>
      <c r="E166" s="145">
        <f>+VLOOKUP(A166,Clasificaciones!C:C,1,FALSE)</f>
        <v>12901</v>
      </c>
    </row>
    <row r="167" spans="1:6" ht="15" customHeight="1">
      <c r="A167" s="161">
        <v>2</v>
      </c>
      <c r="B167" s="65" t="s">
        <v>8</v>
      </c>
      <c r="C167" s="65">
        <v>71449093175</v>
      </c>
      <c r="D167" s="144">
        <v>10373888.083499998</v>
      </c>
      <c r="E167" s="145">
        <f>+VLOOKUP(A167,Clasificaciones!C:C,1,FALSE)</f>
        <v>2</v>
      </c>
      <c r="F167" s="147" t="s">
        <v>6</v>
      </c>
    </row>
    <row r="168" spans="1:6" ht="15" customHeight="1">
      <c r="A168" s="161">
        <v>21</v>
      </c>
      <c r="B168" s="65" t="s">
        <v>9</v>
      </c>
      <c r="C168" s="65">
        <v>71449093175</v>
      </c>
      <c r="D168" s="144">
        <v>10373888.083499998</v>
      </c>
      <c r="E168" s="145">
        <f>+VLOOKUP(A168,Clasificaciones!C:C,1,FALSE)</f>
        <v>21</v>
      </c>
      <c r="F168" s="147" t="s">
        <v>6</v>
      </c>
    </row>
    <row r="169" spans="1:6" ht="15" customHeight="1">
      <c r="A169" s="161">
        <v>211</v>
      </c>
      <c r="B169" s="65" t="s">
        <v>842</v>
      </c>
      <c r="C169" s="65">
        <v>400495800</v>
      </c>
      <c r="D169" s="144">
        <v>58152.479999989271</v>
      </c>
      <c r="E169" s="145">
        <f>+VLOOKUP(A169,Clasificaciones!C:C,1,FALSE)</f>
        <v>211</v>
      </c>
      <c r="F169" s="147" t="s">
        <v>6</v>
      </c>
    </row>
    <row r="170" spans="1:6" ht="15" customHeight="1">
      <c r="A170" s="161">
        <v>21101</v>
      </c>
      <c r="B170" s="65" t="s">
        <v>843</v>
      </c>
      <c r="C170" s="65">
        <v>147957960</v>
      </c>
      <c r="D170" s="144">
        <v>21485.840000003576</v>
      </c>
      <c r="E170" s="145">
        <f>+VLOOKUP(A170,Clasificaciones!C:C,1,FALSE)</f>
        <v>21101</v>
      </c>
      <c r="F170" s="147" t="s">
        <v>6</v>
      </c>
    </row>
    <row r="171" spans="1:6" ht="15" customHeight="1">
      <c r="A171" s="161">
        <v>2110101</v>
      </c>
      <c r="B171" s="65" t="s">
        <v>623</v>
      </c>
      <c r="C171" s="65">
        <v>145062785</v>
      </c>
      <c r="D171" s="144">
        <v>21062.049999982119</v>
      </c>
      <c r="E171" s="145">
        <f>+VLOOKUP(A171,Clasificaciones!C:C,1,FALSE)</f>
        <v>2110101</v>
      </c>
      <c r="F171" s="147" t="s">
        <v>6</v>
      </c>
    </row>
    <row r="172" spans="1:6" ht="15" customHeight="1">
      <c r="A172" s="161">
        <v>211010101</v>
      </c>
      <c r="B172" s="65" t="s">
        <v>504</v>
      </c>
      <c r="C172" s="65">
        <v>121171240</v>
      </c>
      <c r="D172" s="144">
        <v>17593.170000001788</v>
      </c>
      <c r="E172" s="145">
        <f>+VLOOKUP(A172,Clasificaciones!C:C,1,FALSE)</f>
        <v>211010101</v>
      </c>
      <c r="F172" s="147" t="s">
        <v>6</v>
      </c>
    </row>
    <row r="173" spans="1:6" ht="15" customHeight="1">
      <c r="A173" s="161">
        <v>211010102</v>
      </c>
      <c r="B173" s="65" t="s">
        <v>844</v>
      </c>
      <c r="C173" s="65">
        <v>1073195</v>
      </c>
      <c r="D173" s="144">
        <v>155.82000000029802</v>
      </c>
      <c r="E173" s="145">
        <f>+VLOOKUP(A173,Clasificaciones!C:C,1,FALSE)</f>
        <v>211010102</v>
      </c>
      <c r="F173" s="147" t="s">
        <v>229</v>
      </c>
    </row>
    <row r="174" spans="1:6" ht="15" customHeight="1">
      <c r="A174" s="161">
        <v>211010103</v>
      </c>
      <c r="B174" s="65" t="s">
        <v>1319</v>
      </c>
      <c r="C174" s="65">
        <v>18310822</v>
      </c>
      <c r="D174" s="144">
        <v>2658.5999999999767</v>
      </c>
      <c r="E174" s="145">
        <f>+VLOOKUP(A174,Clasificaciones!C:C,1,FALSE)</f>
        <v>211010103</v>
      </c>
      <c r="F174" s="147" t="s">
        <v>6</v>
      </c>
    </row>
    <row r="175" spans="1:6" ht="15" customHeight="1">
      <c r="A175" s="161">
        <v>211010104</v>
      </c>
      <c r="B175" s="65" t="s">
        <v>1320</v>
      </c>
      <c r="C175" s="65">
        <v>4507528</v>
      </c>
      <c r="D175" s="144">
        <v>654.46000000007905</v>
      </c>
      <c r="E175" s="145">
        <f>+VLOOKUP(A175,Clasificaciones!C:C,1,FALSE)</f>
        <v>211010104</v>
      </c>
      <c r="F175" s="147" t="s">
        <v>229</v>
      </c>
    </row>
    <row r="176" spans="1:6" ht="15" customHeight="1">
      <c r="A176" s="161">
        <v>2110103</v>
      </c>
      <c r="B176" s="65" t="s">
        <v>845</v>
      </c>
      <c r="C176" s="65">
        <v>2895175</v>
      </c>
      <c r="D176" s="144">
        <v>423.79000000000087</v>
      </c>
      <c r="E176" s="145">
        <f>+VLOOKUP(A176,Clasificaciones!C:C,1,FALSE)</f>
        <v>2110103</v>
      </c>
      <c r="F176" s="147" t="s">
        <v>6</v>
      </c>
    </row>
    <row r="177" spans="1:6" ht="15" customHeight="1">
      <c r="A177" s="161">
        <v>211010301</v>
      </c>
      <c r="B177" s="65" t="s">
        <v>846</v>
      </c>
      <c r="C177" s="65">
        <v>2895175</v>
      </c>
      <c r="D177" s="144">
        <v>423.78999999999724</v>
      </c>
      <c r="E177" s="145">
        <f>+VLOOKUP(A177,Clasificaciones!C:C,1,FALSE)</f>
        <v>211010301</v>
      </c>
      <c r="F177" s="147" t="s">
        <v>6</v>
      </c>
    </row>
    <row r="178" spans="1:6" ht="15" customHeight="1">
      <c r="A178" s="161">
        <v>21103</v>
      </c>
      <c r="B178" s="65" t="s">
        <v>1126</v>
      </c>
      <c r="C178" s="65">
        <v>4059103</v>
      </c>
      <c r="D178" s="144">
        <v>589.35000000000036</v>
      </c>
      <c r="E178" s="145">
        <f>+VLOOKUP(A178,Clasificaciones!C:C,1,FALSE)</f>
        <v>21103</v>
      </c>
      <c r="F178" s="147" t="s">
        <v>6</v>
      </c>
    </row>
    <row r="179" spans="1:6" ht="15" customHeight="1">
      <c r="A179" s="161">
        <v>211030103</v>
      </c>
      <c r="B179" s="65" t="s">
        <v>1366</v>
      </c>
      <c r="C179" s="65">
        <v>4059103</v>
      </c>
      <c r="D179" s="144">
        <v>589.35000000000036</v>
      </c>
      <c r="E179" s="145">
        <f>+VLOOKUP(A179,Clasificaciones!C:C,1,FALSE)</f>
        <v>211030103</v>
      </c>
      <c r="F179" s="147" t="s">
        <v>6</v>
      </c>
    </row>
    <row r="180" spans="1:6" ht="15" customHeight="1">
      <c r="A180" s="161">
        <v>21107</v>
      </c>
      <c r="B180" s="65" t="s">
        <v>847</v>
      </c>
      <c r="C180" s="65">
        <v>248478737</v>
      </c>
      <c r="D180" s="144">
        <v>36077.289999999106</v>
      </c>
      <c r="E180" s="145">
        <f>+VLOOKUP(A180,Clasificaciones!C:C,1,FALSE)</f>
        <v>21107</v>
      </c>
      <c r="F180" s="147" t="s">
        <v>6</v>
      </c>
    </row>
    <row r="181" spans="1:6" ht="15" customHeight="1">
      <c r="A181" s="161">
        <v>2110701</v>
      </c>
      <c r="B181" s="65" t="s">
        <v>848</v>
      </c>
      <c r="C181" s="65">
        <v>136664966</v>
      </c>
      <c r="D181" s="144">
        <v>19842.75</v>
      </c>
      <c r="E181" s="145">
        <f>+VLOOKUP(A181,Clasificaciones!C:C,1,FALSE)</f>
        <v>2110701</v>
      </c>
      <c r="F181" s="147" t="s">
        <v>6</v>
      </c>
    </row>
    <row r="182" spans="1:6" ht="15" customHeight="1">
      <c r="A182" s="161">
        <v>2110702</v>
      </c>
      <c r="B182" s="65" t="s">
        <v>849</v>
      </c>
      <c r="C182" s="65">
        <v>18833871</v>
      </c>
      <c r="D182" s="144">
        <v>2734.5400000000373</v>
      </c>
      <c r="E182" s="145">
        <f>+VLOOKUP(A182,Clasificaciones!C:C,1,FALSE)</f>
        <v>2110702</v>
      </c>
      <c r="F182" s="147" t="s">
        <v>229</v>
      </c>
    </row>
    <row r="183" spans="1:6" ht="15" customHeight="1">
      <c r="A183" s="161">
        <v>2110703</v>
      </c>
      <c r="B183" s="65" t="s">
        <v>1130</v>
      </c>
      <c r="C183" s="65">
        <v>92979900</v>
      </c>
      <c r="D183" s="144">
        <v>13500</v>
      </c>
      <c r="E183" s="145">
        <f>+VLOOKUP(A183,Clasificaciones!C:C,1,FALSE)</f>
        <v>2110703</v>
      </c>
      <c r="F183" s="147" t="s">
        <v>229</v>
      </c>
    </row>
    <row r="184" spans="1:6" ht="15" customHeight="1">
      <c r="A184" s="161">
        <v>213</v>
      </c>
      <c r="B184" s="65" t="s">
        <v>850</v>
      </c>
      <c r="C184" s="65">
        <v>69952486087</v>
      </c>
      <c r="D184" s="144">
        <v>10156588.283500001</v>
      </c>
      <c r="E184" s="145">
        <f>+VLOOKUP(A184,Clasificaciones!C:C,1,FALSE)</f>
        <v>213</v>
      </c>
      <c r="F184" s="147" t="s">
        <v>6</v>
      </c>
    </row>
    <row r="185" spans="1:6" ht="15" customHeight="1">
      <c r="A185" s="161">
        <v>21301</v>
      </c>
      <c r="B185" s="65" t="s">
        <v>726</v>
      </c>
      <c r="C185" s="65">
        <v>1848050034</v>
      </c>
      <c r="D185" s="144">
        <v>268323.3200000003</v>
      </c>
      <c r="E185" s="145">
        <f>+VLOOKUP(A185,Clasificaciones!C:C,1,FALSE)</f>
        <v>21301</v>
      </c>
      <c r="F185" s="147" t="s">
        <v>6</v>
      </c>
    </row>
    <row r="186" spans="1:6" ht="15" customHeight="1">
      <c r="A186" s="161">
        <v>2130102</v>
      </c>
      <c r="B186" s="65" t="s">
        <v>853</v>
      </c>
      <c r="C186" s="65">
        <v>1848050034</v>
      </c>
      <c r="D186" s="144">
        <v>268323.31999999983</v>
      </c>
      <c r="E186" s="145">
        <f>+VLOOKUP(A186,Clasificaciones!C:C,1,FALSE)</f>
        <v>2130102</v>
      </c>
    </row>
    <row r="187" spans="1:6" ht="15" customHeight="1">
      <c r="A187" s="161">
        <v>213010201</v>
      </c>
      <c r="B187" s="65" t="s">
        <v>854</v>
      </c>
      <c r="C187" s="65">
        <v>1848050034</v>
      </c>
      <c r="D187" s="144">
        <v>268323.31999999983</v>
      </c>
      <c r="E187" s="145">
        <f>+VLOOKUP(A187,Clasificaciones!C:C,1,FALSE)</f>
        <v>213010201</v>
      </c>
      <c r="F187" s="147" t="s">
        <v>229</v>
      </c>
    </row>
    <row r="188" spans="1:6" ht="15" customHeight="1">
      <c r="A188" s="161">
        <v>21303</v>
      </c>
      <c r="B188" s="65" t="s">
        <v>855</v>
      </c>
      <c r="C188" s="65">
        <v>68104436053</v>
      </c>
      <c r="D188" s="144">
        <v>9888264.9635000005</v>
      </c>
      <c r="E188" s="145">
        <f>+VLOOKUP(A188,Clasificaciones!C:C,1,FALSE)</f>
        <v>21303</v>
      </c>
      <c r="F188" s="147" t="s">
        <v>6</v>
      </c>
    </row>
    <row r="189" spans="1:6" ht="15" customHeight="1">
      <c r="A189" s="161">
        <v>2130301</v>
      </c>
      <c r="B189" s="65" t="s">
        <v>856</v>
      </c>
      <c r="C189" s="65">
        <v>1184925957</v>
      </c>
      <c r="D189" s="144">
        <v>172042.57</v>
      </c>
      <c r="E189" s="145">
        <f>+VLOOKUP(A189,Clasificaciones!C:C,1,FALSE)</f>
        <v>2130301</v>
      </c>
      <c r="F189" s="147" t="s">
        <v>6</v>
      </c>
    </row>
    <row r="190" spans="1:6" ht="15" customHeight="1">
      <c r="A190" s="161">
        <v>213030101</v>
      </c>
      <c r="B190" s="65" t="s">
        <v>857</v>
      </c>
      <c r="C190" s="65">
        <v>648860354</v>
      </c>
      <c r="D190" s="144">
        <v>94209.76999999999</v>
      </c>
      <c r="E190" s="145">
        <f>+VLOOKUP(A190,Clasificaciones!C:C,1,FALSE)</f>
        <v>213030101</v>
      </c>
      <c r="F190" s="147" t="s">
        <v>6</v>
      </c>
    </row>
    <row r="191" spans="1:6" s="913" customFormat="1" ht="15" customHeight="1">
      <c r="A191" s="910">
        <v>213030102</v>
      </c>
      <c r="B191" s="911" t="s">
        <v>1140</v>
      </c>
      <c r="C191" s="911">
        <v>313652678</v>
      </c>
      <c r="D191" s="912">
        <v>45540.07</v>
      </c>
      <c r="E191" s="913">
        <f>+VLOOKUP(A191,Clasificaciones!C:C,1,FALSE)</f>
        <v>213030102</v>
      </c>
      <c r="F191" s="914" t="s">
        <v>229</v>
      </c>
    </row>
    <row r="192" spans="1:6" ht="15" customHeight="1">
      <c r="A192" s="161">
        <v>213030103</v>
      </c>
      <c r="B192" s="65" t="s">
        <v>1321</v>
      </c>
      <c r="C192" s="65">
        <v>222412925</v>
      </c>
      <c r="D192" s="144">
        <v>32292.730000000007</v>
      </c>
      <c r="E192" s="145">
        <f>+VLOOKUP(A192,Clasificaciones!C:C,1,FALSE)</f>
        <v>213030103</v>
      </c>
      <c r="F192" s="147" t="s">
        <v>6</v>
      </c>
    </row>
    <row r="193" spans="1:6" ht="15" customHeight="1">
      <c r="A193" s="161">
        <v>2130302</v>
      </c>
      <c r="B193" s="65" t="s">
        <v>1141</v>
      </c>
      <c r="C193" s="65">
        <v>-912974960</v>
      </c>
      <c r="D193" s="144">
        <v>-132557.27000000002</v>
      </c>
      <c r="E193" s="145">
        <f>+VLOOKUP(A193,Clasificaciones!C:C,1,FALSE)</f>
        <v>2130302</v>
      </c>
      <c r="F193" s="147" t="s">
        <v>6</v>
      </c>
    </row>
    <row r="194" spans="1:6" ht="15" customHeight="1">
      <c r="A194" s="161">
        <v>213030201</v>
      </c>
      <c r="B194" s="65" t="s">
        <v>1142</v>
      </c>
      <c r="C194" s="65">
        <v>-526765661</v>
      </c>
      <c r="D194" s="144">
        <v>-76482.509999999995</v>
      </c>
      <c r="E194" s="145">
        <f>+VLOOKUP(A194,Clasificaciones!C:C,1,FALSE)</f>
        <v>213030201</v>
      </c>
      <c r="F194" s="147" t="s">
        <v>6</v>
      </c>
    </row>
    <row r="195" spans="1:6" s="913" customFormat="1" ht="15" customHeight="1">
      <c r="A195" s="910">
        <v>213030202</v>
      </c>
      <c r="B195" s="911" t="s">
        <v>1322</v>
      </c>
      <c r="C195" s="911">
        <v>-253980245</v>
      </c>
      <c r="D195" s="912">
        <v>-36876.07</v>
      </c>
      <c r="E195" s="913">
        <f>+VLOOKUP(A195,Clasificaciones!C:C,1,FALSE)</f>
        <v>213030202</v>
      </c>
      <c r="F195" s="914" t="s">
        <v>229</v>
      </c>
    </row>
    <row r="196" spans="1:6" ht="15" customHeight="1">
      <c r="A196" s="161">
        <v>213030203</v>
      </c>
      <c r="B196" s="65" t="s">
        <v>1323</v>
      </c>
      <c r="C196" s="65">
        <v>-132229054</v>
      </c>
      <c r="D196" s="144">
        <v>-19198.690000000002</v>
      </c>
      <c r="E196" s="145">
        <f>+VLOOKUP(A196,Clasificaciones!C:C,1,FALSE)</f>
        <v>213030203</v>
      </c>
      <c r="F196" s="147" t="s">
        <v>6</v>
      </c>
    </row>
    <row r="197" spans="1:6" ht="15" customHeight="1">
      <c r="A197" s="161">
        <v>2130303</v>
      </c>
      <c r="B197" s="65" t="s">
        <v>858</v>
      </c>
      <c r="C197" s="65">
        <v>67832485056</v>
      </c>
      <c r="D197" s="144">
        <v>9848779.6635000035</v>
      </c>
      <c r="E197" s="145">
        <f>+VLOOKUP(A197,Clasificaciones!C:C,1,FALSE)</f>
        <v>2130303</v>
      </c>
      <c r="F197" s="147" t="s">
        <v>6</v>
      </c>
    </row>
    <row r="198" spans="1:6" ht="15" customHeight="1">
      <c r="A198" s="161">
        <v>213030301</v>
      </c>
      <c r="B198" s="65" t="s">
        <v>859</v>
      </c>
      <c r="C198" s="65">
        <v>41634795848</v>
      </c>
      <c r="D198" s="144">
        <v>6045067.200000003</v>
      </c>
      <c r="E198" s="145">
        <f>+VLOOKUP(A198,Clasificaciones!C:C,1,FALSE)</f>
        <v>213030301</v>
      </c>
      <c r="F198" s="147" t="s">
        <v>229</v>
      </c>
    </row>
    <row r="199" spans="1:6" ht="15" customHeight="1">
      <c r="A199" s="161">
        <v>213030302</v>
      </c>
      <c r="B199" s="65" t="s">
        <v>860</v>
      </c>
      <c r="C199" s="65">
        <v>22910175411</v>
      </c>
      <c r="D199" s="144">
        <v>3326389.5534999985</v>
      </c>
      <c r="E199" s="145">
        <f>+VLOOKUP(A199,Clasificaciones!C:C,1,FALSE)</f>
        <v>213030302</v>
      </c>
      <c r="F199" s="147" t="s">
        <v>6</v>
      </c>
    </row>
    <row r="200" spans="1:6" ht="15" customHeight="1">
      <c r="A200" s="161">
        <v>213030303</v>
      </c>
      <c r="B200" s="65" t="s">
        <v>1324</v>
      </c>
      <c r="C200" s="65">
        <v>3287513797</v>
      </c>
      <c r="D200" s="144">
        <v>477322.91000000009</v>
      </c>
      <c r="E200" s="145">
        <f>+VLOOKUP(A200,Clasificaciones!C:C,1,FALSE)</f>
        <v>213030303</v>
      </c>
      <c r="F200" s="147" t="s">
        <v>6</v>
      </c>
    </row>
    <row r="201" spans="1:6" ht="15" customHeight="1">
      <c r="A201" s="161">
        <v>214</v>
      </c>
      <c r="B201" s="65" t="s">
        <v>10</v>
      </c>
      <c r="C201" s="65">
        <v>1096111288</v>
      </c>
      <c r="D201" s="144">
        <v>159147.32000000007</v>
      </c>
      <c r="E201" s="145">
        <f>+VLOOKUP(A201,Clasificaciones!C:C,1,FALSE)</f>
        <v>214</v>
      </c>
      <c r="F201" s="147" t="s">
        <v>6</v>
      </c>
    </row>
    <row r="202" spans="1:6" ht="15" customHeight="1">
      <c r="A202" s="161">
        <v>21401</v>
      </c>
      <c r="B202" s="65" t="s">
        <v>861</v>
      </c>
      <c r="C202" s="65">
        <v>702878244</v>
      </c>
      <c r="D202" s="144">
        <v>102052.7699999999</v>
      </c>
      <c r="E202" s="145">
        <f>+VLOOKUP(A202,Clasificaciones!C:C,1,FALSE)</f>
        <v>21401</v>
      </c>
      <c r="F202" s="147" t="s">
        <v>6</v>
      </c>
    </row>
    <row r="203" spans="1:6" ht="15" customHeight="1">
      <c r="A203" s="161">
        <v>2140104</v>
      </c>
      <c r="B203" s="65" t="s">
        <v>631</v>
      </c>
      <c r="C203" s="65">
        <v>526231282</v>
      </c>
      <c r="D203" s="144">
        <v>76404.930000000008</v>
      </c>
      <c r="E203" s="145">
        <f>+VLOOKUP(A203,Clasificaciones!C:C,1,FALSE)</f>
        <v>2140104</v>
      </c>
      <c r="F203" s="147" t="s">
        <v>6</v>
      </c>
    </row>
    <row r="204" spans="1:6" ht="15" customHeight="1">
      <c r="A204" s="161">
        <v>2140107</v>
      </c>
      <c r="B204" s="65" t="s">
        <v>176</v>
      </c>
      <c r="C204" s="65">
        <v>63856962</v>
      </c>
      <c r="D204" s="144">
        <v>9271.5599999999977</v>
      </c>
      <c r="E204" s="145">
        <f>+VLOOKUP(A204,Clasificaciones!C:C,1,FALSE)</f>
        <v>2140107</v>
      </c>
      <c r="F204" s="147" t="s">
        <v>6</v>
      </c>
    </row>
    <row r="205" spans="1:6" ht="15" customHeight="1">
      <c r="A205" s="161">
        <v>2140108</v>
      </c>
      <c r="B205" s="65" t="s">
        <v>1417</v>
      </c>
      <c r="C205" s="65">
        <v>112790000</v>
      </c>
      <c r="D205" s="144">
        <v>16376.28</v>
      </c>
      <c r="E205" s="145">
        <f>+VLOOKUP(A205,Clasificaciones!C:C,1,FALSE)</f>
        <v>2140108</v>
      </c>
      <c r="F205" s="147" t="s">
        <v>6</v>
      </c>
    </row>
    <row r="206" spans="1:6" ht="15" customHeight="1">
      <c r="A206" s="161">
        <v>21402</v>
      </c>
      <c r="B206" s="65" t="s">
        <v>863</v>
      </c>
      <c r="C206" s="65">
        <v>177656751</v>
      </c>
      <c r="D206" s="144">
        <v>25794.450000000012</v>
      </c>
      <c r="E206" s="145">
        <f>+VLOOKUP(A206,Clasificaciones!C:C,1,FALSE)</f>
        <v>21402</v>
      </c>
      <c r="F206" s="147" t="s">
        <v>6</v>
      </c>
    </row>
    <row r="207" spans="1:6" ht="15" customHeight="1">
      <c r="A207" s="161">
        <v>2140201</v>
      </c>
      <c r="B207" s="65" t="s">
        <v>86</v>
      </c>
      <c r="C207" s="65">
        <v>152286289</v>
      </c>
      <c r="D207" s="144">
        <v>22110.849999999991</v>
      </c>
      <c r="E207" s="145">
        <f>+VLOOKUP(A207,Clasificaciones!C:C,1,FALSE)</f>
        <v>2140201</v>
      </c>
      <c r="F207" s="147" t="s">
        <v>6</v>
      </c>
    </row>
    <row r="208" spans="1:6" ht="15" customHeight="1">
      <c r="A208" s="161">
        <v>2140202</v>
      </c>
      <c r="B208" s="65" t="s">
        <v>864</v>
      </c>
      <c r="C208" s="65">
        <v>9036062</v>
      </c>
      <c r="D208" s="144">
        <v>1311.9600000000064</v>
      </c>
      <c r="E208" s="145">
        <f>+VLOOKUP(A208,Clasificaciones!C:C,1,FALSE)</f>
        <v>2140202</v>
      </c>
      <c r="F208" s="147" t="s">
        <v>6</v>
      </c>
    </row>
    <row r="209" spans="1:6" ht="15" customHeight="1">
      <c r="A209" s="161">
        <v>214020203</v>
      </c>
      <c r="B209" s="65" t="s">
        <v>865</v>
      </c>
      <c r="C209" s="65">
        <v>9036062</v>
      </c>
      <c r="D209" s="144">
        <v>1311.9599999999991</v>
      </c>
      <c r="E209" s="145">
        <f>+VLOOKUP(A209,Clasificaciones!C:C,1,FALSE)</f>
        <v>214020203</v>
      </c>
      <c r="F209" s="147" t="s">
        <v>6</v>
      </c>
    </row>
    <row r="210" spans="1:6" ht="15" customHeight="1">
      <c r="A210" s="161">
        <v>2140203</v>
      </c>
      <c r="B210" s="65" t="s">
        <v>866</v>
      </c>
      <c r="C210" s="65">
        <v>16334400</v>
      </c>
      <c r="D210" s="144">
        <v>2371.6399999999994</v>
      </c>
      <c r="E210" s="145">
        <f>+VLOOKUP(A210,Clasificaciones!C:C,1,FALSE)</f>
        <v>2140203</v>
      </c>
      <c r="F210" s="147" t="s">
        <v>6</v>
      </c>
    </row>
    <row r="211" spans="1:6" ht="15" customHeight="1">
      <c r="A211" s="161">
        <v>21404</v>
      </c>
      <c r="B211" s="65" t="s">
        <v>868</v>
      </c>
      <c r="C211" s="65">
        <v>215576293</v>
      </c>
      <c r="D211" s="144">
        <v>31300.099999999973</v>
      </c>
      <c r="E211" s="145">
        <f>+VLOOKUP(A211,Clasificaciones!C:C,1,FALSE)</f>
        <v>21404</v>
      </c>
      <c r="F211" s="147" t="s">
        <v>6</v>
      </c>
    </row>
    <row r="212" spans="1:6" ht="15" customHeight="1">
      <c r="A212" s="161">
        <v>2140404</v>
      </c>
      <c r="B212" s="65" t="s">
        <v>180</v>
      </c>
      <c r="C212" s="65">
        <v>70938000</v>
      </c>
      <c r="D212" s="144">
        <v>10299.679999999993</v>
      </c>
      <c r="E212" s="145">
        <f>+VLOOKUP(A212,Clasificaciones!C:C,1,FALSE)</f>
        <v>2140404</v>
      </c>
      <c r="F212" s="147" t="s">
        <v>6</v>
      </c>
    </row>
    <row r="213" spans="1:6" ht="15" customHeight="1">
      <c r="A213" s="161">
        <v>2140413</v>
      </c>
      <c r="B213" s="65" t="s">
        <v>579</v>
      </c>
      <c r="C213" s="65">
        <v>6780241</v>
      </c>
      <c r="D213" s="144">
        <v>984.4399999999996</v>
      </c>
      <c r="E213" s="145">
        <f>+VLOOKUP(A213,Clasificaciones!C:C,1,FALSE)</f>
        <v>2140413</v>
      </c>
      <c r="F213" s="147" t="s">
        <v>229</v>
      </c>
    </row>
    <row r="214" spans="1:6" ht="15" customHeight="1">
      <c r="A214" s="161">
        <v>2140414</v>
      </c>
      <c r="B214" s="65" t="s">
        <v>628</v>
      </c>
      <c r="C214" s="65">
        <v>686536</v>
      </c>
      <c r="D214" s="144">
        <v>99.680000000000064</v>
      </c>
      <c r="E214" s="145">
        <f>+VLOOKUP(A214,Clasificaciones!C:C,1,FALSE)</f>
        <v>2140414</v>
      </c>
      <c r="F214" s="147" t="s">
        <v>6</v>
      </c>
    </row>
    <row r="215" spans="1:6" ht="15" customHeight="1">
      <c r="A215" s="161">
        <v>2140415</v>
      </c>
      <c r="B215" s="65" t="s">
        <v>1367</v>
      </c>
      <c r="C215" s="65">
        <v>50000000</v>
      </c>
      <c r="D215" s="144">
        <v>7259.64</v>
      </c>
      <c r="E215" s="145">
        <f>+VLOOKUP(A215,Clasificaciones!C:C,1,FALSE)</f>
        <v>2140415</v>
      </c>
      <c r="F215" s="147" t="s">
        <v>6</v>
      </c>
    </row>
    <row r="216" spans="1:6" ht="15" customHeight="1">
      <c r="A216" s="161">
        <v>2140417</v>
      </c>
      <c r="B216" s="65" t="s">
        <v>1418</v>
      </c>
      <c r="C216" s="65">
        <v>2899473</v>
      </c>
      <c r="D216" s="144">
        <v>420.98</v>
      </c>
      <c r="E216" s="145">
        <f>+VLOOKUP(A216,Clasificaciones!C:C,1,FALSE)</f>
        <v>2140417</v>
      </c>
      <c r="F216" s="147" t="s">
        <v>6</v>
      </c>
    </row>
    <row r="217" spans="1:6" ht="15" customHeight="1">
      <c r="A217" s="161">
        <v>2140418</v>
      </c>
      <c r="B217" s="65" t="s">
        <v>1419</v>
      </c>
      <c r="C217" s="65">
        <v>1599181</v>
      </c>
      <c r="D217" s="144">
        <v>232.19</v>
      </c>
      <c r="E217" s="145">
        <f>+VLOOKUP(A217,Clasificaciones!C:C,1,FALSE)</f>
        <v>2140418</v>
      </c>
      <c r="F217" s="147" t="s">
        <v>6</v>
      </c>
    </row>
    <row r="218" spans="1:6" s="889" customFormat="1" ht="15" customHeight="1">
      <c r="A218" s="161">
        <v>2140419</v>
      </c>
      <c r="B218" s="65" t="s">
        <v>1420</v>
      </c>
      <c r="C218" s="65">
        <v>80000000</v>
      </c>
      <c r="D218" s="144">
        <v>11615.41</v>
      </c>
      <c r="E218" s="889">
        <v>2140420</v>
      </c>
      <c r="F218" s="890" t="s">
        <v>229</v>
      </c>
    </row>
    <row r="219" spans="1:6" s="889" customFormat="1" ht="15" customHeight="1">
      <c r="A219" s="161">
        <v>2140420</v>
      </c>
      <c r="B219" s="65" t="s">
        <v>1421</v>
      </c>
      <c r="C219" s="65">
        <v>2672862</v>
      </c>
      <c r="D219" s="894">
        <v>388.08</v>
      </c>
      <c r="E219" s="889">
        <v>6</v>
      </c>
      <c r="F219" s="890" t="s">
        <v>6</v>
      </c>
    </row>
    <row r="220" spans="1:6" s="889" customFormat="1" ht="15" customHeight="1">
      <c r="A220" s="161">
        <v>6</v>
      </c>
      <c r="B220" s="65" t="s">
        <v>312</v>
      </c>
      <c r="C220" s="65">
        <v>203997974082</v>
      </c>
      <c r="D220" s="144">
        <v>29607643.579999998</v>
      </c>
      <c r="E220" s="889">
        <v>651</v>
      </c>
      <c r="F220" s="890" t="s">
        <v>6</v>
      </c>
    </row>
    <row r="221" spans="1:6" s="889" customFormat="1" ht="15" customHeight="1">
      <c r="A221" s="161">
        <v>651</v>
      </c>
      <c r="B221" s="65" t="s">
        <v>225</v>
      </c>
      <c r="C221" s="65">
        <v>203997974082</v>
      </c>
      <c r="D221" s="144">
        <v>29607643.579999998</v>
      </c>
      <c r="E221" s="889">
        <v>621</v>
      </c>
      <c r="F221" s="895" t="s">
        <v>6</v>
      </c>
    </row>
    <row r="222" spans="1:6" s="889" customFormat="1" ht="15" customHeight="1">
      <c r="A222" s="161">
        <v>7</v>
      </c>
      <c r="B222" s="65" t="s">
        <v>313</v>
      </c>
      <c r="C222" s="65">
        <v>203997974082</v>
      </c>
      <c r="D222" s="894">
        <v>29607643.579999998</v>
      </c>
      <c r="E222" s="889">
        <v>7</v>
      </c>
      <c r="F222" s="895" t="s">
        <v>6</v>
      </c>
    </row>
    <row r="223" spans="1:6" s="889" customFormat="1" ht="15" customHeight="1">
      <c r="A223" s="161">
        <v>751</v>
      </c>
      <c r="B223" s="65" t="s">
        <v>227</v>
      </c>
      <c r="C223" s="65">
        <v>203997974082</v>
      </c>
      <c r="D223" s="144">
        <v>29607643.579999998</v>
      </c>
      <c r="E223" s="889">
        <v>751</v>
      </c>
      <c r="F223" s="895" t="s">
        <v>6</v>
      </c>
    </row>
    <row r="224" spans="1:6" ht="15" customHeight="1">
      <c r="A224" s="161"/>
      <c r="B224" s="65"/>
      <c r="C224" s="65"/>
      <c r="D224" s="144"/>
      <c r="E224" s="145">
        <v>721</v>
      </c>
      <c r="F224" s="701" t="s">
        <v>6</v>
      </c>
    </row>
    <row r="225" spans="1:7" ht="15" customHeight="1">
      <c r="A225" s="161"/>
      <c r="B225" s="65"/>
      <c r="C225" s="155"/>
      <c r="D225" s="144"/>
      <c r="G225" s="146"/>
    </row>
    <row r="226" spans="1:7" ht="15" customHeight="1">
      <c r="A226" s="161">
        <v>3</v>
      </c>
      <c r="B226" s="65" t="s">
        <v>23</v>
      </c>
      <c r="C226" s="155">
        <v>30343385024</v>
      </c>
      <c r="D226" s="144">
        <v>4493804.6808000002</v>
      </c>
      <c r="E226" s="145">
        <f>+VLOOKUP(A226,Clasificaciones!C:C,1,FALSE)</f>
        <v>3</v>
      </c>
    </row>
    <row r="227" spans="1:7" ht="15" customHeight="1">
      <c r="A227" s="161">
        <v>310</v>
      </c>
      <c r="B227" s="65" t="s">
        <v>183</v>
      </c>
      <c r="C227" s="65">
        <v>27710000000</v>
      </c>
      <c r="D227" s="144">
        <v>4144475.0799999991</v>
      </c>
      <c r="E227" s="145">
        <f>+VLOOKUP(A227,Clasificaciones!C:C,1,FALSE)</f>
        <v>310</v>
      </c>
      <c r="F227" s="702"/>
      <c r="G227" s="146"/>
    </row>
    <row r="228" spans="1:7" ht="15" customHeight="1">
      <c r="A228" s="161">
        <v>310101</v>
      </c>
      <c r="B228" s="65" t="s">
        <v>557</v>
      </c>
      <c r="C228" s="65">
        <v>25000000000</v>
      </c>
      <c r="D228" s="144">
        <v>3821155.3299999991</v>
      </c>
      <c r="E228" s="145">
        <f>+VLOOKUP(A228,Clasificaciones!C:C,1,FALSE)</f>
        <v>310101</v>
      </c>
    </row>
    <row r="229" spans="1:7" ht="15" customHeight="1">
      <c r="A229" s="161">
        <v>31010101</v>
      </c>
      <c r="B229" s="65" t="s">
        <v>580</v>
      </c>
      <c r="C229" s="65">
        <v>30000000000</v>
      </c>
      <c r="D229" s="144">
        <v>4694965.97</v>
      </c>
      <c r="E229" s="145">
        <f>+VLOOKUP(A229,Clasificaciones!C:C,1,FALSE)</f>
        <v>31010101</v>
      </c>
    </row>
    <row r="230" spans="1:7" ht="15" customHeight="1">
      <c r="A230" s="161">
        <v>31010102</v>
      </c>
      <c r="B230" s="65" t="s">
        <v>583</v>
      </c>
      <c r="C230" s="65">
        <v>-5000000000</v>
      </c>
      <c r="D230" s="144">
        <v>-873810.64000000013</v>
      </c>
      <c r="E230" s="145">
        <f>+VLOOKUP(A230,Clasificaciones!C:C,1,FALSE)</f>
        <v>31010102</v>
      </c>
    </row>
    <row r="231" spans="1:7" ht="15" customHeight="1">
      <c r="A231" s="161">
        <v>310102</v>
      </c>
      <c r="B231" s="65" t="s">
        <v>311</v>
      </c>
      <c r="C231" s="65">
        <v>2710000000</v>
      </c>
      <c r="D231" s="144">
        <v>323319.75</v>
      </c>
      <c r="E231" s="145">
        <f>+VLOOKUP(A231,Clasificaciones!C:C,1,FALSE)</f>
        <v>310102</v>
      </c>
    </row>
    <row r="232" spans="1:7" ht="15" customHeight="1">
      <c r="A232" s="161">
        <v>31010201</v>
      </c>
      <c r="B232" s="65" t="s">
        <v>507</v>
      </c>
      <c r="C232" s="65">
        <v>2560000000</v>
      </c>
      <c r="D232" s="144">
        <v>301673.93</v>
      </c>
    </row>
    <row r="233" spans="1:7" ht="15" customHeight="1">
      <c r="A233" s="161">
        <v>31010202</v>
      </c>
      <c r="B233" s="65" t="s">
        <v>584</v>
      </c>
      <c r="C233" s="65">
        <v>150000000</v>
      </c>
      <c r="D233" s="144">
        <v>21645.82</v>
      </c>
    </row>
    <row r="234" spans="1:7" ht="15" customHeight="1">
      <c r="A234" s="161">
        <v>315</v>
      </c>
      <c r="B234" s="65" t="s">
        <v>12</v>
      </c>
      <c r="C234" s="65">
        <v>135909126</v>
      </c>
      <c r="D234" s="144">
        <v>15861.38</v>
      </c>
      <c r="E234" s="145">
        <f>+VLOOKUP(A234,Clasificaciones!C:C,1,FALSE)</f>
        <v>315</v>
      </c>
    </row>
    <row r="235" spans="1:7" ht="15" customHeight="1">
      <c r="A235" s="161">
        <v>31501</v>
      </c>
      <c r="B235" s="65" t="s">
        <v>185</v>
      </c>
      <c r="C235" s="65">
        <v>135603954</v>
      </c>
      <c r="D235" s="144">
        <v>15821.6</v>
      </c>
      <c r="E235" s="145">
        <f>+VLOOKUP(A235,Clasificaciones!C:C,1,FALSE)</f>
        <v>31501</v>
      </c>
    </row>
    <row r="236" spans="1:7" ht="15" customHeight="1">
      <c r="A236" s="161">
        <v>31503</v>
      </c>
      <c r="B236" s="65" t="s">
        <v>508</v>
      </c>
      <c r="C236" s="65">
        <v>305172</v>
      </c>
      <c r="D236" s="144">
        <v>39.78</v>
      </c>
      <c r="E236" s="145">
        <f>+VLOOKUP(A236,Clasificaciones!C:C,1,FALSE)</f>
        <v>31503</v>
      </c>
    </row>
    <row r="237" spans="1:7" ht="15" customHeight="1">
      <c r="A237" s="161">
        <v>316</v>
      </c>
      <c r="B237" s="65" t="s">
        <v>132</v>
      </c>
      <c r="C237" s="65">
        <v>2497475898</v>
      </c>
      <c r="D237" s="144">
        <v>333468.22080000001</v>
      </c>
      <c r="E237" s="145">
        <f>+VLOOKUP(A237,Clasificaciones!C:C,1,FALSE)</f>
        <v>316</v>
      </c>
    </row>
    <row r="238" spans="1:7" ht="15" customHeight="1">
      <c r="A238" s="161">
        <v>31602</v>
      </c>
      <c r="B238" s="65" t="s">
        <v>189</v>
      </c>
      <c r="C238" s="65">
        <v>2497475898</v>
      </c>
      <c r="D238" s="144">
        <v>333468.22080000001</v>
      </c>
      <c r="E238" s="145">
        <f>+VLOOKUP(A238,Clasificaciones!C:C,1,FALSE)</f>
        <v>31602</v>
      </c>
    </row>
    <row r="239" spans="1:7" ht="15" customHeight="1">
      <c r="A239" s="161">
        <v>4</v>
      </c>
      <c r="B239" s="65" t="s">
        <v>190</v>
      </c>
      <c r="C239" s="65">
        <v>26102949746</v>
      </c>
      <c r="D239" s="144">
        <v>5718699.4305999875</v>
      </c>
      <c r="E239" s="145">
        <f>+VLOOKUP(A239,Clasificaciones!C:C,1,FALSE)</f>
        <v>4</v>
      </c>
    </row>
    <row r="240" spans="1:7" ht="15" customHeight="1">
      <c r="A240" s="161">
        <v>401</v>
      </c>
      <c r="B240" s="65" t="s">
        <v>870</v>
      </c>
      <c r="C240" s="65">
        <v>1851219338</v>
      </c>
      <c r="D240" s="144">
        <v>276327.81000000238</v>
      </c>
      <c r="E240" s="145">
        <f>+VLOOKUP(A240,Clasificaciones!C:C,1,FALSE)</f>
        <v>401</v>
      </c>
    </row>
    <row r="241" spans="1:5" ht="15" customHeight="1">
      <c r="A241" s="161">
        <v>40101</v>
      </c>
      <c r="B241" s="65" t="s">
        <v>111</v>
      </c>
      <c r="C241" s="65">
        <v>653471613</v>
      </c>
      <c r="D241" s="144">
        <v>98027.519999995828</v>
      </c>
      <c r="E241" s="145">
        <f>+VLOOKUP(A241,Clasificaciones!C:C,1,FALSE)</f>
        <v>40101</v>
      </c>
    </row>
    <row r="242" spans="1:5" ht="15" customHeight="1">
      <c r="A242" s="161">
        <v>4010101</v>
      </c>
      <c r="B242" s="65" t="s">
        <v>871</v>
      </c>
      <c r="C242" s="65">
        <v>47672139</v>
      </c>
      <c r="D242" s="144">
        <v>7075.28</v>
      </c>
      <c r="E242" s="145">
        <f>+VLOOKUP(A242,Clasificaciones!C:C,1,FALSE)</f>
        <v>4010101</v>
      </c>
    </row>
    <row r="243" spans="1:5" ht="15" customHeight="1">
      <c r="A243" s="161">
        <v>401010101</v>
      </c>
      <c r="B243" s="65" t="s">
        <v>872</v>
      </c>
      <c r="C243" s="65">
        <v>47672139</v>
      </c>
      <c r="D243" s="144">
        <v>7075.28</v>
      </c>
      <c r="E243" s="145">
        <f>+VLOOKUP(A243,Clasificaciones!C:C,1,FALSE)</f>
        <v>401010101</v>
      </c>
    </row>
    <row r="244" spans="1:5" ht="15" customHeight="1">
      <c r="A244" s="161">
        <v>4010102</v>
      </c>
      <c r="B244" s="65" t="s">
        <v>873</v>
      </c>
      <c r="C244" s="65">
        <v>605799474</v>
      </c>
      <c r="D244" s="144">
        <v>90952.239999999991</v>
      </c>
      <c r="E244" s="145">
        <f>+VLOOKUP(A244,Clasificaciones!C:C,1,FALSE)</f>
        <v>4010102</v>
      </c>
    </row>
    <row r="245" spans="1:5" ht="15" customHeight="1">
      <c r="A245" s="161">
        <v>401010201</v>
      </c>
      <c r="B245" s="65" t="s">
        <v>874</v>
      </c>
      <c r="C245" s="65">
        <v>448405560</v>
      </c>
      <c r="D245" s="144">
        <v>67395.41</v>
      </c>
      <c r="E245" s="145">
        <f>+VLOOKUP(A245,Clasificaciones!C:C,1,FALSE)</f>
        <v>401010201</v>
      </c>
    </row>
    <row r="246" spans="1:5" ht="15" customHeight="1">
      <c r="A246" s="161">
        <v>401010202</v>
      </c>
      <c r="B246" s="65" t="s">
        <v>875</v>
      </c>
      <c r="C246" s="65">
        <v>157393914</v>
      </c>
      <c r="D246" s="144">
        <v>23556.83</v>
      </c>
      <c r="E246" s="145">
        <f>+VLOOKUP(A246,Clasificaciones!C:C,1,FALSE)</f>
        <v>401010202</v>
      </c>
    </row>
    <row r="247" spans="1:5" ht="15" customHeight="1">
      <c r="A247" s="161">
        <v>40103</v>
      </c>
      <c r="B247" s="65" t="s">
        <v>877</v>
      </c>
      <c r="C247" s="65">
        <v>1197747725</v>
      </c>
      <c r="D247" s="144">
        <v>178300.29</v>
      </c>
      <c r="E247" s="145">
        <f>+VLOOKUP(A247,Clasificaciones!C:C,1,FALSE)</f>
        <v>40103</v>
      </c>
    </row>
    <row r="248" spans="1:5" ht="15" customHeight="1">
      <c r="A248" s="161">
        <v>4010301</v>
      </c>
      <c r="B248" s="65" t="s">
        <v>1422</v>
      </c>
      <c r="C248" s="65">
        <v>500000000</v>
      </c>
      <c r="D248" s="144">
        <v>76535.320000000007</v>
      </c>
      <c r="E248" s="145">
        <f>+VLOOKUP(A248,Clasificaciones!C:C,1,FALSE)</f>
        <v>4010301</v>
      </c>
    </row>
    <row r="249" spans="1:5" ht="15" customHeight="1">
      <c r="A249" s="161">
        <v>4010302</v>
      </c>
      <c r="B249" s="65" t="s">
        <v>1423</v>
      </c>
      <c r="C249" s="65">
        <v>660247725</v>
      </c>
      <c r="D249" s="144">
        <v>96250</v>
      </c>
      <c r="E249" s="145">
        <f>+VLOOKUP(A249,Clasificaciones!C:C,1,FALSE)</f>
        <v>4010302</v>
      </c>
    </row>
    <row r="250" spans="1:5" ht="15" customHeight="1">
      <c r="A250" s="161">
        <v>4010303</v>
      </c>
      <c r="B250" s="65" t="s">
        <v>1424</v>
      </c>
      <c r="C250" s="65">
        <v>37500000</v>
      </c>
      <c r="D250" s="144">
        <v>5514.97</v>
      </c>
      <c r="E250" s="145">
        <f>+VLOOKUP(A250,Clasificaciones!C:C,1,FALSE)</f>
        <v>4010303</v>
      </c>
    </row>
    <row r="251" spans="1:5" ht="15" customHeight="1">
      <c r="A251" s="161">
        <v>402</v>
      </c>
      <c r="B251" s="65" t="s">
        <v>879</v>
      </c>
      <c r="C251" s="65">
        <v>407255494</v>
      </c>
      <c r="D251" s="144">
        <v>60094.19</v>
      </c>
      <c r="E251" s="145">
        <f>+VLOOKUP(A251,Clasificaciones!C:C,1,FALSE)</f>
        <v>402</v>
      </c>
    </row>
    <row r="252" spans="1:5" ht="15" customHeight="1">
      <c r="A252" s="161">
        <v>40202</v>
      </c>
      <c r="B252" s="65" t="s">
        <v>1171</v>
      </c>
      <c r="C252" s="65">
        <v>636364</v>
      </c>
      <c r="D252" s="144">
        <v>94.19</v>
      </c>
      <c r="E252" s="145">
        <f>+VLOOKUP(A252,Clasificaciones!C:C,1,FALSE)</f>
        <v>40202</v>
      </c>
    </row>
    <row r="253" spans="1:5" ht="15" customHeight="1">
      <c r="A253" s="161">
        <v>40203</v>
      </c>
      <c r="B253" s="65" t="s">
        <v>880</v>
      </c>
      <c r="C253" s="65">
        <v>406619130</v>
      </c>
      <c r="D253" s="144">
        <v>60000</v>
      </c>
      <c r="E253" s="145">
        <f>+VLOOKUP(A253,Clasificaciones!C:C,1,FALSE)</f>
        <v>40203</v>
      </c>
    </row>
    <row r="254" spans="1:5" ht="15" customHeight="1">
      <c r="A254" s="161">
        <v>4020302</v>
      </c>
      <c r="B254" s="65" t="s">
        <v>881</v>
      </c>
      <c r="C254" s="65">
        <v>406619130</v>
      </c>
      <c r="D254" s="144">
        <v>60000</v>
      </c>
      <c r="E254" s="145">
        <f>+VLOOKUP(A254,Clasificaciones!C:C,1,FALSE)</f>
        <v>4020302</v>
      </c>
    </row>
    <row r="255" spans="1:5" ht="15" customHeight="1">
      <c r="A255" s="161">
        <v>403</v>
      </c>
      <c r="B255" s="65" t="s">
        <v>882</v>
      </c>
      <c r="C255" s="65">
        <v>17892254487</v>
      </c>
      <c r="D255" s="144">
        <v>2644031.9900000002</v>
      </c>
      <c r="E255" s="145">
        <f>+VLOOKUP(A255,Clasificaciones!C:C,1,FALSE)</f>
        <v>403</v>
      </c>
    </row>
    <row r="256" spans="1:5" ht="15" customHeight="1">
      <c r="A256" s="161">
        <v>40301</v>
      </c>
      <c r="B256" s="65" t="s">
        <v>883</v>
      </c>
      <c r="C256" s="65">
        <v>2776519532</v>
      </c>
      <c r="D256" s="144">
        <v>407548.49</v>
      </c>
      <c r="E256" s="145">
        <f>+VLOOKUP(A256,Clasificaciones!C:C,1,FALSE)</f>
        <v>40301</v>
      </c>
    </row>
    <row r="257" spans="1:5" ht="15" customHeight="1">
      <c r="A257" s="161">
        <v>4030101</v>
      </c>
      <c r="B257" s="65" t="s">
        <v>883</v>
      </c>
      <c r="C257" s="65">
        <v>2776323916</v>
      </c>
      <c r="D257" s="144">
        <v>407520.26</v>
      </c>
      <c r="E257" s="145">
        <f>+VLOOKUP(A257,Clasificaciones!C:C,1,FALSE)</f>
        <v>4030101</v>
      </c>
    </row>
    <row r="258" spans="1:5" ht="15" customHeight="1">
      <c r="A258" s="161">
        <v>403010101</v>
      </c>
      <c r="B258" s="65" t="s">
        <v>884</v>
      </c>
      <c r="C258" s="65">
        <v>527403157</v>
      </c>
      <c r="D258" s="144">
        <v>76813.100000000006</v>
      </c>
      <c r="E258" s="145">
        <f>+VLOOKUP(A258,Clasificaciones!C:C,1,FALSE)</f>
        <v>403010101</v>
      </c>
    </row>
    <row r="259" spans="1:5" ht="15" customHeight="1">
      <c r="A259" s="161">
        <v>403010103</v>
      </c>
      <c r="B259" s="65" t="s">
        <v>885</v>
      </c>
      <c r="C259" s="65">
        <v>31332712</v>
      </c>
      <c r="D259" s="144">
        <v>4611</v>
      </c>
      <c r="E259" s="145">
        <f>+VLOOKUP(A259,Clasificaciones!C:C,1,FALSE)</f>
        <v>403010103</v>
      </c>
    </row>
    <row r="260" spans="1:5" ht="15" customHeight="1">
      <c r="A260" s="161">
        <v>403010104</v>
      </c>
      <c r="B260" s="65" t="s">
        <v>886</v>
      </c>
      <c r="C260" s="65">
        <v>27130882</v>
      </c>
      <c r="D260" s="144">
        <v>3993.04</v>
      </c>
      <c r="E260" s="145">
        <f>+VLOOKUP(A260,Clasificaciones!C:C,1,FALSE)</f>
        <v>403010104</v>
      </c>
    </row>
    <row r="261" spans="1:5" ht="15" customHeight="1">
      <c r="A261" s="161">
        <v>403010105</v>
      </c>
      <c r="B261" s="65" t="s">
        <v>887</v>
      </c>
      <c r="C261" s="65">
        <v>627968163</v>
      </c>
      <c r="D261" s="144">
        <v>91996.47</v>
      </c>
      <c r="E261" s="145">
        <f>+VLOOKUP(A261,Clasificaciones!C:C,1,FALSE)</f>
        <v>403010105</v>
      </c>
    </row>
    <row r="262" spans="1:5" ht="15" customHeight="1">
      <c r="A262" s="161">
        <v>403010106</v>
      </c>
      <c r="B262" s="65" t="s">
        <v>773</v>
      </c>
      <c r="C262" s="65">
        <v>192561482</v>
      </c>
      <c r="D262" s="144">
        <v>29045.93</v>
      </c>
      <c r="E262" s="145">
        <f>+VLOOKUP(A262,Clasificaciones!C:C,1,FALSE)</f>
        <v>403010106</v>
      </c>
    </row>
    <row r="263" spans="1:5" ht="15" customHeight="1">
      <c r="A263" s="161">
        <v>403010107</v>
      </c>
      <c r="B263" s="65" t="s">
        <v>888</v>
      </c>
      <c r="C263" s="65">
        <v>923827093</v>
      </c>
      <c r="D263" s="144">
        <v>135701.78999999998</v>
      </c>
      <c r="E263" s="145">
        <f>+VLOOKUP(A263,Clasificaciones!C:C,1,FALSE)</f>
        <v>403010107</v>
      </c>
    </row>
    <row r="264" spans="1:5" ht="15" customHeight="1">
      <c r="A264" s="161">
        <v>403010108</v>
      </c>
      <c r="B264" s="65" t="s">
        <v>889</v>
      </c>
      <c r="C264" s="65">
        <v>2986304</v>
      </c>
      <c r="D264" s="144">
        <v>434.12</v>
      </c>
      <c r="E264" s="145">
        <f>+VLOOKUP(A264,Clasificaciones!C:C,1,FALSE)</f>
        <v>403010108</v>
      </c>
    </row>
    <row r="265" spans="1:5" ht="15" customHeight="1">
      <c r="A265" s="161">
        <v>403010109</v>
      </c>
      <c r="B265" s="65" t="s">
        <v>890</v>
      </c>
      <c r="C265" s="65">
        <v>848877</v>
      </c>
      <c r="D265" s="144">
        <v>131.29</v>
      </c>
      <c r="E265" s="145">
        <f>+VLOOKUP(A265,Clasificaciones!C:C,1,FALSE)</f>
        <v>403010109</v>
      </c>
    </row>
    <row r="266" spans="1:5" ht="15" customHeight="1">
      <c r="A266" s="161">
        <v>403010114</v>
      </c>
      <c r="B266" s="65" t="s">
        <v>891</v>
      </c>
      <c r="C266" s="65">
        <v>866853</v>
      </c>
      <c r="D266" s="144">
        <v>129.96</v>
      </c>
      <c r="E266" s="145">
        <f>+VLOOKUP(A266,Clasificaciones!C:C,1,FALSE)</f>
        <v>403010114</v>
      </c>
    </row>
    <row r="267" spans="1:5" ht="15" customHeight="1">
      <c r="A267" s="161">
        <v>403010116</v>
      </c>
      <c r="B267" s="65" t="s">
        <v>892</v>
      </c>
      <c r="C267" s="65">
        <v>22733755</v>
      </c>
      <c r="D267" s="144">
        <v>3360.02</v>
      </c>
      <c r="E267" s="145">
        <f>+VLOOKUP(A267,Clasificaciones!C:C,1,FALSE)</f>
        <v>403010116</v>
      </c>
    </row>
    <row r="268" spans="1:5" ht="15" customHeight="1">
      <c r="A268" s="161">
        <v>403010117</v>
      </c>
      <c r="B268" s="65" t="s">
        <v>893</v>
      </c>
      <c r="C268" s="65">
        <v>297165671</v>
      </c>
      <c r="D268" s="144">
        <v>43412.79</v>
      </c>
      <c r="E268" s="145">
        <f>+VLOOKUP(A268,Clasificaciones!C:C,1,FALSE)</f>
        <v>403010117</v>
      </c>
    </row>
    <row r="269" spans="1:5" ht="15" customHeight="1">
      <c r="A269" s="161">
        <v>403010118</v>
      </c>
      <c r="B269" s="65" t="s">
        <v>894</v>
      </c>
      <c r="C269" s="65">
        <v>115351496</v>
      </c>
      <c r="D269" s="144">
        <v>16979.25</v>
      </c>
      <c r="E269" s="145">
        <f>+VLOOKUP(A269,Clasificaciones!C:C,1,FALSE)</f>
        <v>403010118</v>
      </c>
    </row>
    <row r="270" spans="1:5" ht="15" customHeight="1">
      <c r="A270" s="161">
        <v>403010129</v>
      </c>
      <c r="B270" s="65" t="s">
        <v>895</v>
      </c>
      <c r="C270" s="65">
        <v>6147471</v>
      </c>
      <c r="D270" s="144">
        <v>911.5</v>
      </c>
      <c r="E270" s="145">
        <f>+VLOOKUP(A270,Clasificaciones!C:C,1,FALSE)</f>
        <v>403010129</v>
      </c>
    </row>
    <row r="271" spans="1:5" ht="15" customHeight="1">
      <c r="A271" s="161">
        <v>4030102</v>
      </c>
      <c r="B271" s="65" t="s">
        <v>896</v>
      </c>
      <c r="C271" s="65">
        <v>195616</v>
      </c>
      <c r="D271" s="144">
        <v>28.23</v>
      </c>
      <c r="E271" s="145">
        <f>+VLOOKUP(A271,Clasificaciones!C:C,1,FALSE)</f>
        <v>4030102</v>
      </c>
    </row>
    <row r="272" spans="1:5" ht="15" customHeight="1">
      <c r="A272" s="161">
        <v>403010201</v>
      </c>
      <c r="B272" s="65" t="s">
        <v>896</v>
      </c>
      <c r="C272" s="65">
        <v>195616</v>
      </c>
      <c r="D272" s="144">
        <v>28.23</v>
      </c>
      <c r="E272" s="145">
        <f>+VLOOKUP(A272,Clasificaciones!C:C,1,FALSE)</f>
        <v>403010201</v>
      </c>
    </row>
    <row r="273" spans="1:5" ht="15" customHeight="1">
      <c r="A273" s="161">
        <v>40302</v>
      </c>
      <c r="B273" s="65" t="s">
        <v>897</v>
      </c>
      <c r="C273" s="65">
        <v>15115734955</v>
      </c>
      <c r="D273" s="144">
        <v>2236483.5</v>
      </c>
      <c r="E273" s="145">
        <f>+VLOOKUP(A273,Clasificaciones!C:C,1,FALSE)</f>
        <v>40302</v>
      </c>
    </row>
    <row r="274" spans="1:5" ht="15" customHeight="1">
      <c r="A274" s="161">
        <v>4030201</v>
      </c>
      <c r="B274" s="65" t="s">
        <v>898</v>
      </c>
      <c r="C274" s="65">
        <v>15115469650</v>
      </c>
      <c r="D274" s="144">
        <v>2236444.7800000003</v>
      </c>
      <c r="E274" s="145">
        <f>+VLOOKUP(A274,Clasificaciones!C:C,1,FALSE)</f>
        <v>4030201</v>
      </c>
    </row>
    <row r="275" spans="1:5" ht="15" customHeight="1">
      <c r="A275" s="161">
        <v>403020101</v>
      </c>
      <c r="B275" s="65" t="s">
        <v>884</v>
      </c>
      <c r="C275" s="65">
        <v>287339506</v>
      </c>
      <c r="D275" s="144">
        <v>42626.12</v>
      </c>
      <c r="E275" s="145">
        <f>+VLOOKUP(A275,Clasificaciones!C:C,1,FALSE)</f>
        <v>403020101</v>
      </c>
    </row>
    <row r="276" spans="1:5" ht="15" customHeight="1">
      <c r="A276" s="161">
        <v>403020102</v>
      </c>
      <c r="B276" s="65" t="s">
        <v>899</v>
      </c>
      <c r="C276" s="65">
        <v>50810352</v>
      </c>
      <c r="D276" s="144">
        <v>7549.27</v>
      </c>
      <c r="E276" s="145">
        <f>+VLOOKUP(A276,Clasificaciones!C:C,1,FALSE)</f>
        <v>403020102</v>
      </c>
    </row>
    <row r="277" spans="1:5" ht="15" customHeight="1">
      <c r="A277" s="161">
        <v>403020103</v>
      </c>
      <c r="B277" s="65" t="s">
        <v>885</v>
      </c>
      <c r="C277" s="65">
        <v>26698767</v>
      </c>
      <c r="D277" s="144">
        <v>3839.49</v>
      </c>
      <c r="E277" s="145">
        <f>+VLOOKUP(A277,Clasificaciones!C:C,1,FALSE)</f>
        <v>403020103</v>
      </c>
    </row>
    <row r="278" spans="1:5" ht="15" customHeight="1">
      <c r="A278" s="161">
        <v>403020104</v>
      </c>
      <c r="B278" s="65" t="s">
        <v>900</v>
      </c>
      <c r="C278" s="65">
        <v>1045538193</v>
      </c>
      <c r="D278" s="144">
        <v>154679.19</v>
      </c>
      <c r="E278" s="145">
        <f>+VLOOKUP(A278,Clasificaciones!C:C,1,FALSE)</f>
        <v>403020104</v>
      </c>
    </row>
    <row r="279" spans="1:5" ht="15" customHeight="1">
      <c r="A279" s="161">
        <v>403020105</v>
      </c>
      <c r="B279" s="65" t="s">
        <v>887</v>
      </c>
      <c r="C279" s="65">
        <v>2031005218</v>
      </c>
      <c r="D279" s="144">
        <v>297604.07</v>
      </c>
      <c r="E279" s="145">
        <f>+VLOOKUP(A279,Clasificaciones!C:C,1,FALSE)</f>
        <v>403020105</v>
      </c>
    </row>
    <row r="280" spans="1:5" ht="15" customHeight="1">
      <c r="A280" s="161">
        <v>403020106</v>
      </c>
      <c r="B280" s="65" t="s">
        <v>773</v>
      </c>
      <c r="C280" s="65">
        <v>2040036768</v>
      </c>
      <c r="D280" s="144">
        <v>301940.08</v>
      </c>
      <c r="E280" s="145">
        <f>+VLOOKUP(A280,Clasificaciones!C:C,1,FALSE)</f>
        <v>403020106</v>
      </c>
    </row>
    <row r="281" spans="1:5" ht="15" customHeight="1">
      <c r="A281" s="161">
        <v>403020107</v>
      </c>
      <c r="B281" s="65" t="s">
        <v>888</v>
      </c>
      <c r="C281" s="65">
        <v>1631143199</v>
      </c>
      <c r="D281" s="144">
        <v>241578.48</v>
      </c>
      <c r="E281" s="145">
        <f>+VLOOKUP(A281,Clasificaciones!C:C,1,FALSE)</f>
        <v>403020107</v>
      </c>
    </row>
    <row r="282" spans="1:5" ht="15" customHeight="1">
      <c r="A282" s="161">
        <v>403020108</v>
      </c>
      <c r="B282" s="65" t="s">
        <v>889</v>
      </c>
      <c r="C282" s="65">
        <v>148298340</v>
      </c>
      <c r="D282" s="144">
        <v>21466.48</v>
      </c>
      <c r="E282" s="145">
        <f>+VLOOKUP(A282,Clasificaciones!C:C,1,FALSE)</f>
        <v>403020108</v>
      </c>
    </row>
    <row r="283" spans="1:5" ht="15" customHeight="1">
      <c r="A283" s="161">
        <v>403020109</v>
      </c>
      <c r="B283" s="65" t="s">
        <v>890</v>
      </c>
      <c r="C283" s="65">
        <v>4845379</v>
      </c>
      <c r="D283" s="144">
        <v>743.64</v>
      </c>
      <c r="E283" s="145">
        <f>+VLOOKUP(A283,Clasificaciones!C:C,1,FALSE)</f>
        <v>403020109</v>
      </c>
    </row>
    <row r="284" spans="1:5" ht="15" customHeight="1">
      <c r="A284" s="161">
        <v>403020113</v>
      </c>
      <c r="B284" s="65" t="s">
        <v>901</v>
      </c>
      <c r="C284" s="65">
        <v>1138</v>
      </c>
      <c r="D284" s="144">
        <v>0.16</v>
      </c>
      <c r="E284" s="145">
        <f>+VLOOKUP(A284,Clasificaciones!C:C,1,FALSE)</f>
        <v>403020113</v>
      </c>
    </row>
    <row r="285" spans="1:5" ht="15" customHeight="1">
      <c r="A285" s="161">
        <v>403020117</v>
      </c>
      <c r="B285" s="65" t="s">
        <v>893</v>
      </c>
      <c r="C285" s="65">
        <v>5033923127</v>
      </c>
      <c r="D285" s="144">
        <v>746108.57</v>
      </c>
      <c r="E285" s="145">
        <f>+VLOOKUP(A285,Clasificaciones!C:C,1,FALSE)</f>
        <v>403020117</v>
      </c>
    </row>
    <row r="286" spans="1:5" ht="15" customHeight="1">
      <c r="A286" s="161">
        <v>403020118</v>
      </c>
      <c r="B286" s="65" t="s">
        <v>894</v>
      </c>
      <c r="C286" s="65">
        <v>326940640</v>
      </c>
      <c r="D286" s="144">
        <v>50346.49</v>
      </c>
      <c r="E286" s="145">
        <f>+VLOOKUP(A286,Clasificaciones!C:C,1,FALSE)</f>
        <v>403020118</v>
      </c>
    </row>
    <row r="287" spans="1:5" ht="15" customHeight="1">
      <c r="A287" s="161">
        <v>403020119</v>
      </c>
      <c r="B287" s="65" t="s">
        <v>1174</v>
      </c>
      <c r="C287" s="65">
        <v>1253618015</v>
      </c>
      <c r="D287" s="144">
        <v>189291.86</v>
      </c>
      <c r="E287" s="145">
        <f>+VLOOKUP(A287,Clasificaciones!C:C,1,FALSE)</f>
        <v>403020119</v>
      </c>
    </row>
    <row r="288" spans="1:5" ht="15" customHeight="1">
      <c r="A288" s="161">
        <v>403020121</v>
      </c>
      <c r="B288" s="65" t="s">
        <v>902</v>
      </c>
      <c r="C288" s="65">
        <v>226700074</v>
      </c>
      <c r="D288" s="144">
        <v>32436.77</v>
      </c>
      <c r="E288" s="145">
        <f>+VLOOKUP(A288,Clasificaciones!C:C,1,FALSE)</f>
        <v>403020121</v>
      </c>
    </row>
    <row r="289" spans="1:5" ht="15" customHeight="1">
      <c r="A289" s="161">
        <v>403020129</v>
      </c>
      <c r="B289" s="65" t="s">
        <v>895</v>
      </c>
      <c r="C289" s="65">
        <v>347379263</v>
      </c>
      <c r="D289" s="144">
        <v>50485.440000000002</v>
      </c>
      <c r="E289" s="145">
        <f>+VLOOKUP(A289,Clasificaciones!C:C,1,FALSE)</f>
        <v>403020129</v>
      </c>
    </row>
    <row r="290" spans="1:5" ht="15" customHeight="1">
      <c r="A290" s="161">
        <v>403020131</v>
      </c>
      <c r="B290" s="65" t="s">
        <v>903</v>
      </c>
      <c r="C290" s="65">
        <v>51189968</v>
      </c>
      <c r="D290" s="144">
        <v>7631.38</v>
      </c>
      <c r="E290" s="145">
        <f>+VLOOKUP(A290,Clasificaciones!C:C,1,FALSE)</f>
        <v>403020131</v>
      </c>
    </row>
    <row r="291" spans="1:5" ht="15" customHeight="1">
      <c r="A291" s="161">
        <v>403020133</v>
      </c>
      <c r="B291" s="65" t="s">
        <v>904</v>
      </c>
      <c r="C291" s="65">
        <v>610001703</v>
      </c>
      <c r="D291" s="144">
        <v>88117.29</v>
      </c>
      <c r="E291" s="145">
        <f>+VLOOKUP(A291,Clasificaciones!C:C,1,FALSE)</f>
        <v>403020133</v>
      </c>
    </row>
    <row r="292" spans="1:5" ht="15" customHeight="1">
      <c r="A292" s="161">
        <v>4030202</v>
      </c>
      <c r="B292" s="65" t="s">
        <v>1186</v>
      </c>
      <c r="C292" s="65">
        <v>265305</v>
      </c>
      <c r="D292" s="144">
        <v>38.72</v>
      </c>
      <c r="E292" s="145">
        <f>+VLOOKUP(A292,Clasificaciones!C:C,1,FALSE)</f>
        <v>4030202</v>
      </c>
    </row>
    <row r="293" spans="1:5" ht="15" customHeight="1">
      <c r="A293" s="161">
        <v>403020202</v>
      </c>
      <c r="B293" s="65" t="s">
        <v>899</v>
      </c>
      <c r="C293" s="65">
        <v>265305</v>
      </c>
      <c r="D293" s="144">
        <v>38.72</v>
      </c>
      <c r="E293" s="145">
        <f>+VLOOKUP(A293,Clasificaciones!C:C,1,FALSE)</f>
        <v>403020202</v>
      </c>
    </row>
    <row r="294" spans="1:5" ht="15" customHeight="1">
      <c r="A294" s="161">
        <v>404</v>
      </c>
      <c r="B294" s="65" t="s">
        <v>1187</v>
      </c>
      <c r="C294" s="65">
        <v>82584075</v>
      </c>
      <c r="D294" s="144">
        <v>12000</v>
      </c>
      <c r="E294" s="145">
        <f>+VLOOKUP(A294,Clasificaciones!C:C,1,FALSE)</f>
        <v>404</v>
      </c>
    </row>
    <row r="295" spans="1:5" ht="15" customHeight="1">
      <c r="A295" s="161">
        <v>40401</v>
      </c>
      <c r="B295" s="65" t="s">
        <v>1188</v>
      </c>
      <c r="C295" s="65">
        <v>82584075</v>
      </c>
      <c r="D295" s="144">
        <v>12000</v>
      </c>
      <c r="E295" s="145">
        <f>+VLOOKUP(A295,Clasificaciones!C:C,1,FALSE)</f>
        <v>40401</v>
      </c>
    </row>
    <row r="296" spans="1:5" ht="15" customHeight="1">
      <c r="A296" s="161">
        <v>4040101</v>
      </c>
      <c r="B296" s="65" t="s">
        <v>1425</v>
      </c>
      <c r="C296" s="65">
        <v>11011210</v>
      </c>
      <c r="D296" s="144">
        <v>1600</v>
      </c>
      <c r="E296" s="145">
        <f>+VLOOKUP(A296,Clasificaciones!C:C,1,FALSE)</f>
        <v>4040101</v>
      </c>
    </row>
    <row r="297" spans="1:5" ht="15" customHeight="1">
      <c r="A297" s="161">
        <v>4040102</v>
      </c>
      <c r="B297" s="65" t="s">
        <v>1426</v>
      </c>
      <c r="C297" s="65">
        <v>16516815</v>
      </c>
      <c r="D297" s="144">
        <v>2400</v>
      </c>
      <c r="E297" s="145">
        <f>+VLOOKUP(A297,Clasificaciones!C:C,1,FALSE)</f>
        <v>4040102</v>
      </c>
    </row>
    <row r="298" spans="1:5" ht="15" customHeight="1">
      <c r="A298" s="161">
        <v>4040103</v>
      </c>
      <c r="B298" s="65" t="s">
        <v>1427</v>
      </c>
      <c r="C298" s="65">
        <v>55056050</v>
      </c>
      <c r="D298" s="144">
        <v>8000</v>
      </c>
      <c r="E298" s="145">
        <f>+VLOOKUP(A298,Clasificaciones!C:C,1,FALSE)</f>
        <v>4040103</v>
      </c>
    </row>
    <row r="299" spans="1:5" ht="15" customHeight="1">
      <c r="A299" s="161">
        <v>406</v>
      </c>
      <c r="B299" s="65" t="s">
        <v>905</v>
      </c>
      <c r="C299" s="65">
        <v>120379525</v>
      </c>
      <c r="D299" s="144">
        <v>17857.189999999999</v>
      </c>
      <c r="E299" s="145">
        <f>+VLOOKUP(A299,Clasificaciones!C:C,1,FALSE)</f>
        <v>406</v>
      </c>
    </row>
    <row r="300" spans="1:5" ht="15" customHeight="1">
      <c r="A300" s="161">
        <v>40601</v>
      </c>
      <c r="B300" s="65" t="s">
        <v>1189</v>
      </c>
      <c r="C300" s="65">
        <v>11000000</v>
      </c>
      <c r="D300" s="144">
        <v>1607.73</v>
      </c>
      <c r="E300" s="145">
        <f>+VLOOKUP(A300,Clasificaciones!C:C,1,FALSE)</f>
        <v>40601</v>
      </c>
    </row>
    <row r="301" spans="1:5" ht="15" customHeight="1">
      <c r="A301" s="161">
        <v>4060101</v>
      </c>
      <c r="B301" s="65" t="s">
        <v>1190</v>
      </c>
      <c r="C301" s="65">
        <v>11000000</v>
      </c>
      <c r="D301" s="144">
        <v>1607.73</v>
      </c>
      <c r="E301" s="145">
        <f>+VLOOKUP(A301,Clasificaciones!C:C,1,FALSE)</f>
        <v>4060101</v>
      </c>
    </row>
    <row r="302" spans="1:5" ht="15" customHeight="1">
      <c r="A302" s="161">
        <v>40604</v>
      </c>
      <c r="B302" s="65" t="s">
        <v>906</v>
      </c>
      <c r="C302" s="65">
        <v>85876334</v>
      </c>
      <c r="D302" s="144">
        <v>12762.279999999999</v>
      </c>
      <c r="E302" s="145">
        <f>+VLOOKUP(A302,Clasificaciones!C:C,1,FALSE)</f>
        <v>40604</v>
      </c>
    </row>
    <row r="303" spans="1:5" ht="15" customHeight="1">
      <c r="A303" s="161">
        <v>4060401</v>
      </c>
      <c r="B303" s="65" t="s">
        <v>907</v>
      </c>
      <c r="C303" s="65">
        <v>77220978</v>
      </c>
      <c r="D303" s="144">
        <v>11473.050000000001</v>
      </c>
      <c r="E303" s="145">
        <f>+VLOOKUP(A303,Clasificaciones!C:C,1,FALSE)</f>
        <v>4060401</v>
      </c>
    </row>
    <row r="304" spans="1:5" ht="15" customHeight="1">
      <c r="A304" s="161">
        <v>4060402</v>
      </c>
      <c r="B304" s="65" t="s">
        <v>908</v>
      </c>
      <c r="C304" s="65">
        <v>8655356</v>
      </c>
      <c r="D304" s="144">
        <v>1289.23</v>
      </c>
      <c r="E304" s="145">
        <f>+VLOOKUP(A304,Clasificaciones!C:C,1,FALSE)</f>
        <v>4060402</v>
      </c>
    </row>
    <row r="305" spans="1:5" ht="15" customHeight="1">
      <c r="A305" s="161">
        <v>40605</v>
      </c>
      <c r="B305" s="65" t="s">
        <v>284</v>
      </c>
      <c r="C305" s="65">
        <v>21218666</v>
      </c>
      <c r="D305" s="144">
        <v>3153.09</v>
      </c>
      <c r="E305" s="145">
        <f>+VLOOKUP(A305,Clasificaciones!C:C,1,FALSE)</f>
        <v>40605</v>
      </c>
    </row>
    <row r="306" spans="1:5" ht="15" customHeight="1">
      <c r="A306" s="161">
        <v>4060501</v>
      </c>
      <c r="B306" s="65" t="s">
        <v>909</v>
      </c>
      <c r="C306" s="65">
        <v>19128253</v>
      </c>
      <c r="D306" s="144">
        <v>2841.54</v>
      </c>
      <c r="E306" s="145">
        <f>+VLOOKUP(A306,Clasificaciones!C:C,1,FALSE)</f>
        <v>4060501</v>
      </c>
    </row>
    <row r="307" spans="1:5" ht="15" customHeight="1">
      <c r="A307" s="161">
        <v>4060502</v>
      </c>
      <c r="B307" s="65" t="s">
        <v>910</v>
      </c>
      <c r="C307" s="65">
        <v>2090413</v>
      </c>
      <c r="D307" s="144">
        <v>311.55</v>
      </c>
      <c r="E307" s="145">
        <f>+VLOOKUP(A307,Clasificaciones!C:C,1,FALSE)</f>
        <v>4060502</v>
      </c>
    </row>
    <row r="308" spans="1:5" ht="15" customHeight="1">
      <c r="A308" s="161">
        <v>40606</v>
      </c>
      <c r="B308" s="65" t="s">
        <v>233</v>
      </c>
      <c r="C308" s="65">
        <v>2284525</v>
      </c>
      <c r="D308" s="144">
        <v>334.09</v>
      </c>
      <c r="E308" s="145">
        <f>+VLOOKUP(A308,Clasificaciones!C:C,1,FALSE)</f>
        <v>40606</v>
      </c>
    </row>
    <row r="309" spans="1:5" ht="15" customHeight="1">
      <c r="A309" s="161">
        <v>4060601</v>
      </c>
      <c r="B309" s="65" t="s">
        <v>911</v>
      </c>
      <c r="C309" s="65">
        <v>235150</v>
      </c>
      <c r="D309" s="144">
        <v>34.090000000000003</v>
      </c>
      <c r="E309" s="145">
        <f>+VLOOKUP(A309,Clasificaciones!C:C,1,FALSE)</f>
        <v>4060601</v>
      </c>
    </row>
    <row r="310" spans="1:5" ht="15" customHeight="1">
      <c r="A310" s="161">
        <v>4060602</v>
      </c>
      <c r="B310" s="65" t="s">
        <v>1197</v>
      </c>
      <c r="C310" s="65">
        <v>2049375</v>
      </c>
      <c r="D310" s="144">
        <v>300</v>
      </c>
      <c r="E310" s="145">
        <f>+VLOOKUP(A310,Clasificaciones!C:C,1,FALSE)</f>
        <v>4060602</v>
      </c>
    </row>
    <row r="311" spans="1:5" ht="15" customHeight="1">
      <c r="A311" s="161">
        <v>407</v>
      </c>
      <c r="B311" s="65" t="s">
        <v>286</v>
      </c>
      <c r="C311" s="65">
        <v>3553938678</v>
      </c>
      <c r="D311" s="144">
        <v>2384285.0815999997</v>
      </c>
      <c r="E311" s="145">
        <f>+VLOOKUP(A311,Clasificaciones!C:C,1,FALSE)</f>
        <v>407</v>
      </c>
    </row>
    <row r="312" spans="1:5" ht="15" customHeight="1">
      <c r="A312" s="161">
        <v>40701</v>
      </c>
      <c r="B312" s="65" t="s">
        <v>1428</v>
      </c>
      <c r="C312" s="65">
        <v>3714440</v>
      </c>
      <c r="D312" s="144">
        <v>556.67999999999995</v>
      </c>
      <c r="E312" s="145">
        <f>+VLOOKUP(A312,Clasificaciones!C:C,1,FALSE)</f>
        <v>40701</v>
      </c>
    </row>
    <row r="313" spans="1:5" ht="15" customHeight="1">
      <c r="A313" s="161">
        <v>40702</v>
      </c>
      <c r="B313" s="65" t="s">
        <v>912</v>
      </c>
      <c r="C313" s="65">
        <v>3550224238</v>
      </c>
      <c r="D313" s="144">
        <v>2383728.4016</v>
      </c>
      <c r="E313" s="145">
        <f>+VLOOKUP(A313,Clasificaciones!C:C,1,FALSE)</f>
        <v>40702</v>
      </c>
    </row>
    <row r="314" spans="1:5" ht="15" customHeight="1">
      <c r="A314" s="161">
        <v>4070201</v>
      </c>
      <c r="B314" s="65" t="s">
        <v>913</v>
      </c>
      <c r="C314" s="65">
        <v>2354409344</v>
      </c>
      <c r="D314" s="144">
        <v>958555.49</v>
      </c>
      <c r="E314" s="145">
        <f>+VLOOKUP(A314,Clasificaciones!C:C,1,FALSE)</f>
        <v>4070201</v>
      </c>
    </row>
    <row r="315" spans="1:5" ht="15" customHeight="1">
      <c r="A315" s="161">
        <v>4070202</v>
      </c>
      <c r="B315" s="65" t="s">
        <v>914</v>
      </c>
      <c r="C315" s="65">
        <v>1195814894</v>
      </c>
      <c r="D315" s="144">
        <v>1425172.9116</v>
      </c>
      <c r="E315" s="145">
        <f>+VLOOKUP(A315,Clasificaciones!C:C,1,FALSE)</f>
        <v>4070202</v>
      </c>
    </row>
    <row r="316" spans="1:5" ht="15" customHeight="1">
      <c r="A316" s="161">
        <v>408</v>
      </c>
      <c r="B316" s="65" t="s">
        <v>915</v>
      </c>
      <c r="C316" s="65">
        <v>2195318149</v>
      </c>
      <c r="D316" s="144">
        <v>324103.16899999999</v>
      </c>
      <c r="E316" s="145">
        <f>+VLOOKUP(A316,Clasificaciones!C:C,1,FALSE)</f>
        <v>408</v>
      </c>
    </row>
    <row r="317" spans="1:5" ht="15" customHeight="1">
      <c r="A317" s="161">
        <v>40802</v>
      </c>
      <c r="B317" s="65" t="s">
        <v>916</v>
      </c>
      <c r="C317" s="65">
        <v>8177</v>
      </c>
      <c r="D317" s="144">
        <v>4.2489999999999997</v>
      </c>
      <c r="E317" s="145">
        <f>+VLOOKUP(A317,Clasificaciones!C:C,1,FALSE)</f>
        <v>40802</v>
      </c>
    </row>
    <row r="318" spans="1:5" ht="15" customHeight="1">
      <c r="A318" s="161">
        <v>40803</v>
      </c>
      <c r="B318" s="65" t="s">
        <v>1429</v>
      </c>
      <c r="C318" s="65">
        <v>49787771</v>
      </c>
      <c r="D318" s="144">
        <v>5091.71</v>
      </c>
      <c r="E318" s="145">
        <f>+VLOOKUP(A318,Clasificaciones!C:C,1,FALSE)</f>
        <v>40803</v>
      </c>
    </row>
    <row r="319" spans="1:5" ht="15" customHeight="1">
      <c r="A319" s="161">
        <v>40808</v>
      </c>
      <c r="B319" s="65" t="s">
        <v>611</v>
      </c>
      <c r="C319" s="65">
        <v>1943416237</v>
      </c>
      <c r="D319" s="144">
        <v>289543.25</v>
      </c>
      <c r="E319" s="145">
        <f>+VLOOKUP(A319,Clasificaciones!C:C,1,FALSE)</f>
        <v>40808</v>
      </c>
    </row>
    <row r="320" spans="1:5" ht="15" customHeight="1">
      <c r="A320" s="161">
        <v>40809</v>
      </c>
      <c r="B320" s="65" t="s">
        <v>1368</v>
      </c>
      <c r="C320" s="65">
        <v>12670644</v>
      </c>
      <c r="D320" s="144">
        <v>1881.01</v>
      </c>
      <c r="E320" s="145">
        <f>+VLOOKUP(A320,Clasificaciones!C:C,1,FALSE)</f>
        <v>40809</v>
      </c>
    </row>
    <row r="321" spans="1:5" ht="15" customHeight="1">
      <c r="A321" s="161">
        <v>40811</v>
      </c>
      <c r="B321" s="65" t="s">
        <v>1327</v>
      </c>
      <c r="C321" s="65">
        <v>168921218</v>
      </c>
      <c r="D321" s="144">
        <v>24604.75</v>
      </c>
      <c r="E321" s="145">
        <f>+VLOOKUP(A321,Clasificaciones!C:C,1,FALSE)</f>
        <v>40811</v>
      </c>
    </row>
    <row r="322" spans="1:5" ht="15" customHeight="1">
      <c r="A322" s="161">
        <v>40812</v>
      </c>
      <c r="B322" s="65" t="s">
        <v>1369</v>
      </c>
      <c r="C322" s="65">
        <v>20514102</v>
      </c>
      <c r="D322" s="144">
        <v>2978.19</v>
      </c>
      <c r="E322" s="145">
        <f>+VLOOKUP(A322,Clasificaciones!C:C,1,FALSE)</f>
        <v>40812</v>
      </c>
    </row>
    <row r="323" spans="1:5" ht="15" customHeight="1">
      <c r="A323" s="161">
        <v>5</v>
      </c>
      <c r="B323" s="65" t="s">
        <v>232</v>
      </c>
      <c r="C323" s="65">
        <v>23605473848</v>
      </c>
      <c r="D323" s="144">
        <v>5385231.2097999994</v>
      </c>
      <c r="E323" s="145">
        <f>+VLOOKUP(A323,Clasificaciones!C:C,1,FALSE)</f>
        <v>5</v>
      </c>
    </row>
    <row r="324" spans="1:5" ht="15" customHeight="1">
      <c r="A324" s="161">
        <v>51</v>
      </c>
      <c r="B324" s="65" t="s">
        <v>917</v>
      </c>
      <c r="C324" s="65">
        <v>23605461741</v>
      </c>
      <c r="D324" s="144">
        <v>5385228.8498</v>
      </c>
      <c r="E324" s="145">
        <f>+VLOOKUP(A324,Clasificaciones!C:C,1,FALSE)</f>
        <v>51</v>
      </c>
    </row>
    <row r="325" spans="1:5" ht="15" customHeight="1">
      <c r="A325" s="161">
        <v>511</v>
      </c>
      <c r="B325" s="65" t="s">
        <v>918</v>
      </c>
      <c r="C325" s="65">
        <v>11891110474</v>
      </c>
      <c r="D325" s="144">
        <v>1754842.44</v>
      </c>
      <c r="E325" s="145">
        <f>+VLOOKUP(A325,Clasificaciones!C:C,1,FALSE)</f>
        <v>511</v>
      </c>
    </row>
    <row r="326" spans="1:5" ht="15" customHeight="1">
      <c r="A326" s="161">
        <v>51101</v>
      </c>
      <c r="B326" s="65" t="s">
        <v>40</v>
      </c>
      <c r="C326" s="65">
        <v>160953638</v>
      </c>
      <c r="D326" s="144">
        <v>24315.660000000149</v>
      </c>
      <c r="E326" s="145">
        <f>+VLOOKUP(A326,Clasificaciones!C:C,1,FALSE)</f>
        <v>51101</v>
      </c>
    </row>
    <row r="327" spans="1:5" ht="15" customHeight="1">
      <c r="A327" s="161">
        <v>5110102</v>
      </c>
      <c r="B327" s="65" t="s">
        <v>919</v>
      </c>
      <c r="C327" s="65">
        <v>160953638</v>
      </c>
      <c r="D327" s="144">
        <v>24315.660000000149</v>
      </c>
      <c r="E327" s="145">
        <f>+VLOOKUP(A327,Clasificaciones!C:C,1,FALSE)</f>
        <v>5110102</v>
      </c>
    </row>
    <row r="328" spans="1:5" ht="15" customHeight="1">
      <c r="A328" s="161">
        <v>511010201</v>
      </c>
      <c r="B328" s="65" t="s">
        <v>920</v>
      </c>
      <c r="C328" s="65">
        <v>160953638</v>
      </c>
      <c r="D328" s="144">
        <v>24315.660000000149</v>
      </c>
      <c r="E328" s="145">
        <f>+VLOOKUP(A328,Clasificaciones!C:C,1,FALSE)</f>
        <v>511010201</v>
      </c>
    </row>
    <row r="329" spans="1:5" ht="15" customHeight="1">
      <c r="A329" s="161">
        <v>51102</v>
      </c>
      <c r="B329" s="65" t="s">
        <v>921</v>
      </c>
      <c r="C329" s="65">
        <v>347586961</v>
      </c>
      <c r="D329" s="144">
        <v>50979.670000000006</v>
      </c>
      <c r="E329" s="145">
        <f>+VLOOKUP(A329,Clasificaciones!C:C,1,FALSE)</f>
        <v>51102</v>
      </c>
    </row>
    <row r="330" spans="1:5" ht="15" customHeight="1">
      <c r="A330" s="161">
        <v>5110201</v>
      </c>
      <c r="B330" s="65" t="s">
        <v>922</v>
      </c>
      <c r="C330" s="65">
        <v>283836794</v>
      </c>
      <c r="D330" s="144">
        <v>41543.879999999997</v>
      </c>
      <c r="E330" s="145">
        <f>+VLOOKUP(A330,Clasificaciones!C:C,1,FALSE)</f>
        <v>5110201</v>
      </c>
    </row>
    <row r="331" spans="1:5" ht="15" customHeight="1">
      <c r="A331" s="161">
        <v>511020101</v>
      </c>
      <c r="B331" s="65" t="s">
        <v>979</v>
      </c>
      <c r="C331" s="65">
        <v>165047513</v>
      </c>
      <c r="D331" s="144">
        <v>24090.53</v>
      </c>
      <c r="E331" s="145">
        <f>+VLOOKUP(A331,Clasificaciones!C:C,1,FALSE)</f>
        <v>511020101</v>
      </c>
    </row>
    <row r="332" spans="1:5" ht="15" customHeight="1">
      <c r="A332" s="161">
        <v>511020102</v>
      </c>
      <c r="B332" s="65" t="s">
        <v>923</v>
      </c>
      <c r="C332" s="65">
        <v>118789281</v>
      </c>
      <c r="D332" s="144">
        <v>17453.349999999999</v>
      </c>
      <c r="E332" s="145">
        <f>+VLOOKUP(A332,Clasificaciones!C:C,1,FALSE)</f>
        <v>511020102</v>
      </c>
    </row>
    <row r="333" spans="1:5" ht="15" customHeight="1">
      <c r="A333" s="161">
        <v>5110202</v>
      </c>
      <c r="B333" s="65" t="s">
        <v>284</v>
      </c>
      <c r="C333" s="65">
        <v>61219967</v>
      </c>
      <c r="D333" s="144">
        <v>9071.39</v>
      </c>
      <c r="E333" s="145">
        <f>+VLOOKUP(A333,Clasificaciones!C:C,1,FALSE)</f>
        <v>5110202</v>
      </c>
    </row>
    <row r="334" spans="1:5" ht="15" customHeight="1">
      <c r="A334" s="161">
        <v>511020201</v>
      </c>
      <c r="B334" s="65" t="s">
        <v>909</v>
      </c>
      <c r="C334" s="65">
        <v>56121803</v>
      </c>
      <c r="D334" s="144">
        <v>8318.68</v>
      </c>
      <c r="E334" s="145">
        <f>+VLOOKUP(A334,Clasificaciones!C:C,1,FALSE)</f>
        <v>511020201</v>
      </c>
    </row>
    <row r="335" spans="1:5" ht="15" customHeight="1">
      <c r="A335" s="161">
        <v>511020202</v>
      </c>
      <c r="B335" s="65" t="s">
        <v>910</v>
      </c>
      <c r="C335" s="65">
        <v>5098164</v>
      </c>
      <c r="D335" s="144">
        <v>752.71</v>
      </c>
      <c r="E335" s="145">
        <f>+VLOOKUP(A335,Clasificaciones!C:C,1,FALSE)</f>
        <v>511020202</v>
      </c>
    </row>
    <row r="336" spans="1:5" ht="15" customHeight="1">
      <c r="A336" s="161">
        <v>5110203</v>
      </c>
      <c r="B336" s="65" t="s">
        <v>822</v>
      </c>
      <c r="C336" s="65">
        <v>2530200</v>
      </c>
      <c r="D336" s="144">
        <v>364.4</v>
      </c>
      <c r="E336" s="145">
        <f>+VLOOKUP(A336,Clasificaciones!C:C,1,FALSE)</f>
        <v>5110203</v>
      </c>
    </row>
    <row r="337" spans="1:5" ht="15" customHeight="1">
      <c r="A337" s="161">
        <v>51103</v>
      </c>
      <c r="B337" s="65" t="s">
        <v>260</v>
      </c>
      <c r="C337" s="65">
        <v>11379160034</v>
      </c>
      <c r="D337" s="144">
        <v>1679030.65</v>
      </c>
      <c r="E337" s="145">
        <f>+VLOOKUP(A337,Clasificaciones!C:C,1,FALSE)</f>
        <v>51103</v>
      </c>
    </row>
    <row r="338" spans="1:5" ht="15" customHeight="1">
      <c r="A338" s="161">
        <v>5110301</v>
      </c>
      <c r="B338" s="65" t="s">
        <v>897</v>
      </c>
      <c r="C338" s="65">
        <v>11379160034</v>
      </c>
      <c r="D338" s="144">
        <v>1679030.65</v>
      </c>
      <c r="E338" s="145">
        <f>+VLOOKUP(A338,Clasificaciones!C:C,1,FALSE)</f>
        <v>5110301</v>
      </c>
    </row>
    <row r="339" spans="1:5" ht="15" customHeight="1">
      <c r="A339" s="161">
        <v>511030101</v>
      </c>
      <c r="B339" s="65" t="s">
        <v>1186</v>
      </c>
      <c r="C339" s="65">
        <v>893719815</v>
      </c>
      <c r="D339" s="144">
        <v>130394.6399999999</v>
      </c>
      <c r="E339" s="145">
        <f>+VLOOKUP(A339,Clasificaciones!C:C,1,FALSE)</f>
        <v>511030101</v>
      </c>
    </row>
    <row r="340" spans="1:5" ht="15" customHeight="1">
      <c r="A340" s="161">
        <v>51103010101</v>
      </c>
      <c r="B340" s="65" t="s">
        <v>887</v>
      </c>
      <c r="C340" s="65">
        <v>178819883</v>
      </c>
      <c r="D340" s="144">
        <v>26191.899999999907</v>
      </c>
      <c r="E340" s="145">
        <f>+VLOOKUP(A340,Clasificaciones!C:C,1,FALSE)</f>
        <v>51103010101</v>
      </c>
    </row>
    <row r="341" spans="1:5" ht="15" customHeight="1">
      <c r="A341" s="161">
        <v>51103010102</v>
      </c>
      <c r="B341" s="65" t="s">
        <v>773</v>
      </c>
      <c r="C341" s="65">
        <v>128059774</v>
      </c>
      <c r="D341" s="144">
        <v>18696.72</v>
      </c>
      <c r="E341" s="145">
        <f>+VLOOKUP(A341,Clasificaciones!C:C,1,FALSE)</f>
        <v>51103010102</v>
      </c>
    </row>
    <row r="342" spans="1:5" ht="15" customHeight="1">
      <c r="A342" s="161">
        <v>51103010103</v>
      </c>
      <c r="B342" s="65" t="s">
        <v>780</v>
      </c>
      <c r="C342" s="65">
        <v>125180710</v>
      </c>
      <c r="D342" s="144">
        <v>18206.77</v>
      </c>
      <c r="E342" s="145">
        <f>+VLOOKUP(A342,Clasificaciones!C:C,1,FALSE)</f>
        <v>51103010103</v>
      </c>
    </row>
    <row r="343" spans="1:5" ht="15" customHeight="1">
      <c r="A343" s="161">
        <v>51103010104</v>
      </c>
      <c r="B343" s="65" t="s">
        <v>884</v>
      </c>
      <c r="C343" s="65">
        <v>169749924</v>
      </c>
      <c r="D343" s="144">
        <v>24692.720000000001</v>
      </c>
      <c r="E343" s="145">
        <f>+VLOOKUP(A343,Clasificaciones!C:C,1,FALSE)</f>
        <v>51103010104</v>
      </c>
    </row>
    <row r="344" spans="1:5" ht="15" customHeight="1">
      <c r="A344" s="161">
        <v>51103010105</v>
      </c>
      <c r="B344" s="65" t="s">
        <v>1370</v>
      </c>
      <c r="C344" s="65">
        <v>272230702</v>
      </c>
      <c r="D344" s="144">
        <v>39725.42</v>
      </c>
      <c r="E344" s="145">
        <f>+VLOOKUP(A344,Clasificaciones!C:C,1,FALSE)</f>
        <v>51103010105</v>
      </c>
    </row>
    <row r="345" spans="1:5" ht="15" customHeight="1">
      <c r="A345" s="161">
        <v>51103010106</v>
      </c>
      <c r="B345" s="65" t="s">
        <v>1430</v>
      </c>
      <c r="C345" s="65">
        <v>19678822</v>
      </c>
      <c r="D345" s="144">
        <v>2881.11</v>
      </c>
      <c r="E345" s="145">
        <f>+VLOOKUP(A345,Clasificaciones!C:C,1,FALSE)</f>
        <v>51103010106</v>
      </c>
    </row>
    <row r="346" spans="1:5" ht="15" customHeight="1">
      <c r="A346" s="161">
        <v>511030120</v>
      </c>
      <c r="B346" s="65" t="s">
        <v>924</v>
      </c>
      <c r="C346" s="65">
        <v>10485440219</v>
      </c>
      <c r="D346" s="144">
        <v>1548636.01</v>
      </c>
      <c r="E346" s="145">
        <f>+VLOOKUP(A346,Clasificaciones!C:C,1,FALSE)</f>
        <v>511030120</v>
      </c>
    </row>
    <row r="347" spans="1:5" ht="15" customHeight="1">
      <c r="A347" s="161">
        <v>51103012001</v>
      </c>
      <c r="B347" s="65" t="s">
        <v>884</v>
      </c>
      <c r="C347" s="65">
        <v>1824993</v>
      </c>
      <c r="D347" s="144">
        <v>268.39</v>
      </c>
      <c r="E347" s="145">
        <f>+VLOOKUP(A347,Clasificaciones!C:C,1,FALSE)</f>
        <v>51103012001</v>
      </c>
    </row>
    <row r="348" spans="1:5" ht="15" customHeight="1">
      <c r="A348" s="161">
        <v>51103012002</v>
      </c>
      <c r="B348" s="65" t="s">
        <v>899</v>
      </c>
      <c r="C348" s="65">
        <v>5516245</v>
      </c>
      <c r="D348" s="144">
        <v>812.75</v>
      </c>
      <c r="E348" s="145">
        <f>+VLOOKUP(A348,Clasificaciones!C:C,1,FALSE)</f>
        <v>51103012002</v>
      </c>
    </row>
    <row r="349" spans="1:5" ht="15" customHeight="1">
      <c r="A349" s="161">
        <v>51103012004</v>
      </c>
      <c r="B349" s="65" t="s">
        <v>886</v>
      </c>
      <c r="C349" s="65">
        <v>83121122</v>
      </c>
      <c r="D349" s="144">
        <v>12220.57</v>
      </c>
      <c r="E349" s="145">
        <f>+VLOOKUP(A349,Clasificaciones!C:C,1,FALSE)</f>
        <v>51103012004</v>
      </c>
    </row>
    <row r="350" spans="1:5" ht="15" customHeight="1">
      <c r="A350" s="161">
        <v>51103012005</v>
      </c>
      <c r="B350" s="65" t="s">
        <v>887</v>
      </c>
      <c r="C350" s="65">
        <v>1429841268</v>
      </c>
      <c r="D350" s="144">
        <v>209977</v>
      </c>
      <c r="E350" s="145">
        <f>+VLOOKUP(A350,Clasificaciones!C:C,1,FALSE)</f>
        <v>51103012005</v>
      </c>
    </row>
    <row r="351" spans="1:5" ht="15" customHeight="1">
      <c r="A351" s="161">
        <v>51103012006</v>
      </c>
      <c r="B351" s="65" t="s">
        <v>773</v>
      </c>
      <c r="C351" s="65">
        <v>792603478</v>
      </c>
      <c r="D351" s="144">
        <v>116002.12</v>
      </c>
      <c r="E351" s="145">
        <f>+VLOOKUP(A351,Clasificaciones!C:C,1,FALSE)</f>
        <v>51103012006</v>
      </c>
    </row>
    <row r="352" spans="1:5" ht="15" customHeight="1">
      <c r="A352" s="161">
        <v>51103012007</v>
      </c>
      <c r="B352" s="65" t="s">
        <v>888</v>
      </c>
      <c r="C352" s="65">
        <v>1298993482</v>
      </c>
      <c r="D352" s="144">
        <v>193942.19999999998</v>
      </c>
      <c r="E352" s="145">
        <f>+VLOOKUP(A352,Clasificaciones!C:C,1,FALSE)</f>
        <v>51103012007</v>
      </c>
    </row>
    <row r="353" spans="1:5" ht="15" customHeight="1">
      <c r="A353" s="161">
        <v>51103012008</v>
      </c>
      <c r="B353" s="65" t="s">
        <v>889</v>
      </c>
      <c r="C353" s="65">
        <v>112716866</v>
      </c>
      <c r="D353" s="144">
        <v>16350.09</v>
      </c>
      <c r="E353" s="145">
        <f>+VLOOKUP(A353,Clasificaciones!C:C,1,FALSE)</f>
        <v>51103012008</v>
      </c>
    </row>
    <row r="354" spans="1:5" ht="15" customHeight="1">
      <c r="A354" s="161">
        <v>51103012009</v>
      </c>
      <c r="B354" s="65" t="s">
        <v>890</v>
      </c>
      <c r="C354" s="65">
        <v>212441006</v>
      </c>
      <c r="D354" s="144">
        <v>31900.2</v>
      </c>
      <c r="E354" s="145">
        <f>+VLOOKUP(A354,Clasificaciones!C:C,1,FALSE)</f>
        <v>51103012009</v>
      </c>
    </row>
    <row r="355" spans="1:5" ht="15" customHeight="1">
      <c r="A355" s="161">
        <v>51103012013</v>
      </c>
      <c r="B355" s="65" t="s">
        <v>901</v>
      </c>
      <c r="C355" s="65">
        <v>68</v>
      </c>
      <c r="D355" s="144">
        <v>0.01</v>
      </c>
      <c r="E355" s="145">
        <f>+VLOOKUP(A355,Clasificaciones!C:C,1,FALSE)</f>
        <v>51103012013</v>
      </c>
    </row>
    <row r="356" spans="1:5" ht="15" customHeight="1">
      <c r="A356" s="161">
        <v>51103012017</v>
      </c>
      <c r="B356" s="65" t="s">
        <v>893</v>
      </c>
      <c r="C356" s="65">
        <v>4482435203</v>
      </c>
      <c r="D356" s="144">
        <v>665540.79</v>
      </c>
      <c r="E356" s="145">
        <f>+VLOOKUP(A356,Clasificaciones!C:C,1,FALSE)</f>
        <v>51103012017</v>
      </c>
    </row>
    <row r="357" spans="1:5" ht="15" customHeight="1">
      <c r="A357" s="161">
        <v>51103012018</v>
      </c>
      <c r="B357" s="65" t="s">
        <v>894</v>
      </c>
      <c r="C357" s="65">
        <v>345573068</v>
      </c>
      <c r="D357" s="144">
        <v>52385.99</v>
      </c>
      <c r="E357" s="145">
        <f>+VLOOKUP(A357,Clasificaciones!C:C,1,FALSE)</f>
        <v>51103012018</v>
      </c>
    </row>
    <row r="358" spans="1:5" ht="15" customHeight="1">
      <c r="A358" s="161">
        <v>51103012019</v>
      </c>
      <c r="B358" s="65" t="s">
        <v>1174</v>
      </c>
      <c r="C358" s="65">
        <v>887392189</v>
      </c>
      <c r="D358" s="144">
        <v>128649.97</v>
      </c>
      <c r="E358" s="145">
        <f>+VLOOKUP(A358,Clasificaciones!C:C,1,FALSE)</f>
        <v>51103012019</v>
      </c>
    </row>
    <row r="359" spans="1:5" ht="15" customHeight="1">
      <c r="A359" s="161">
        <v>51103012029</v>
      </c>
      <c r="B359" s="65" t="s">
        <v>768</v>
      </c>
      <c r="C359" s="65">
        <v>664723895</v>
      </c>
      <c r="D359" s="144">
        <v>96067.6</v>
      </c>
      <c r="E359" s="145">
        <f>+VLOOKUP(A359,Clasificaciones!C:C,1,FALSE)</f>
        <v>51103012029</v>
      </c>
    </row>
    <row r="360" spans="1:5" ht="15" customHeight="1">
      <c r="A360" s="161">
        <v>51103012032</v>
      </c>
      <c r="B360" s="65" t="s">
        <v>904</v>
      </c>
      <c r="C360" s="65">
        <v>168257336</v>
      </c>
      <c r="D360" s="144">
        <v>24518.33</v>
      </c>
      <c r="E360" s="145">
        <f>+VLOOKUP(A360,Clasificaciones!C:C,1,FALSE)</f>
        <v>51103012032</v>
      </c>
    </row>
    <row r="361" spans="1:5" ht="15" customHeight="1">
      <c r="A361" s="161">
        <v>51104</v>
      </c>
      <c r="B361" s="65" t="s">
        <v>925</v>
      </c>
      <c r="C361" s="65">
        <v>3409841</v>
      </c>
      <c r="D361" s="144">
        <v>516.46</v>
      </c>
      <c r="E361" s="145">
        <f>+VLOOKUP(A361,Clasificaciones!C:C,1,FALSE)</f>
        <v>51104</v>
      </c>
    </row>
    <row r="362" spans="1:5" ht="15" customHeight="1">
      <c r="A362" s="161">
        <v>5110401</v>
      </c>
      <c r="B362" s="65" t="s">
        <v>925</v>
      </c>
      <c r="C362" s="65">
        <v>3409841</v>
      </c>
      <c r="D362" s="144">
        <v>516.46</v>
      </c>
      <c r="E362" s="145" t="e">
        <f>+VLOOKUP(A362,Clasificaciones!C:C,1,FALSE)</f>
        <v>#N/A</v>
      </c>
    </row>
    <row r="363" spans="1:5" ht="15" customHeight="1">
      <c r="A363" s="161">
        <v>512</v>
      </c>
      <c r="B363" s="65" t="s">
        <v>294</v>
      </c>
      <c r="C363" s="65">
        <v>203131748</v>
      </c>
      <c r="D363" s="144">
        <v>30402.97</v>
      </c>
      <c r="E363" s="145">
        <f>+VLOOKUP(A363,Clasificaciones!C:C,1,FALSE)</f>
        <v>512</v>
      </c>
    </row>
    <row r="364" spans="1:5" ht="15" customHeight="1">
      <c r="A364" s="161">
        <v>51201</v>
      </c>
      <c r="B364" s="65" t="s">
        <v>1431</v>
      </c>
      <c r="C364" s="65">
        <v>159343543</v>
      </c>
      <c r="D364" s="144">
        <v>23850.829999999998</v>
      </c>
      <c r="E364" s="145">
        <f>+VLOOKUP(A364,Clasificaciones!C:C,1,FALSE)</f>
        <v>51201</v>
      </c>
    </row>
    <row r="365" spans="1:5" ht="15" customHeight="1">
      <c r="A365" s="161">
        <v>51203</v>
      </c>
      <c r="B365" s="65" t="s">
        <v>209</v>
      </c>
      <c r="C365" s="65">
        <v>14367957</v>
      </c>
      <c r="D365" s="144">
        <v>2097.36</v>
      </c>
      <c r="E365" s="145">
        <f>+VLOOKUP(A365,Clasificaciones!C:C,1,FALSE)</f>
        <v>51203</v>
      </c>
    </row>
    <row r="366" spans="1:5" ht="15" customHeight="1">
      <c r="A366" s="161">
        <v>51204</v>
      </c>
      <c r="B366" s="65" t="s">
        <v>927</v>
      </c>
      <c r="C366" s="65">
        <v>9420248</v>
      </c>
      <c r="D366" s="144">
        <v>1568.2700000000002</v>
      </c>
      <c r="E366" s="145">
        <f>+VLOOKUP(A366,Clasificaciones!C:C,1,FALSE)</f>
        <v>51204</v>
      </c>
    </row>
    <row r="367" spans="1:5" ht="15" customHeight="1">
      <c r="A367" s="161">
        <v>51206</v>
      </c>
      <c r="B367" s="65" t="s">
        <v>1330</v>
      </c>
      <c r="C367" s="65">
        <v>20000000</v>
      </c>
      <c r="D367" s="144">
        <v>2886.51</v>
      </c>
      <c r="E367" s="145">
        <f>+VLOOKUP(A367,Clasificaciones!C:C,1,FALSE)</f>
        <v>51206</v>
      </c>
    </row>
    <row r="368" spans="1:5" ht="15" customHeight="1">
      <c r="A368" s="161">
        <v>513</v>
      </c>
      <c r="B368" s="65" t="s">
        <v>15</v>
      </c>
      <c r="C368" s="65">
        <v>6964857546</v>
      </c>
      <c r="D368" s="144">
        <v>1029331.77</v>
      </c>
      <c r="E368" s="145">
        <f>+VLOOKUP(A368,Clasificaciones!C:C,1,FALSE)</f>
        <v>513</v>
      </c>
    </row>
    <row r="369" spans="1:5" ht="15" customHeight="1">
      <c r="A369" s="161">
        <v>51301</v>
      </c>
      <c r="B369" s="65" t="s">
        <v>298</v>
      </c>
      <c r="C369" s="65">
        <v>2767482437</v>
      </c>
      <c r="D369" s="144">
        <v>408596.23</v>
      </c>
      <c r="E369" s="145">
        <f>+VLOOKUP(A369,Clasificaciones!C:C,1,FALSE)</f>
        <v>51301</v>
      </c>
    </row>
    <row r="370" spans="1:5" ht="15" customHeight="1">
      <c r="A370" s="161">
        <v>5130101</v>
      </c>
      <c r="B370" s="65" t="s">
        <v>199</v>
      </c>
      <c r="C370" s="65">
        <v>2385209049</v>
      </c>
      <c r="D370" s="144">
        <v>352346.98</v>
      </c>
      <c r="E370" s="145">
        <f>+VLOOKUP(A370,Clasificaciones!C:C,1,FALSE)</f>
        <v>5130101</v>
      </c>
    </row>
    <row r="371" spans="1:5" ht="15" customHeight="1">
      <c r="A371" s="161">
        <v>5130104</v>
      </c>
      <c r="B371" s="65" t="s">
        <v>201</v>
      </c>
      <c r="C371" s="65">
        <v>219330055</v>
      </c>
      <c r="D371" s="144">
        <v>32369.58</v>
      </c>
      <c r="E371" s="145">
        <f>+VLOOKUP(A371,Clasificaciones!C:C,1,FALSE)</f>
        <v>5130104</v>
      </c>
    </row>
    <row r="372" spans="1:5" ht="15" customHeight="1">
      <c r="A372" s="161">
        <v>5130105</v>
      </c>
      <c r="B372" s="65" t="s">
        <v>202</v>
      </c>
      <c r="C372" s="65">
        <v>162943333</v>
      </c>
      <c r="D372" s="144">
        <v>23879.67</v>
      </c>
      <c r="E372" s="145">
        <f>+VLOOKUP(A372,Clasificaciones!C:C,1,FALSE)</f>
        <v>5130105</v>
      </c>
    </row>
    <row r="373" spans="1:5" ht="15" customHeight="1">
      <c r="A373" s="161">
        <v>51302</v>
      </c>
      <c r="B373" s="65" t="s">
        <v>928</v>
      </c>
      <c r="C373" s="65">
        <v>1722603734</v>
      </c>
      <c r="D373" s="144">
        <v>253601.22</v>
      </c>
      <c r="E373" s="145">
        <f>+VLOOKUP(A373,Clasificaciones!C:C,1,FALSE)</f>
        <v>51302</v>
      </c>
    </row>
    <row r="374" spans="1:5" ht="15" customHeight="1">
      <c r="A374" s="161">
        <v>5130201</v>
      </c>
      <c r="B374" s="65" t="s">
        <v>929</v>
      </c>
      <c r="C374" s="65">
        <v>439114057</v>
      </c>
      <c r="D374" s="144">
        <v>64868.56</v>
      </c>
      <c r="E374" s="145">
        <f>+VLOOKUP(A374,Clasificaciones!C:C,1,FALSE)</f>
        <v>5130201</v>
      </c>
    </row>
    <row r="375" spans="1:5" ht="15" customHeight="1">
      <c r="A375" s="161">
        <v>5130202</v>
      </c>
      <c r="B375" s="65" t="s">
        <v>1210</v>
      </c>
      <c r="C375" s="65">
        <v>7500000</v>
      </c>
      <c r="D375" s="144">
        <v>1085.21</v>
      </c>
      <c r="E375" s="145">
        <f>+VLOOKUP(A375,Clasificaciones!C:C,1,FALSE)</f>
        <v>5130202</v>
      </c>
    </row>
    <row r="376" spans="1:5" ht="15" customHeight="1">
      <c r="A376" s="161">
        <v>5130203</v>
      </c>
      <c r="B376" s="65" t="s">
        <v>930</v>
      </c>
      <c r="C376" s="65">
        <v>919996500</v>
      </c>
      <c r="D376" s="144">
        <v>135164.42000000001</v>
      </c>
      <c r="E376" s="145">
        <f>+VLOOKUP(A376,Clasificaciones!C:C,1,FALSE)</f>
        <v>5130203</v>
      </c>
    </row>
    <row r="377" spans="1:5" ht="15" customHeight="1">
      <c r="A377" s="162">
        <v>5130204</v>
      </c>
      <c r="B377" s="145" t="s">
        <v>208</v>
      </c>
      <c r="C377" s="52">
        <v>45357573</v>
      </c>
      <c r="D377" s="144">
        <v>6685.89</v>
      </c>
      <c r="E377" s="145">
        <f>+VLOOKUP(A377,Clasificaciones!C:C,1,FALSE)</f>
        <v>5130204</v>
      </c>
    </row>
    <row r="378" spans="1:5" ht="15" customHeight="1">
      <c r="A378" s="162">
        <v>5130205</v>
      </c>
      <c r="B378" s="145" t="s">
        <v>1211</v>
      </c>
      <c r="C378" s="52">
        <v>19675318</v>
      </c>
      <c r="D378" s="144">
        <v>2858.19</v>
      </c>
      <c r="E378" s="145">
        <f>+VLOOKUP(A378,Clasificaciones!C:C,1,FALSE)</f>
        <v>5130205</v>
      </c>
    </row>
    <row r="379" spans="1:5" ht="15" customHeight="1">
      <c r="A379" s="162">
        <v>5130206</v>
      </c>
      <c r="B379" s="145" t="s">
        <v>931</v>
      </c>
      <c r="C379" s="52">
        <v>128652468</v>
      </c>
      <c r="D379" s="144">
        <v>18934.87</v>
      </c>
      <c r="E379" s="145">
        <f>+VLOOKUP(A379,Clasificaciones!C:C,1,FALSE)</f>
        <v>5130206</v>
      </c>
    </row>
    <row r="380" spans="1:5" ht="15" customHeight="1">
      <c r="A380" s="161">
        <v>5130207</v>
      </c>
      <c r="B380" s="65" t="s">
        <v>510</v>
      </c>
      <c r="C380" s="65">
        <v>162307818</v>
      </c>
      <c r="D380" s="144">
        <v>24004.080000000002</v>
      </c>
      <c r="E380" s="145">
        <f>+VLOOKUP(A380,Clasificaciones!C:C,1,FALSE)</f>
        <v>5130207</v>
      </c>
    </row>
    <row r="381" spans="1:5" ht="15" customHeight="1">
      <c r="A381" s="161">
        <v>51303</v>
      </c>
      <c r="B381" s="65" t="s">
        <v>200</v>
      </c>
      <c r="C381" s="65">
        <v>895031691</v>
      </c>
      <c r="D381" s="144">
        <v>131746.6</v>
      </c>
      <c r="E381" s="145">
        <f>+VLOOKUP(A381,Clasificaciones!C:C,1,FALSE)</f>
        <v>51303</v>
      </c>
    </row>
    <row r="382" spans="1:5" ht="15" customHeight="1">
      <c r="A382" s="161">
        <v>5130301</v>
      </c>
      <c r="B382" s="65" t="s">
        <v>342</v>
      </c>
      <c r="C382" s="65">
        <v>635926380</v>
      </c>
      <c r="D382" s="144">
        <v>93500</v>
      </c>
      <c r="E382" s="145">
        <f>+VLOOKUP(A382,Clasificaciones!C:C,1,FALSE)</f>
        <v>5130301</v>
      </c>
    </row>
    <row r="383" spans="1:5" ht="15" customHeight="1">
      <c r="A383" s="161">
        <v>5130303</v>
      </c>
      <c r="B383" s="65" t="s">
        <v>932</v>
      </c>
      <c r="C383" s="65">
        <v>40670370</v>
      </c>
      <c r="D383" s="144">
        <v>6000</v>
      </c>
      <c r="E383" s="145">
        <f>+VLOOKUP(A383,Clasificaciones!C:C,1,FALSE)</f>
        <v>5130303</v>
      </c>
    </row>
    <row r="384" spans="1:5" ht="15" customHeight="1">
      <c r="A384" s="161">
        <v>5130304</v>
      </c>
      <c r="B384" s="65" t="s">
        <v>200</v>
      </c>
      <c r="C384" s="65">
        <v>218434941</v>
      </c>
      <c r="D384" s="144">
        <v>32246.6</v>
      </c>
      <c r="E384" s="145">
        <f>+VLOOKUP(A384,Clasificaciones!C:C,1,FALSE)</f>
        <v>5130304</v>
      </c>
    </row>
    <row r="385" spans="1:5" ht="15" customHeight="1">
      <c r="A385" s="161">
        <v>51304</v>
      </c>
      <c r="B385" s="65" t="s">
        <v>234</v>
      </c>
      <c r="C385" s="65">
        <v>829524986</v>
      </c>
      <c r="D385" s="144">
        <v>122995.95000000001</v>
      </c>
      <c r="E385" s="145">
        <f>+VLOOKUP(A385,Clasificaciones!C:C,1,FALSE)</f>
        <v>51304</v>
      </c>
    </row>
    <row r="386" spans="1:5" ht="15" customHeight="1">
      <c r="A386" s="161">
        <v>5130401</v>
      </c>
      <c r="B386" s="65" t="s">
        <v>1155</v>
      </c>
      <c r="C386" s="65">
        <v>44703500</v>
      </c>
      <c r="D386" s="144">
        <v>6578.0299999999988</v>
      </c>
      <c r="E386" s="145">
        <f>+VLOOKUP(A386,Clasificaciones!C:C,1,FALSE)</f>
        <v>5130401</v>
      </c>
    </row>
    <row r="387" spans="1:5" ht="15" customHeight="1">
      <c r="A387" s="161">
        <v>5130402</v>
      </c>
      <c r="B387" s="65" t="s">
        <v>217</v>
      </c>
      <c r="C387" s="65">
        <v>327379495</v>
      </c>
      <c r="D387" s="144">
        <v>48985.71</v>
      </c>
      <c r="E387" s="145">
        <f>+VLOOKUP(A387,Clasificaciones!C:C,1,FALSE)</f>
        <v>5130402</v>
      </c>
    </row>
    <row r="388" spans="1:5" ht="15" customHeight="1">
      <c r="A388" s="161">
        <v>5130403</v>
      </c>
      <c r="B388" s="65" t="s">
        <v>1371</v>
      </c>
      <c r="C388" s="65">
        <v>10272727</v>
      </c>
      <c r="D388" s="144">
        <v>1502.89</v>
      </c>
      <c r="E388" s="145">
        <f>+VLOOKUP(A388,Clasificaciones!C:C,1,FALSE)</f>
        <v>5130403</v>
      </c>
    </row>
    <row r="389" spans="1:5" ht="15" customHeight="1">
      <c r="A389" s="161">
        <v>5130404</v>
      </c>
      <c r="B389" s="65" t="s">
        <v>933</v>
      </c>
      <c r="C389" s="65">
        <v>38216035</v>
      </c>
      <c r="D389" s="144">
        <v>5547.72</v>
      </c>
      <c r="E389" s="145">
        <f>+VLOOKUP(A389,Clasificaciones!C:C,1,FALSE)</f>
        <v>5130404</v>
      </c>
    </row>
    <row r="390" spans="1:5" ht="15" customHeight="1">
      <c r="A390" s="161">
        <v>5130405</v>
      </c>
      <c r="B390" s="65" t="s">
        <v>934</v>
      </c>
      <c r="C390" s="65">
        <v>388197452</v>
      </c>
      <c r="D390" s="144">
        <v>57365.36</v>
      </c>
      <c r="E390" s="145">
        <f>+VLOOKUP(A390,Clasificaciones!C:C,1,FALSE)</f>
        <v>5130405</v>
      </c>
    </row>
    <row r="391" spans="1:5" ht="15" customHeight="1">
      <c r="A391" s="161">
        <v>5130407</v>
      </c>
      <c r="B391" s="65" t="s">
        <v>1372</v>
      </c>
      <c r="C391" s="65">
        <v>20755777</v>
      </c>
      <c r="D391" s="144">
        <v>3016.24</v>
      </c>
      <c r="E391" s="145">
        <f>+VLOOKUP(A391,Clasificaciones!C:C,1,FALSE)</f>
        <v>5130407</v>
      </c>
    </row>
    <row r="392" spans="1:5" ht="15" customHeight="1">
      <c r="A392" s="162">
        <v>51305</v>
      </c>
      <c r="B392" s="145" t="s">
        <v>936</v>
      </c>
      <c r="C392" s="52">
        <v>183086842</v>
      </c>
      <c r="D392" s="144">
        <v>29048.14</v>
      </c>
      <c r="E392" s="145">
        <f>+VLOOKUP(A392,Clasificaciones!C:C,1,FALSE)</f>
        <v>51305</v>
      </c>
    </row>
    <row r="393" spans="1:5" ht="15" customHeight="1">
      <c r="A393" s="162">
        <v>5130501</v>
      </c>
      <c r="B393" s="145" t="s">
        <v>937</v>
      </c>
      <c r="C393" s="52">
        <v>6067564</v>
      </c>
      <c r="D393" s="144">
        <v>950.57</v>
      </c>
      <c r="E393" s="145">
        <f>+VLOOKUP(A393,Clasificaciones!C:C,1,FALSE)</f>
        <v>5130501</v>
      </c>
    </row>
    <row r="394" spans="1:5" ht="15" customHeight="1">
      <c r="A394" s="162">
        <v>513050101</v>
      </c>
      <c r="B394" s="145" t="s">
        <v>938</v>
      </c>
      <c r="C394" s="52">
        <v>588477</v>
      </c>
      <c r="D394" s="144">
        <v>88.1</v>
      </c>
      <c r="E394" s="145">
        <f>+VLOOKUP(A394,Clasificaciones!C:C,1,FALSE)</f>
        <v>513050101</v>
      </c>
    </row>
    <row r="395" spans="1:5" ht="15" customHeight="1">
      <c r="A395" s="162">
        <v>513050103</v>
      </c>
      <c r="B395" s="145" t="s">
        <v>939</v>
      </c>
      <c r="C395" s="52">
        <v>5479087</v>
      </c>
      <c r="D395" s="144">
        <v>862.47</v>
      </c>
      <c r="E395" s="145">
        <f>+VLOOKUP(A395,Clasificaciones!C:C,1,FALSE)</f>
        <v>513050103</v>
      </c>
    </row>
    <row r="396" spans="1:5" ht="15" customHeight="1">
      <c r="A396" s="162">
        <v>5130502</v>
      </c>
      <c r="B396" s="145" t="s">
        <v>940</v>
      </c>
      <c r="C396" s="52">
        <v>177019278</v>
      </c>
      <c r="D396" s="144">
        <v>28097.57</v>
      </c>
      <c r="E396" s="145">
        <f>+VLOOKUP(A396,Clasificaciones!C:C,1,FALSE)</f>
        <v>5130502</v>
      </c>
    </row>
    <row r="397" spans="1:5" ht="15" customHeight="1">
      <c r="A397" s="162">
        <v>513050201</v>
      </c>
      <c r="B397" s="145" t="s">
        <v>941</v>
      </c>
      <c r="C397" s="52">
        <v>7235861</v>
      </c>
      <c r="D397" s="144">
        <v>1200</v>
      </c>
      <c r="E397" s="145">
        <f>+VLOOKUP(A397,Clasificaciones!C:C,1,FALSE)</f>
        <v>513050201</v>
      </c>
    </row>
    <row r="398" spans="1:5" ht="15" customHeight="1">
      <c r="A398" s="162">
        <v>513050202</v>
      </c>
      <c r="B398" s="145" t="s">
        <v>942</v>
      </c>
      <c r="C398" s="52">
        <v>130145465</v>
      </c>
      <c r="D398" s="144">
        <v>21056.34</v>
      </c>
      <c r="E398" s="145">
        <f>+VLOOKUP(A398,Clasificaciones!C:C,1,FALSE)</f>
        <v>513050202</v>
      </c>
    </row>
    <row r="399" spans="1:5" ht="15" customHeight="1">
      <c r="A399" s="162">
        <v>513050203</v>
      </c>
      <c r="B399" s="145" t="s">
        <v>943</v>
      </c>
      <c r="C399" s="52">
        <v>38037943</v>
      </c>
      <c r="D399" s="144">
        <v>5583.57</v>
      </c>
      <c r="E399" s="145">
        <f>+VLOOKUP(A399,Clasificaciones!C:C,1,FALSE)</f>
        <v>513050203</v>
      </c>
    </row>
    <row r="400" spans="1:5" ht="15" customHeight="1">
      <c r="A400" s="162">
        <v>513050204</v>
      </c>
      <c r="B400" s="145" t="s">
        <v>944</v>
      </c>
      <c r="C400" s="52">
        <v>1600009</v>
      </c>
      <c r="D400" s="144">
        <v>257.66000000000003</v>
      </c>
      <c r="E400" s="145">
        <f>+VLOOKUP(A400,Clasificaciones!C:C,1,FALSE)</f>
        <v>513050204</v>
      </c>
    </row>
    <row r="401" spans="1:5" ht="15" customHeight="1">
      <c r="A401" s="162">
        <v>51306</v>
      </c>
      <c r="B401" s="145" t="s">
        <v>214</v>
      </c>
      <c r="C401" s="52">
        <v>130833289</v>
      </c>
      <c r="D401" s="144">
        <v>19297.88</v>
      </c>
      <c r="E401" s="145">
        <f>+VLOOKUP(A401,Clasificaciones!C:C,1,FALSE)</f>
        <v>51306</v>
      </c>
    </row>
    <row r="402" spans="1:5" ht="15" customHeight="1">
      <c r="A402" s="162">
        <v>5130601</v>
      </c>
      <c r="B402" s="145" t="s">
        <v>1219</v>
      </c>
      <c r="C402" s="52">
        <v>322727</v>
      </c>
      <c r="D402" s="144">
        <v>47.8</v>
      </c>
      <c r="E402" s="145">
        <f>+VLOOKUP(A402,Clasificaciones!C:C,1,FALSE)</f>
        <v>5130601</v>
      </c>
    </row>
    <row r="403" spans="1:5" ht="15" customHeight="1">
      <c r="A403" s="162">
        <v>5130603</v>
      </c>
      <c r="B403" s="145" t="s">
        <v>945</v>
      </c>
      <c r="C403" s="52">
        <v>129910562</v>
      </c>
      <c r="D403" s="144">
        <v>19161.02</v>
      </c>
      <c r="E403" s="145">
        <f>+VLOOKUP(A403,Clasificaciones!C:C,1,FALSE)</f>
        <v>5130603</v>
      </c>
    </row>
    <row r="404" spans="1:5" ht="15" customHeight="1">
      <c r="A404" s="162">
        <v>5130605</v>
      </c>
      <c r="B404" s="145" t="s">
        <v>301</v>
      </c>
      <c r="C404" s="52">
        <v>600000</v>
      </c>
      <c r="D404" s="144">
        <v>89.06</v>
      </c>
      <c r="E404" s="145">
        <f>+VLOOKUP(A404,Clasificaciones!C:C,1,FALSE)</f>
        <v>5130605</v>
      </c>
    </row>
    <row r="405" spans="1:5" ht="15" customHeight="1">
      <c r="A405" s="162">
        <v>51307</v>
      </c>
      <c r="B405" s="145" t="s">
        <v>1221</v>
      </c>
      <c r="C405" s="52">
        <v>140696507</v>
      </c>
      <c r="D405" s="144">
        <v>20857.230000000003</v>
      </c>
      <c r="E405" s="145">
        <f>+VLOOKUP(A405,Clasificaciones!C:C,1,FALSE)</f>
        <v>51307</v>
      </c>
    </row>
    <row r="406" spans="1:5" ht="15" customHeight="1">
      <c r="A406" s="162">
        <v>5130701</v>
      </c>
      <c r="B406" s="145" t="s">
        <v>935</v>
      </c>
      <c r="C406" s="52">
        <v>128559149</v>
      </c>
      <c r="D406" s="144">
        <v>19093.439999999999</v>
      </c>
      <c r="E406" s="145">
        <f>+VLOOKUP(A406,Clasificaciones!C:C,1,FALSE)</f>
        <v>5130701</v>
      </c>
    </row>
    <row r="407" spans="1:5" ht="15" customHeight="1">
      <c r="A407" s="162">
        <v>5130702</v>
      </c>
      <c r="B407" s="145" t="s">
        <v>1214</v>
      </c>
      <c r="C407" s="52">
        <v>974548</v>
      </c>
      <c r="D407" s="144">
        <v>141.32999999999998</v>
      </c>
      <c r="E407" s="145">
        <f>+VLOOKUP(A407,Clasificaciones!C:C,1,FALSE)</f>
        <v>5130702</v>
      </c>
    </row>
    <row r="408" spans="1:5" ht="15" customHeight="1">
      <c r="A408" s="162">
        <v>5130703</v>
      </c>
      <c r="B408" s="145" t="s">
        <v>1373</v>
      </c>
      <c r="C408" s="52">
        <v>11162810</v>
      </c>
      <c r="D408" s="144">
        <v>1622.4599999999996</v>
      </c>
      <c r="E408" s="145">
        <f>+VLOOKUP(A408,Clasificaciones!C:C,1,FALSE)</f>
        <v>5130703</v>
      </c>
    </row>
    <row r="409" spans="1:5" ht="15" customHeight="1">
      <c r="A409" s="162">
        <v>51308</v>
      </c>
      <c r="B409" s="145" t="s">
        <v>49</v>
      </c>
      <c r="C409" s="52">
        <v>7421455</v>
      </c>
      <c r="D409" s="144">
        <v>1076.7</v>
      </c>
      <c r="E409" s="145">
        <f>+VLOOKUP(A409,Clasificaciones!C:C,1,FALSE)</f>
        <v>51308</v>
      </c>
    </row>
    <row r="410" spans="1:5" ht="15" customHeight="1">
      <c r="A410" s="162">
        <v>5130801</v>
      </c>
      <c r="B410" s="145" t="s">
        <v>946</v>
      </c>
      <c r="C410" s="52">
        <v>7421455</v>
      </c>
      <c r="D410" s="144">
        <v>1076.7</v>
      </c>
      <c r="E410" s="145">
        <f>+VLOOKUP(A410,Clasificaciones!C:C,1,FALSE)</f>
        <v>5130801</v>
      </c>
    </row>
    <row r="411" spans="1:5" ht="15" customHeight="1">
      <c r="A411" s="162">
        <v>51309</v>
      </c>
      <c r="B411" s="145" t="s">
        <v>52</v>
      </c>
      <c r="C411" s="52">
        <v>12137203</v>
      </c>
      <c r="D411" s="144">
        <v>1773.42</v>
      </c>
      <c r="E411" s="145">
        <f>+VLOOKUP(A411,Clasificaciones!C:C,1,FALSE)</f>
        <v>51309</v>
      </c>
    </row>
    <row r="412" spans="1:5" ht="15" customHeight="1">
      <c r="A412" s="162">
        <v>5130902</v>
      </c>
      <c r="B412" s="145" t="s">
        <v>947</v>
      </c>
      <c r="C412" s="52">
        <v>10308500</v>
      </c>
      <c r="D412" s="144">
        <v>1502.15</v>
      </c>
      <c r="E412" s="145">
        <f>+VLOOKUP(A412,Clasificaciones!C:C,1,FALSE)</f>
        <v>5130902</v>
      </c>
    </row>
    <row r="413" spans="1:5" ht="15" customHeight="1">
      <c r="A413" s="162">
        <v>5130904</v>
      </c>
      <c r="B413" s="145" t="s">
        <v>948</v>
      </c>
      <c r="C413" s="52">
        <v>1828703</v>
      </c>
      <c r="D413" s="144">
        <v>271.27</v>
      </c>
      <c r="E413" s="145">
        <f>+VLOOKUP(A413,Clasificaciones!C:C,1,FALSE)</f>
        <v>5130904</v>
      </c>
    </row>
    <row r="414" spans="1:5" ht="15" customHeight="1">
      <c r="A414" s="162">
        <v>51310</v>
      </c>
      <c r="B414" s="145" t="s">
        <v>315</v>
      </c>
      <c r="C414" s="52">
        <v>276039402</v>
      </c>
      <c r="D414" s="144">
        <v>40338.399999999994</v>
      </c>
      <c r="E414" s="145">
        <f>+VLOOKUP(A414,Clasificaciones!C:C,1,FALSE)</f>
        <v>51310</v>
      </c>
    </row>
    <row r="415" spans="1:5" ht="15" customHeight="1">
      <c r="A415" s="162">
        <v>5131001</v>
      </c>
      <c r="B415" s="145" t="s">
        <v>1224</v>
      </c>
      <c r="C415" s="52">
        <v>3734386</v>
      </c>
      <c r="D415" s="144">
        <v>542.71</v>
      </c>
      <c r="E415" s="145">
        <f>+VLOOKUP(A415,Clasificaciones!C:C,1,FALSE)</f>
        <v>5131001</v>
      </c>
    </row>
    <row r="416" spans="1:5" ht="15" customHeight="1">
      <c r="A416" s="162">
        <v>5131002</v>
      </c>
      <c r="B416" s="145" t="s">
        <v>949</v>
      </c>
      <c r="C416" s="52">
        <v>18402316</v>
      </c>
      <c r="D416" s="144">
        <v>2729.75</v>
      </c>
      <c r="E416" s="145">
        <f>+VLOOKUP(A416,Clasificaciones!C:C,1,FALSE)</f>
        <v>5131002</v>
      </c>
    </row>
    <row r="417" spans="1:5" ht="15" customHeight="1">
      <c r="A417" s="162">
        <v>5131006</v>
      </c>
      <c r="B417" s="145" t="s">
        <v>950</v>
      </c>
      <c r="C417" s="52">
        <v>18371206</v>
      </c>
      <c r="D417" s="144">
        <v>2703.4700000000003</v>
      </c>
      <c r="E417" s="145">
        <f>+VLOOKUP(A417,Clasificaciones!C:C,1,FALSE)</f>
        <v>5131006</v>
      </c>
    </row>
    <row r="418" spans="1:5" ht="15" customHeight="1">
      <c r="A418" s="162">
        <v>5131007</v>
      </c>
      <c r="B418" s="145" t="s">
        <v>1094</v>
      </c>
      <c r="C418" s="52">
        <v>2126191</v>
      </c>
      <c r="D418" s="144">
        <v>312.72000000000003</v>
      </c>
      <c r="E418" s="145">
        <f>+VLOOKUP(A418,Clasificaciones!C:C,1,FALSE)</f>
        <v>5131007</v>
      </c>
    </row>
    <row r="419" spans="1:5" ht="15" customHeight="1">
      <c r="A419" s="162">
        <v>5131008</v>
      </c>
      <c r="B419" s="145" t="s">
        <v>1228</v>
      </c>
      <c r="C419" s="52">
        <v>3474050</v>
      </c>
      <c r="D419" s="144">
        <v>505.17</v>
      </c>
      <c r="E419" s="145">
        <f>+VLOOKUP(A419,Clasificaciones!C:C,1,FALSE)</f>
        <v>5131008</v>
      </c>
    </row>
    <row r="420" spans="1:5" ht="15" customHeight="1">
      <c r="A420" s="162">
        <v>5131010</v>
      </c>
      <c r="B420" s="145" t="s">
        <v>215</v>
      </c>
      <c r="C420" s="52">
        <v>11468800</v>
      </c>
      <c r="D420" s="144">
        <v>1663.49</v>
      </c>
      <c r="E420" s="145">
        <f>+VLOOKUP(A420,Clasificaciones!C:C,1,FALSE)</f>
        <v>5131010</v>
      </c>
    </row>
    <row r="421" spans="1:5" ht="15" customHeight="1">
      <c r="A421" s="162">
        <v>5131012</v>
      </c>
      <c r="B421" s="145" t="s">
        <v>951</v>
      </c>
      <c r="C421" s="52">
        <v>24551374</v>
      </c>
      <c r="D421" s="144">
        <v>3667.59</v>
      </c>
      <c r="E421" s="145">
        <f>+VLOOKUP(A421,Clasificaciones!C:C,1,FALSE)</f>
        <v>5131012</v>
      </c>
    </row>
    <row r="422" spans="1:5" ht="15" customHeight="1">
      <c r="A422" s="162">
        <v>5131014</v>
      </c>
      <c r="B422" s="145" t="s">
        <v>952</v>
      </c>
      <c r="C422" s="52">
        <v>19788235</v>
      </c>
      <c r="D422" s="144">
        <v>2889.52</v>
      </c>
      <c r="E422" s="145">
        <f>+VLOOKUP(A422,Clasificaciones!C:C,1,FALSE)</f>
        <v>5131014</v>
      </c>
    </row>
    <row r="423" spans="1:5" ht="15" customHeight="1">
      <c r="A423" s="162">
        <v>5131015</v>
      </c>
      <c r="B423" s="145" t="s">
        <v>300</v>
      </c>
      <c r="C423" s="52">
        <v>30091636</v>
      </c>
      <c r="D423" s="144">
        <v>4397.47</v>
      </c>
      <c r="E423" s="145">
        <f>+VLOOKUP(A423,Clasificaciones!C:C,1,FALSE)</f>
        <v>5131015</v>
      </c>
    </row>
    <row r="424" spans="1:5" ht="15" customHeight="1">
      <c r="A424" s="162">
        <v>5131016</v>
      </c>
      <c r="B424" s="145" t="s">
        <v>302</v>
      </c>
      <c r="C424" s="52">
        <v>872727</v>
      </c>
      <c r="D424" s="144">
        <v>135.59</v>
      </c>
      <c r="E424" s="145">
        <f>+VLOOKUP(A424,Clasificaciones!C:C,1,FALSE)</f>
        <v>5131016</v>
      </c>
    </row>
    <row r="425" spans="1:5" ht="15" customHeight="1">
      <c r="A425" s="162">
        <v>5131019</v>
      </c>
      <c r="B425" s="145" t="s">
        <v>500</v>
      </c>
      <c r="C425" s="52">
        <v>5172724</v>
      </c>
      <c r="D425" s="144">
        <v>765.72</v>
      </c>
      <c r="E425" s="145">
        <f>+VLOOKUP(A425,Clasificaciones!C:C,1,FALSE)</f>
        <v>5131019</v>
      </c>
    </row>
    <row r="426" spans="1:5" ht="15" customHeight="1">
      <c r="A426" s="162">
        <v>5131020</v>
      </c>
      <c r="B426" s="145" t="s">
        <v>1374</v>
      </c>
      <c r="C426" s="52">
        <v>50000000</v>
      </c>
      <c r="D426" s="144">
        <v>7246.28</v>
      </c>
      <c r="E426" s="145">
        <f>+VLOOKUP(A426,Clasificaciones!C:C,1,FALSE)</f>
        <v>5131020</v>
      </c>
    </row>
    <row r="427" spans="1:5" ht="15" customHeight="1">
      <c r="A427" s="162">
        <v>5131021</v>
      </c>
      <c r="B427" s="145" t="s">
        <v>1432</v>
      </c>
      <c r="C427" s="52">
        <v>80000000</v>
      </c>
      <c r="D427" s="144">
        <v>11615.41</v>
      </c>
      <c r="E427" s="145">
        <f>+VLOOKUP(A427,Clasificaciones!C:C,1,FALSE)</f>
        <v>5131021</v>
      </c>
    </row>
    <row r="428" spans="1:5" ht="15" customHeight="1">
      <c r="A428" s="162">
        <v>5131099</v>
      </c>
      <c r="B428" s="145" t="s">
        <v>1232</v>
      </c>
      <c r="C428" s="52">
        <v>7985757</v>
      </c>
      <c r="D428" s="144">
        <v>1163.51</v>
      </c>
      <c r="E428" s="145">
        <f>+VLOOKUP(A428,Clasificaciones!C:C,1,FALSE)</f>
        <v>5131099</v>
      </c>
    </row>
    <row r="429" spans="1:5" ht="15" customHeight="1">
      <c r="A429" s="162">
        <v>514</v>
      </c>
      <c r="B429" s="145" t="s">
        <v>954</v>
      </c>
      <c r="C429" s="52">
        <v>3880354222</v>
      </c>
      <c r="D429" s="144">
        <v>2471279.6798</v>
      </c>
      <c r="E429" s="145">
        <f>+VLOOKUP(A429,Clasificaciones!C:C,1,FALSE)</f>
        <v>514</v>
      </c>
    </row>
    <row r="430" spans="1:5" ht="15" customHeight="1">
      <c r="A430" s="162">
        <v>51403</v>
      </c>
      <c r="B430" s="145" t="s">
        <v>221</v>
      </c>
      <c r="C430" s="52">
        <v>2449436</v>
      </c>
      <c r="D430" s="144">
        <v>357.92</v>
      </c>
      <c r="E430" s="145">
        <f>+VLOOKUP(A430,Clasificaciones!C:C,1,FALSE)</f>
        <v>51403</v>
      </c>
    </row>
    <row r="431" spans="1:5" ht="15" customHeight="1">
      <c r="A431" s="162">
        <v>51404</v>
      </c>
      <c r="B431" s="145" t="s">
        <v>955</v>
      </c>
      <c r="C431" s="52">
        <v>275148568</v>
      </c>
      <c r="D431" s="144">
        <v>40899.279999999999</v>
      </c>
      <c r="E431" s="145">
        <f>+VLOOKUP(A431,Clasificaciones!C:C,1,FALSE)</f>
        <v>51404</v>
      </c>
    </row>
    <row r="432" spans="1:5" ht="15" customHeight="1">
      <c r="A432" s="162">
        <v>51405</v>
      </c>
      <c r="B432" s="145" t="s">
        <v>80</v>
      </c>
      <c r="C432" s="52">
        <v>10219309</v>
      </c>
      <c r="D432" s="144">
        <v>1545.16</v>
      </c>
      <c r="E432" s="145">
        <f>+VLOOKUP(A432,Clasificaciones!C:C,1,FALSE)</f>
        <v>51405</v>
      </c>
    </row>
    <row r="433" spans="1:6" ht="15" customHeight="1">
      <c r="A433" s="162">
        <v>51406</v>
      </c>
      <c r="B433" s="145" t="s">
        <v>956</v>
      </c>
      <c r="C433" s="52">
        <v>11569681</v>
      </c>
      <c r="D433" s="144">
        <v>1679.27</v>
      </c>
      <c r="E433" s="145">
        <f>+VLOOKUP(A433,Clasificaciones!C:C,1,FALSE)</f>
        <v>51406</v>
      </c>
    </row>
    <row r="434" spans="1:6" ht="15" customHeight="1">
      <c r="A434" s="162">
        <v>51407</v>
      </c>
      <c r="B434" s="145" t="s">
        <v>957</v>
      </c>
      <c r="C434" s="52">
        <v>3580967228</v>
      </c>
      <c r="D434" s="144">
        <v>2426798.0498000002</v>
      </c>
      <c r="E434" s="145">
        <f>+VLOOKUP(A434,Clasificaciones!C:C,1,FALSE)</f>
        <v>51407</v>
      </c>
    </row>
    <row r="435" spans="1:6" ht="15" customHeight="1">
      <c r="A435" s="162">
        <v>5140701</v>
      </c>
      <c r="B435" s="145" t="s">
        <v>913</v>
      </c>
      <c r="C435" s="52">
        <v>2396651034</v>
      </c>
      <c r="D435" s="144">
        <v>1790554.08</v>
      </c>
      <c r="E435" s="145">
        <f>+VLOOKUP(A435,Clasificaciones!C:C,1,FALSE)</f>
        <v>5140701</v>
      </c>
    </row>
    <row r="436" spans="1:6" ht="15" customHeight="1">
      <c r="A436" s="162">
        <v>5140702</v>
      </c>
      <c r="B436" s="145" t="s">
        <v>914</v>
      </c>
      <c r="C436" s="52">
        <v>1184316194</v>
      </c>
      <c r="D436" s="144">
        <v>636243.96980000008</v>
      </c>
      <c r="E436" s="145">
        <f>+VLOOKUP(A436,Clasificaciones!C:C,1,FALSE)</f>
        <v>5140702</v>
      </c>
    </row>
    <row r="437" spans="1:6" ht="15" customHeight="1">
      <c r="A437" s="162">
        <v>515</v>
      </c>
      <c r="B437" s="145" t="s">
        <v>304</v>
      </c>
      <c r="C437" s="52">
        <v>666007751</v>
      </c>
      <c r="D437" s="144">
        <v>99371.99</v>
      </c>
      <c r="E437" s="145">
        <f>+VLOOKUP(A437,Clasificaciones!C:C,1,FALSE)</f>
        <v>515</v>
      </c>
    </row>
    <row r="438" spans="1:6" ht="15" customHeight="1">
      <c r="A438" s="162">
        <v>51501</v>
      </c>
      <c r="B438" s="145" t="s">
        <v>79</v>
      </c>
      <c r="C438" s="52">
        <v>152286289</v>
      </c>
      <c r="D438" s="144">
        <v>23078.959999999999</v>
      </c>
      <c r="E438" s="145">
        <f>+VLOOKUP(A438,Clasificaciones!C:C,1,FALSE)</f>
        <v>51501</v>
      </c>
    </row>
    <row r="439" spans="1:6" ht="15" customHeight="1">
      <c r="A439" s="162">
        <v>51502</v>
      </c>
      <c r="B439" s="145" t="s">
        <v>958</v>
      </c>
      <c r="C439" s="52">
        <v>49783131</v>
      </c>
      <c r="D439" s="144">
        <v>7521.13</v>
      </c>
      <c r="E439" s="145">
        <f>+VLOOKUP(A439,Clasificaciones!C:C,1,FALSE)</f>
        <v>51502</v>
      </c>
    </row>
    <row r="440" spans="1:6" ht="15" customHeight="1">
      <c r="A440" s="162">
        <v>51503</v>
      </c>
      <c r="B440" s="145" t="s">
        <v>959</v>
      </c>
      <c r="C440" s="52">
        <v>64351492</v>
      </c>
      <c r="D440" s="144">
        <v>9550.5499999999993</v>
      </c>
      <c r="E440" s="145">
        <f>+VLOOKUP(A440,Clasificaciones!C:C,1,FALSE)</f>
        <v>51503</v>
      </c>
    </row>
    <row r="441" spans="1:6" ht="15" customHeight="1">
      <c r="A441" s="162">
        <v>5150301</v>
      </c>
      <c r="B441" s="145" t="s">
        <v>960</v>
      </c>
      <c r="C441" s="52">
        <v>62352222</v>
      </c>
      <c r="D441" s="144">
        <v>9261.6999999999989</v>
      </c>
      <c r="E441" s="145">
        <f>+VLOOKUP(A441,Clasificaciones!C:C,1,FALSE)</f>
        <v>5150301</v>
      </c>
    </row>
    <row r="442" spans="1:6" ht="15" customHeight="1">
      <c r="A442" s="162">
        <v>5150302</v>
      </c>
      <c r="B442" s="145" t="s">
        <v>1235</v>
      </c>
      <c r="C442" s="52">
        <v>1999270</v>
      </c>
      <c r="D442" s="144">
        <v>288.85000000000002</v>
      </c>
      <c r="E442" s="145">
        <f>+VLOOKUP(A442,Clasificaciones!C:C,1,FALSE)</f>
        <v>5150302</v>
      </c>
    </row>
    <row r="443" spans="1:6" ht="15" customHeight="1">
      <c r="A443" s="162">
        <v>51504</v>
      </c>
      <c r="B443" s="145" t="s">
        <v>961</v>
      </c>
      <c r="C443" s="52">
        <v>394303928</v>
      </c>
      <c r="D443" s="144">
        <v>58441.31</v>
      </c>
      <c r="E443" s="145">
        <f>+VLOOKUP(A443,Clasificaciones!C:C,1,FALSE)</f>
        <v>51504</v>
      </c>
    </row>
    <row r="444" spans="1:6" ht="15" customHeight="1">
      <c r="A444" s="162">
        <v>51505</v>
      </c>
      <c r="B444" s="145" t="s">
        <v>1236</v>
      </c>
      <c r="C444" s="52">
        <v>5282911</v>
      </c>
      <c r="D444" s="144">
        <v>780.04</v>
      </c>
      <c r="E444" s="145">
        <f>+VLOOKUP(A444,Clasificaciones!C:C,1,FALSE)</f>
        <v>51505</v>
      </c>
    </row>
    <row r="445" spans="1:6" ht="15" customHeight="1">
      <c r="A445" s="162">
        <v>52</v>
      </c>
      <c r="B445" s="145" t="s">
        <v>303</v>
      </c>
      <c r="C445" s="52">
        <v>12107</v>
      </c>
      <c r="D445" s="144">
        <v>2.3600000000000003</v>
      </c>
      <c r="E445" s="145">
        <f>+VLOOKUP(A445,Clasificaciones!C:C,1,FALSE)</f>
        <v>52</v>
      </c>
    </row>
    <row r="446" spans="1:6" s="889" customFormat="1" ht="15" customHeight="1">
      <c r="A446" s="893">
        <v>5204</v>
      </c>
      <c r="B446" s="889" t="s">
        <v>962</v>
      </c>
      <c r="C446" s="889">
        <v>12107</v>
      </c>
      <c r="D446" s="889">
        <v>2.3600000000000003</v>
      </c>
      <c r="F446" s="890"/>
    </row>
    <row r="447" spans="1:6" s="160" customFormat="1" ht="15" customHeight="1">
      <c r="B447" s="160" t="s">
        <v>1712</v>
      </c>
      <c r="C447" s="891">
        <v>2497475898</v>
      </c>
      <c r="D447" s="892">
        <v>333468.21999999997</v>
      </c>
      <c r="F447" s="703"/>
    </row>
  </sheetData>
  <autoFilter ref="A7:G7" xr:uid="{ADD5F5A0-2066-4906-A20F-09F5F3C57CCA}"/>
  <printOptions gridLinesSet="0"/>
  <pageMargins left="0.75" right="0.75" top="1" bottom="1" header="0.5" footer="0.5"/>
  <pageSetup paperSize="9"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106B-DD39-42BA-8E52-E8F5A1B272BF}">
  <dimension ref="A1:M897"/>
  <sheetViews>
    <sheetView zoomScale="90" zoomScaleNormal="90" workbookViewId="0">
      <pane ySplit="4" topLeftCell="A5" activePane="bottomLeft" state="frozen"/>
      <selection activeCell="B84" sqref="B84"/>
      <selection pane="bottomLeft" activeCell="B84" sqref="B84"/>
    </sheetView>
  </sheetViews>
  <sheetFormatPr baseColWidth="10" defaultColWidth="41.6640625" defaultRowHeight="11.4"/>
  <cols>
    <col min="1" max="1" width="12.109375" style="32" customWidth="1"/>
    <col min="2" max="2" width="51.88671875" style="32" bestFit="1" customWidth="1"/>
    <col min="3" max="3" width="14.5546875" style="34" customWidth="1"/>
    <col min="4" max="4" width="41.6640625" style="34"/>
    <col min="5" max="5" width="8.5546875" style="35" customWidth="1"/>
    <col min="6" max="6" width="7.109375" style="35" customWidth="1"/>
    <col min="7" max="7" width="18.33203125" style="45" customWidth="1"/>
    <col min="8" max="8" width="4.109375" style="32" customWidth="1"/>
    <col min="9" max="9" width="17" style="36" customWidth="1"/>
    <col min="10" max="10" width="5.33203125" style="32" customWidth="1"/>
    <col min="11" max="11" width="18.33203125" style="45" customWidth="1"/>
    <col min="12" max="12" width="4.109375" style="32" customWidth="1"/>
    <col min="13" max="13" width="17" style="36" customWidth="1"/>
    <col min="14" max="16384" width="41.6640625" style="32"/>
  </cols>
  <sheetData>
    <row r="1" spans="1:13">
      <c r="B1" s="33" t="s">
        <v>346</v>
      </c>
    </row>
    <row r="2" spans="1:13">
      <c r="B2" s="37" t="s">
        <v>347</v>
      </c>
    </row>
    <row r="3" spans="1:13" ht="12">
      <c r="G3" s="1021" t="s">
        <v>1434</v>
      </c>
      <c r="H3" s="1021"/>
      <c r="I3" s="1021"/>
      <c r="J3" s="36"/>
      <c r="K3" s="1021" t="s">
        <v>968</v>
      </c>
      <c r="L3" s="1021"/>
      <c r="M3" s="1021"/>
    </row>
    <row r="4" spans="1:13" s="35" customFormat="1" ht="11.4" customHeight="1">
      <c r="A4" s="38" t="s">
        <v>31</v>
      </c>
      <c r="B4" s="38" t="s">
        <v>32</v>
      </c>
      <c r="C4" s="38" t="s">
        <v>231</v>
      </c>
      <c r="D4" s="38" t="s">
        <v>1</v>
      </c>
      <c r="E4" s="38" t="s">
        <v>2</v>
      </c>
      <c r="F4" s="38" t="s">
        <v>345</v>
      </c>
      <c r="G4" s="46" t="s">
        <v>964</v>
      </c>
      <c r="H4" s="38"/>
      <c r="I4" s="39" t="s">
        <v>965</v>
      </c>
      <c r="J4" s="38"/>
      <c r="K4" s="46" t="s">
        <v>964</v>
      </c>
      <c r="L4" s="38"/>
      <c r="M4" s="39" t="s">
        <v>965</v>
      </c>
    </row>
    <row r="5" spans="1:13" s="166" customFormat="1" ht="12" customHeight="1">
      <c r="A5" s="163" t="s">
        <v>3</v>
      </c>
      <c r="B5" s="163"/>
      <c r="C5" s="164">
        <v>1</v>
      </c>
      <c r="D5" s="164" t="s">
        <v>3</v>
      </c>
      <c r="E5" s="165" t="s">
        <v>6</v>
      </c>
      <c r="F5" s="165" t="s">
        <v>343</v>
      </c>
      <c r="G5" s="47">
        <f>IF(F5="I",IFERROR(VLOOKUP(C5,'BG 2021'!A:C,3,FALSE),0),0)</f>
        <v>0</v>
      </c>
      <c r="H5" s="163"/>
      <c r="I5" s="68">
        <f>IF(F5="I",IFERROR(VLOOKUP(C5,'BG 2021'!A:D,4,FALSE),0),0)</f>
        <v>0</v>
      </c>
      <c r="J5" s="40"/>
      <c r="K5" s="47">
        <f>IF(F5="I",SUMIF('BG 2020'!B:B,Clasificaciones!C5,'BG 2020'!D:D),0)</f>
        <v>0</v>
      </c>
      <c r="L5" s="40"/>
      <c r="M5" s="68">
        <f>IF(F5="I",SUMIF('BG 2020'!B:B,Clasificaciones!C5,'BG 2020'!E:E),0)</f>
        <v>0</v>
      </c>
    </row>
    <row r="6" spans="1:13" s="166" customFormat="1" ht="12" customHeight="1">
      <c r="A6" s="163" t="s">
        <v>3</v>
      </c>
      <c r="B6" s="163"/>
      <c r="C6" s="164">
        <v>11</v>
      </c>
      <c r="D6" s="164" t="s">
        <v>4</v>
      </c>
      <c r="E6" s="165" t="s">
        <v>6</v>
      </c>
      <c r="F6" s="165" t="s">
        <v>343</v>
      </c>
      <c r="G6" s="47">
        <f>IF(F6="I",IFERROR(VLOOKUP(C6,'BG 2021'!A:C,3,FALSE),0),0)</f>
        <v>0</v>
      </c>
      <c r="H6" s="163"/>
      <c r="I6" s="68">
        <f>IF(F6="I",IFERROR(VLOOKUP(C6,'BG 2021'!A:D,4,FALSE),0),0)</f>
        <v>0</v>
      </c>
      <c r="J6" s="40"/>
      <c r="K6" s="47">
        <f>IF(F6="I",SUMIF('BG 2020'!B:B,Clasificaciones!C6,'BG 2020'!D:D),0)</f>
        <v>0</v>
      </c>
      <c r="L6" s="40"/>
      <c r="M6" s="68">
        <f>IF(F6="I",SUMIF('BG 2020'!B:B,Clasificaciones!C6,'BG 2020'!E:E),0)</f>
        <v>0</v>
      </c>
    </row>
    <row r="7" spans="1:13" s="166" customFormat="1" ht="12" customHeight="1">
      <c r="A7" s="163" t="s">
        <v>3</v>
      </c>
      <c r="B7" s="163"/>
      <c r="C7" s="164">
        <v>111</v>
      </c>
      <c r="D7" s="164" t="s">
        <v>5</v>
      </c>
      <c r="E7" s="165" t="s">
        <v>6</v>
      </c>
      <c r="F7" s="165" t="s">
        <v>343</v>
      </c>
      <c r="G7" s="47">
        <f>IF(F7="I",IFERROR(VLOOKUP(C7,'BG 2021'!A:C,3,FALSE),0),0)</f>
        <v>0</v>
      </c>
      <c r="H7" s="163"/>
      <c r="I7" s="68">
        <f>IF(F7="I",IFERROR(VLOOKUP(C7,'BG 2021'!A:D,4,FALSE),0),0)</f>
        <v>0</v>
      </c>
      <c r="J7" s="40"/>
      <c r="K7" s="47">
        <f>IF(F7="I",SUMIF('BG 2020'!B:B,Clasificaciones!C7,'BG 2020'!D:D),0)</f>
        <v>0</v>
      </c>
      <c r="L7" s="40"/>
      <c r="M7" s="68">
        <f>IF(F7="I",SUMIF('BG 2020'!B:B,Clasificaciones!C7,'BG 2020'!E:E),0)</f>
        <v>0</v>
      </c>
    </row>
    <row r="8" spans="1:13" s="166" customFormat="1" ht="12" customHeight="1">
      <c r="A8" s="163" t="s">
        <v>3</v>
      </c>
      <c r="B8" s="163" t="s">
        <v>16</v>
      </c>
      <c r="C8" s="164">
        <v>11101</v>
      </c>
      <c r="D8" s="164" t="s">
        <v>980</v>
      </c>
      <c r="E8" s="165" t="s">
        <v>6</v>
      </c>
      <c r="F8" s="165" t="s">
        <v>343</v>
      </c>
      <c r="G8" s="47">
        <f>IF(F8="I",IFERROR(VLOOKUP(C8,'BG 2021'!A:C,3,FALSE),0),0)</f>
        <v>0</v>
      </c>
      <c r="H8" s="163" t="s">
        <v>16</v>
      </c>
      <c r="I8" s="68">
        <f>IF(F8="I",IFERROR(VLOOKUP(C8,'BG 2021'!A:D,4,FALSE),0),0)</f>
        <v>0</v>
      </c>
      <c r="J8" s="40"/>
      <c r="K8" s="47">
        <f>IF(F8="I",SUMIF('BG 2020'!B:B,Clasificaciones!C8,'BG 2020'!D:D),0)</f>
        <v>0</v>
      </c>
      <c r="L8" s="40"/>
      <c r="M8" s="68">
        <f>IF(F8="I",SUMIF('BG 2020'!B:B,Clasificaciones!C8,'BG 2020'!E:E),0)</f>
        <v>0</v>
      </c>
    </row>
    <row r="9" spans="1:13" s="166" customFormat="1" ht="12" customHeight="1">
      <c r="A9" s="163" t="s">
        <v>3</v>
      </c>
      <c r="B9" s="163" t="s">
        <v>16</v>
      </c>
      <c r="C9" s="164">
        <v>1110101</v>
      </c>
      <c r="D9" s="164" t="s">
        <v>980</v>
      </c>
      <c r="E9" s="165" t="s">
        <v>6</v>
      </c>
      <c r="F9" s="165" t="s">
        <v>344</v>
      </c>
      <c r="G9" s="47">
        <f>IF(F9="I",IFERROR(VLOOKUP(C9,'BG 2021'!A:C,3,FALSE),0),0)</f>
        <v>0</v>
      </c>
      <c r="H9" s="163" t="s">
        <v>16</v>
      </c>
      <c r="I9" s="68">
        <f>IF(F9="I",IFERROR(VLOOKUP(C9,'BG 2021'!A:D,4,FALSE),0),0)</f>
        <v>0</v>
      </c>
      <c r="J9" s="40"/>
      <c r="K9" s="47">
        <f>IF(F9="I",SUMIF('BG 2020'!B:B,Clasificaciones!C9,'BG 2020'!D:D),0)</f>
        <v>0</v>
      </c>
      <c r="L9" s="40"/>
      <c r="M9" s="68">
        <f>IF(F9="I",SUMIF('BG 2020'!B:B,Clasificaciones!C9,'BG 2020'!E:E),0)</f>
        <v>0</v>
      </c>
    </row>
    <row r="10" spans="1:13" s="166" customFormat="1" ht="12" customHeight="1">
      <c r="A10" s="163" t="s">
        <v>3</v>
      </c>
      <c r="B10" s="163" t="s">
        <v>963</v>
      </c>
      <c r="C10" s="164">
        <v>1110102</v>
      </c>
      <c r="D10" s="164" t="s">
        <v>963</v>
      </c>
      <c r="E10" s="165" t="s">
        <v>6</v>
      </c>
      <c r="F10" s="165" t="s">
        <v>344</v>
      </c>
      <c r="G10" s="47">
        <f>IF(F10="I",IFERROR(VLOOKUP(C10,'BG 2021'!A:C,3,FALSE),0),0)</f>
        <v>0</v>
      </c>
      <c r="H10" s="163" t="s">
        <v>963</v>
      </c>
      <c r="I10" s="68">
        <f>IF(F10="I",IFERROR(VLOOKUP(C10,'BG 2021'!A:D,4,FALSE),0),0)</f>
        <v>0</v>
      </c>
      <c r="J10" s="40"/>
      <c r="K10" s="47">
        <f>IF(F10="I",SUMIF('BG 2020'!B:B,Clasificaciones!C10,'BG 2020'!D:D),0)</f>
        <v>0</v>
      </c>
      <c r="L10" s="40"/>
      <c r="M10" s="68">
        <f>IF(F10="I",SUMIF('BG 2020'!B:B,Clasificaciones!C10,'BG 2020'!E:E),0)</f>
        <v>0</v>
      </c>
    </row>
    <row r="11" spans="1:13" s="166" customFormat="1" ht="12" customHeight="1">
      <c r="A11" s="163" t="s">
        <v>3</v>
      </c>
      <c r="B11" s="163"/>
      <c r="C11" s="164">
        <v>11102</v>
      </c>
      <c r="D11" s="164" t="s">
        <v>81</v>
      </c>
      <c r="E11" s="165" t="s">
        <v>6</v>
      </c>
      <c r="F11" s="165" t="s">
        <v>343</v>
      </c>
      <c r="G11" s="47">
        <f>IF(F11="I",IFERROR(VLOOKUP(C11,'BG 2021'!A:C,3,FALSE),0),0)</f>
        <v>0</v>
      </c>
      <c r="H11" s="163"/>
      <c r="I11" s="68">
        <f>IF(F11="I",IFERROR(VLOOKUP(C11,'BG 2021'!A:D,4,FALSE),0),0)</f>
        <v>0</v>
      </c>
      <c r="J11" s="40"/>
      <c r="K11" s="47">
        <f>IF(F11="I",SUMIF('BG 2020'!B:B,Clasificaciones!C11,'BG 2020'!D:D),0)</f>
        <v>0</v>
      </c>
      <c r="L11" s="40"/>
      <c r="M11" s="68">
        <f>IF(F11="I",SUMIF('BG 2020'!B:B,Clasificaciones!C11,'BG 2020'!E:E),0)</f>
        <v>0</v>
      </c>
    </row>
    <row r="12" spans="1:13" s="166" customFormat="1" ht="12" customHeight="1">
      <c r="A12" s="163" t="s">
        <v>3</v>
      </c>
      <c r="B12" s="163" t="s">
        <v>81</v>
      </c>
      <c r="C12" s="164">
        <v>1110201</v>
      </c>
      <c r="D12" s="164" t="s">
        <v>981</v>
      </c>
      <c r="E12" s="165" t="s">
        <v>6</v>
      </c>
      <c r="F12" s="165" t="s">
        <v>343</v>
      </c>
      <c r="G12" s="47">
        <f>IF(F12="I",IFERROR(VLOOKUP(C12,'BG 2021'!A:C,3,FALSE),0),0)</f>
        <v>0</v>
      </c>
      <c r="H12" s="163" t="s">
        <v>81</v>
      </c>
      <c r="I12" s="68">
        <f>IF(F12="I",IFERROR(VLOOKUP(C12,'BG 2021'!A:D,4,FALSE),0),0)</f>
        <v>0</v>
      </c>
      <c r="J12" s="40"/>
      <c r="K12" s="47">
        <f>IF(F12="I",SUMIF('BG 2020'!B:B,Clasificaciones!C12,'BG 2020'!D:D),0)</f>
        <v>0</v>
      </c>
      <c r="L12" s="40"/>
      <c r="M12" s="68">
        <f>IF(F12="I",SUMIF('BG 2020'!B:B,Clasificaciones!C12,'BG 2020'!E:E),0)</f>
        <v>0</v>
      </c>
    </row>
    <row r="13" spans="1:13" s="166" customFormat="1" ht="12" customHeight="1">
      <c r="A13" s="163" t="s">
        <v>3</v>
      </c>
      <c r="B13" s="163" t="s">
        <v>81</v>
      </c>
      <c r="C13" s="164">
        <v>1110202</v>
      </c>
      <c r="D13" s="164" t="s">
        <v>982</v>
      </c>
      <c r="E13" s="165" t="s">
        <v>229</v>
      </c>
      <c r="F13" s="165" t="s">
        <v>343</v>
      </c>
      <c r="G13" s="47">
        <f>IF(F13="I",IFERROR(VLOOKUP(C13,'BG 2021'!A:C,3,FALSE),0),0)</f>
        <v>0</v>
      </c>
      <c r="H13" s="163" t="s">
        <v>81</v>
      </c>
      <c r="I13" s="68">
        <f>IF(F13="I",IFERROR(VLOOKUP(C13,'BG 2021'!A:D,4,FALSE),0),0)</f>
        <v>0</v>
      </c>
      <c r="J13" s="40"/>
      <c r="K13" s="47">
        <f>IF(F13="I",SUMIF('BG 2020'!B:B,Clasificaciones!C13,'BG 2020'!D:D),0)</f>
        <v>0</v>
      </c>
      <c r="L13" s="40"/>
      <c r="M13" s="68">
        <f>IF(F13="I",SUMIF('BG 2020'!B:B,Clasificaciones!C13,'BG 2020'!E:E),0)</f>
        <v>0</v>
      </c>
    </row>
    <row r="14" spans="1:13" s="166" customFormat="1" ht="12" customHeight="1">
      <c r="A14" s="163" t="s">
        <v>3</v>
      </c>
      <c r="B14" s="163"/>
      <c r="C14" s="164">
        <v>11103</v>
      </c>
      <c r="D14" s="164" t="s">
        <v>17</v>
      </c>
      <c r="E14" s="165" t="s">
        <v>229</v>
      </c>
      <c r="F14" s="165" t="s">
        <v>343</v>
      </c>
      <c r="G14" s="47">
        <f>IF(F14="I",IFERROR(VLOOKUP(C14,'BG 2021'!A:C,3,FALSE),0),0)</f>
        <v>0</v>
      </c>
      <c r="H14" s="163"/>
      <c r="I14" s="68">
        <f>IF(F14="I",IFERROR(VLOOKUP(C14,'BG 2021'!A:D,4,FALSE),0),0)</f>
        <v>0</v>
      </c>
      <c r="J14" s="40"/>
      <c r="K14" s="47">
        <f>IF(F14="I",SUMIF('BG 2020'!B:B,Clasificaciones!C14,'BG 2020'!D:D),0)</f>
        <v>0</v>
      </c>
      <c r="L14" s="40"/>
      <c r="M14" s="68">
        <f>IF(F14="I",SUMIF('BG 2020'!B:B,Clasificaciones!C14,'BG 2020'!E:E),0)</f>
        <v>0</v>
      </c>
    </row>
    <row r="15" spans="1:13" s="166" customFormat="1" ht="12" customHeight="1">
      <c r="A15" s="163" t="s">
        <v>3</v>
      </c>
      <c r="B15" s="163"/>
      <c r="C15" s="164">
        <v>1110301</v>
      </c>
      <c r="D15" s="164" t="s">
        <v>741</v>
      </c>
      <c r="E15" s="165" t="s">
        <v>6</v>
      </c>
      <c r="F15" s="165" t="s">
        <v>343</v>
      </c>
      <c r="G15" s="47">
        <f>IF(F15="I",IFERROR(VLOOKUP(C15,'BG 2021'!A:C,3,FALSE),0),0)</f>
        <v>0</v>
      </c>
      <c r="H15" s="163"/>
      <c r="I15" s="68">
        <f>IF(F15="I",IFERROR(VLOOKUP(C15,'BG 2021'!A:D,4,FALSE),0),0)</f>
        <v>0</v>
      </c>
      <c r="J15" s="40"/>
      <c r="K15" s="47">
        <f>IF(F15="I",SUMIF('BG 2020'!B:B,Clasificaciones!C15,'BG 2020'!D:D),0)</f>
        <v>0</v>
      </c>
      <c r="L15" s="40"/>
      <c r="M15" s="68">
        <f>IF(F15="I",SUMIF('BG 2020'!B:B,Clasificaciones!C15,'BG 2020'!E:E),0)</f>
        <v>0</v>
      </c>
    </row>
    <row r="16" spans="1:13" s="173" customFormat="1" ht="12" customHeight="1">
      <c r="A16" s="168" t="s">
        <v>3</v>
      </c>
      <c r="B16" s="168" t="s">
        <v>17</v>
      </c>
      <c r="C16" s="169">
        <v>111030101</v>
      </c>
      <c r="D16" s="169" t="s">
        <v>969</v>
      </c>
      <c r="E16" s="170" t="s">
        <v>6</v>
      </c>
      <c r="F16" s="170" t="s">
        <v>344</v>
      </c>
      <c r="G16" s="157">
        <f>IF(F16="I",IFERROR(VLOOKUP(C16,'BG 2021'!A:C,3,FALSE),0),0)</f>
        <v>1872447497</v>
      </c>
      <c r="H16" s="168" t="s">
        <v>17</v>
      </c>
      <c r="I16" s="172">
        <f>IF(F16="I",IFERROR(VLOOKUP(C16,'BG 2021'!A:D,4,FALSE),0),0)</f>
        <v>272522.09000000358</v>
      </c>
      <c r="J16" s="171"/>
      <c r="K16" s="157">
        <f>IF(F16="I",SUMIF('BG 2020'!B:B,Clasificaciones!C16,'BG 2020'!D:D),0)</f>
        <v>302810046</v>
      </c>
      <c r="L16" s="171"/>
      <c r="M16" s="172">
        <f>IF(F16="I",SUMIF('BG 2020'!B:B,Clasificaciones!C16,'BG 2020'!E:E),0)</f>
        <v>43936.71</v>
      </c>
    </row>
    <row r="17" spans="1:13" s="173" customFormat="1" ht="12" customHeight="1">
      <c r="A17" s="168" t="s">
        <v>3</v>
      </c>
      <c r="B17" s="168" t="s">
        <v>17</v>
      </c>
      <c r="C17" s="169">
        <v>111030102</v>
      </c>
      <c r="D17" s="169" t="s">
        <v>742</v>
      </c>
      <c r="E17" s="170" t="s">
        <v>6</v>
      </c>
      <c r="F17" s="170" t="s">
        <v>344</v>
      </c>
      <c r="G17" s="157">
        <f>IF(F17="I",IFERROR(VLOOKUP(C17,'BG 2021'!A:C,3,FALSE),0),0)</f>
        <v>121221490</v>
      </c>
      <c r="H17" s="168" t="s">
        <v>17</v>
      </c>
      <c r="I17" s="172">
        <f>IF(F17="I",IFERROR(VLOOKUP(C17,'BG 2021'!A:D,4,FALSE),0),0)</f>
        <v>17642.969999998808</v>
      </c>
      <c r="J17" s="171"/>
      <c r="K17" s="157">
        <f>IF(F17="I",SUMIF('BG 2020'!B:B,Clasificaciones!C17,'BG 2020'!D:D),0)</f>
        <v>20227028</v>
      </c>
      <c r="L17" s="171"/>
      <c r="M17" s="172">
        <f>IF(F17="I",SUMIF('BG 2020'!B:B,Clasificaciones!C17,'BG 2020'!E:E),0)</f>
        <v>2934.87</v>
      </c>
    </row>
    <row r="18" spans="1:13" s="173" customFormat="1" ht="12" customHeight="1">
      <c r="A18" s="168" t="s">
        <v>3</v>
      </c>
      <c r="B18" s="168" t="s">
        <v>17</v>
      </c>
      <c r="C18" s="169">
        <v>111030103</v>
      </c>
      <c r="D18" s="169" t="s">
        <v>743</v>
      </c>
      <c r="E18" s="170" t="s">
        <v>6</v>
      </c>
      <c r="F18" s="170" t="s">
        <v>344</v>
      </c>
      <c r="G18" s="157">
        <f>IF(F18="I",IFERROR(VLOOKUP(C18,'BG 2021'!A:C,3,FALSE),0),0)</f>
        <v>6027989</v>
      </c>
      <c r="H18" s="168" t="s">
        <v>17</v>
      </c>
      <c r="I18" s="172">
        <f>IF(F18="I",IFERROR(VLOOKUP(C18,'BG 2021'!A:D,4,FALSE),0),0)</f>
        <v>877.32999999998719</v>
      </c>
      <c r="J18" s="171"/>
      <c r="K18" s="157">
        <f>IF(F18="I",SUMIF('BG 2020'!B:B,Clasificaciones!C18,'BG 2020'!D:D),0)</f>
        <v>6000000</v>
      </c>
      <c r="L18" s="171"/>
      <c r="M18" s="172">
        <f>IF(F18="I",SUMIF('BG 2020'!B:B,Clasificaciones!C18,'BG 2020'!E:E),0)</f>
        <v>870.58</v>
      </c>
    </row>
    <row r="19" spans="1:13" s="173" customFormat="1" ht="12" customHeight="1">
      <c r="A19" s="168" t="s">
        <v>3</v>
      </c>
      <c r="B19" s="168" t="s">
        <v>17</v>
      </c>
      <c r="C19" s="169">
        <v>111030104</v>
      </c>
      <c r="D19" s="169" t="s">
        <v>744</v>
      </c>
      <c r="E19" s="170" t="s">
        <v>6</v>
      </c>
      <c r="F19" s="170" t="s">
        <v>344</v>
      </c>
      <c r="G19" s="157">
        <f>IF(F19="I",IFERROR(VLOOKUP(C19,'BG 2021'!A:C,3,FALSE),0),0)</f>
        <v>6000000</v>
      </c>
      <c r="H19" s="168" t="s">
        <v>17</v>
      </c>
      <c r="I19" s="172">
        <f>IF(F19="I",IFERROR(VLOOKUP(C19,'BG 2021'!A:D,4,FALSE),0),0)</f>
        <v>873.26</v>
      </c>
      <c r="J19" s="171"/>
      <c r="K19" s="157">
        <f>IF(F19="I",SUMIF('BG 2020'!B:B,Clasificaciones!C19,'BG 2020'!D:D),0)</f>
        <v>6000000</v>
      </c>
      <c r="L19" s="171"/>
      <c r="M19" s="172">
        <f>IF(F19="I",SUMIF('BG 2020'!B:B,Clasificaciones!C19,'BG 2020'!E:E),0)</f>
        <v>870.58</v>
      </c>
    </row>
    <row r="20" spans="1:13" s="166" customFormat="1" ht="12" customHeight="1">
      <c r="A20" s="163" t="s">
        <v>3</v>
      </c>
      <c r="B20" s="163" t="s">
        <v>17</v>
      </c>
      <c r="C20" s="164">
        <v>111030105</v>
      </c>
      <c r="D20" s="164" t="s">
        <v>983</v>
      </c>
      <c r="E20" s="165" t="s">
        <v>6</v>
      </c>
      <c r="F20" s="165" t="s">
        <v>344</v>
      </c>
      <c r="G20" s="47">
        <f>IF(F20="I",IFERROR(VLOOKUP(C20,'BG 2021'!A:C,3,FALSE),0),0)</f>
        <v>0</v>
      </c>
      <c r="H20" s="163" t="s">
        <v>17</v>
      </c>
      <c r="I20" s="68">
        <f>IF(F20="I",IFERROR(VLOOKUP(C20,'BG 2021'!A:D,4,FALSE),0),0)</f>
        <v>0</v>
      </c>
      <c r="J20" s="40"/>
      <c r="K20" s="47">
        <f>IF(F20="I",SUMIF('BG 2020'!B:B,Clasificaciones!C20,'BG 2020'!D:D),0)</f>
        <v>0</v>
      </c>
      <c r="L20" s="40"/>
      <c r="M20" s="68">
        <f>IF(F20="I",SUMIF('BG 2020'!B:B,Clasificaciones!C20,'BG 2020'!E:E),0)</f>
        <v>0</v>
      </c>
    </row>
    <row r="21" spans="1:13" s="173" customFormat="1" ht="12" customHeight="1">
      <c r="A21" s="168" t="s">
        <v>3</v>
      </c>
      <c r="B21" s="168" t="s">
        <v>17</v>
      </c>
      <c r="C21" s="169">
        <v>111030106</v>
      </c>
      <c r="D21" s="169" t="s">
        <v>745</v>
      </c>
      <c r="E21" s="170" t="s">
        <v>6</v>
      </c>
      <c r="F21" s="170" t="s">
        <v>344</v>
      </c>
      <c r="G21" s="157">
        <f>IF(F21="I",IFERROR(VLOOKUP(C21,'BG 2021'!A:C,3,FALSE),0),0)</f>
        <v>5560000</v>
      </c>
      <c r="H21" s="168" t="s">
        <v>17</v>
      </c>
      <c r="I21" s="172">
        <f>IF(F21="I",IFERROR(VLOOKUP(C21,'BG 2021'!A:D,4,FALSE),0),0)</f>
        <v>809.21999999997206</v>
      </c>
      <c r="J21" s="171"/>
      <c r="K21" s="157">
        <f>IF(F21="I",SUMIF('BG 2020'!B:B,Clasificaciones!C21,'BG 2020'!D:D),0)</f>
        <v>5100000</v>
      </c>
      <c r="L21" s="171"/>
      <c r="M21" s="172">
        <f>IF(F21="I",SUMIF('BG 2020'!B:B,Clasificaciones!C21,'BG 2020'!E:E),0)</f>
        <v>739.99</v>
      </c>
    </row>
    <row r="22" spans="1:13" s="173" customFormat="1" ht="12" customHeight="1">
      <c r="A22" s="168" t="s">
        <v>3</v>
      </c>
      <c r="B22" s="168" t="s">
        <v>17</v>
      </c>
      <c r="C22" s="169">
        <v>111030107</v>
      </c>
      <c r="D22" s="169" t="s">
        <v>746</v>
      </c>
      <c r="E22" s="170" t="s">
        <v>6</v>
      </c>
      <c r="F22" s="170" t="s">
        <v>344</v>
      </c>
      <c r="G22" s="157">
        <f>IF(F22="I",IFERROR(VLOOKUP(C22,'BG 2021'!A:C,3,FALSE),0),0)</f>
        <v>300374</v>
      </c>
      <c r="H22" s="168" t="s">
        <v>17</v>
      </c>
      <c r="I22" s="172">
        <f>IF(F22="I",IFERROR(VLOOKUP(C22,'BG 2021'!A:D,4,FALSE),0),0)</f>
        <v>43.72</v>
      </c>
      <c r="J22" s="171"/>
      <c r="K22" s="157">
        <f>IF(F22="I",SUMIF('BG 2020'!B:B,Clasificaciones!C22,'BG 2020'!D:D),0)</f>
        <v>300000</v>
      </c>
      <c r="L22" s="171"/>
      <c r="M22" s="172">
        <f>IF(F22="I",SUMIF('BG 2020'!B:B,Clasificaciones!C22,'BG 2020'!E:E),0)</f>
        <v>43.53</v>
      </c>
    </row>
    <row r="23" spans="1:13" s="173" customFormat="1" ht="12" customHeight="1">
      <c r="A23" s="168" t="s">
        <v>3</v>
      </c>
      <c r="B23" s="168" t="s">
        <v>17</v>
      </c>
      <c r="C23" s="169">
        <v>111030108</v>
      </c>
      <c r="D23" s="169" t="s">
        <v>747</v>
      </c>
      <c r="E23" s="170" t="s">
        <v>6</v>
      </c>
      <c r="F23" s="170" t="s">
        <v>344</v>
      </c>
      <c r="G23" s="157">
        <f>IF(F23="I",IFERROR(VLOOKUP(C23,'BG 2021'!A:C,3,FALSE),0),0)</f>
        <v>3468465</v>
      </c>
      <c r="H23" s="168" t="s">
        <v>17</v>
      </c>
      <c r="I23" s="172">
        <f>IF(F23="I",IFERROR(VLOOKUP(C23,'BG 2021'!A:D,4,FALSE),0),0)</f>
        <v>504.80999999999767</v>
      </c>
      <c r="J23" s="171"/>
      <c r="K23" s="157">
        <f>IF(F23="I",SUMIF('BG 2020'!B:B,Clasificaciones!C23,'BG 2020'!D:D),0)</f>
        <v>39964336</v>
      </c>
      <c r="L23" s="171"/>
      <c r="M23" s="172">
        <f>IF(F23="I",SUMIF('BG 2020'!B:B,Clasificaciones!C23,'BG 2020'!E:E),0)</f>
        <v>5798.69</v>
      </c>
    </row>
    <row r="24" spans="1:13" s="173" customFormat="1" ht="12" customHeight="1">
      <c r="A24" s="168" t="s">
        <v>3</v>
      </c>
      <c r="B24" s="168" t="s">
        <v>17</v>
      </c>
      <c r="C24" s="169">
        <v>111030109</v>
      </c>
      <c r="D24" s="169" t="s">
        <v>748</v>
      </c>
      <c r="E24" s="170" t="s">
        <v>6</v>
      </c>
      <c r="F24" s="170" t="s">
        <v>344</v>
      </c>
      <c r="G24" s="157">
        <f>IF(F24="I",IFERROR(VLOOKUP(C24,'BG 2021'!A:C,3,FALSE),0),0)</f>
        <v>3982</v>
      </c>
      <c r="H24" s="168" t="s">
        <v>17</v>
      </c>
      <c r="I24" s="172">
        <f>IF(F24="I",IFERROR(VLOOKUP(C24,'BG 2021'!A:D,4,FALSE),0),0)</f>
        <v>0.58000000007450581</v>
      </c>
      <c r="J24" s="171"/>
      <c r="K24" s="157">
        <f>IF(F24="I",SUMIF('BG 2020'!B:B,Clasificaciones!C24,'BG 2020'!D:D),0)</f>
        <v>1189</v>
      </c>
      <c r="L24" s="171"/>
      <c r="M24" s="172">
        <f>IF(F24="I",SUMIF('BG 2020'!B:B,Clasificaciones!C24,'BG 2020'!E:E),0)</f>
        <v>0.17</v>
      </c>
    </row>
    <row r="25" spans="1:13" s="166" customFormat="1" ht="12" customHeight="1">
      <c r="A25" s="163" t="s">
        <v>3</v>
      </c>
      <c r="B25" s="163" t="s">
        <v>17</v>
      </c>
      <c r="C25" s="164">
        <v>111030110</v>
      </c>
      <c r="D25" s="164" t="s">
        <v>984</v>
      </c>
      <c r="E25" s="165" t="s">
        <v>6</v>
      </c>
      <c r="F25" s="165" t="s">
        <v>344</v>
      </c>
      <c r="G25" s="47">
        <f>IF(F25="I",IFERROR(VLOOKUP(C25,'BG 2021'!A:C,3,FALSE),0),0)</f>
        <v>0</v>
      </c>
      <c r="H25" s="163" t="s">
        <v>17</v>
      </c>
      <c r="I25" s="68">
        <f>IF(F25="I",IFERROR(VLOOKUP(C25,'BG 2021'!A:D,4,FALSE),0),0)</f>
        <v>0</v>
      </c>
      <c r="J25" s="40"/>
      <c r="K25" s="47">
        <f>IF(F25="I",SUMIF('BG 2020'!B:B,Clasificaciones!C25,'BG 2020'!D:D),0)</f>
        <v>0</v>
      </c>
      <c r="L25" s="40"/>
      <c r="M25" s="68">
        <f>IF(F25="I",SUMIF('BG 2020'!B:B,Clasificaciones!C25,'BG 2020'!E:E),0)</f>
        <v>0</v>
      </c>
    </row>
    <row r="26" spans="1:13" s="173" customFormat="1" ht="12" customHeight="1">
      <c r="A26" s="168" t="s">
        <v>3</v>
      </c>
      <c r="B26" s="168" t="s">
        <v>17</v>
      </c>
      <c r="C26" s="169">
        <v>111030111</v>
      </c>
      <c r="D26" s="169" t="s">
        <v>970</v>
      </c>
      <c r="E26" s="170" t="s">
        <v>6</v>
      </c>
      <c r="F26" s="170" t="s">
        <v>344</v>
      </c>
      <c r="G26" s="157">
        <f>IF(F26="I",IFERROR(VLOOKUP(C26,'BG 2021'!A:C,3,FALSE),0),0)</f>
        <v>36676</v>
      </c>
      <c r="H26" s="168" t="s">
        <v>17</v>
      </c>
      <c r="I26" s="172">
        <f>IF(F26="I",IFERROR(VLOOKUP(C26,'BG 2021'!A:D,4,FALSE),0),0)</f>
        <v>5.340000000083819</v>
      </c>
      <c r="J26" s="171"/>
      <c r="K26" s="157">
        <f>IF(F26="I",SUMIF('BG 2020'!B:B,Clasificaciones!C26,'BG 2020'!D:D),0)</f>
        <v>448</v>
      </c>
      <c r="L26" s="171"/>
      <c r="M26" s="172">
        <f>IF(F26="I",SUMIF('BG 2020'!B:B,Clasificaciones!C26,'BG 2020'!E:E),0)</f>
        <v>7.0000000000000007E-2</v>
      </c>
    </row>
    <row r="27" spans="1:13" s="173" customFormat="1" ht="12" customHeight="1">
      <c r="A27" s="168" t="s">
        <v>3</v>
      </c>
      <c r="B27" s="168" t="s">
        <v>17</v>
      </c>
      <c r="C27" s="169">
        <v>111030112</v>
      </c>
      <c r="D27" s="169" t="s">
        <v>749</v>
      </c>
      <c r="E27" s="170" t="s">
        <v>6</v>
      </c>
      <c r="F27" s="170" t="s">
        <v>344</v>
      </c>
      <c r="G27" s="157">
        <f>IF(F27="I",IFERROR(VLOOKUP(C27,'BG 2021'!A:C,3,FALSE),0),0)</f>
        <v>263032</v>
      </c>
      <c r="H27" s="168" t="s">
        <v>17</v>
      </c>
      <c r="I27" s="172">
        <f>IF(F27="I",IFERROR(VLOOKUP(C27,'BG 2021'!A:D,4,FALSE),0),0)</f>
        <v>38.28</v>
      </c>
      <c r="J27" s="171"/>
      <c r="K27" s="157">
        <f>IF(F27="I",SUMIF('BG 2020'!B:B,Clasificaciones!C27,'BG 2020'!D:D),0)</f>
        <v>263014</v>
      </c>
      <c r="L27" s="171"/>
      <c r="M27" s="172">
        <f>IF(F27="I",SUMIF('BG 2020'!B:B,Clasificaciones!C27,'BG 2020'!E:E),0)</f>
        <v>38.159999999999997</v>
      </c>
    </row>
    <row r="28" spans="1:13" s="173" customFormat="1" ht="12" customHeight="1">
      <c r="A28" s="168" t="s">
        <v>3</v>
      </c>
      <c r="B28" s="168" t="s">
        <v>17</v>
      </c>
      <c r="C28" s="169">
        <v>111030113</v>
      </c>
      <c r="D28" s="169" t="s">
        <v>750</v>
      </c>
      <c r="E28" s="170" t="s">
        <v>6</v>
      </c>
      <c r="F28" s="170" t="s">
        <v>344</v>
      </c>
      <c r="G28" s="157">
        <f>IF(F28="I",IFERROR(VLOOKUP(C28,'BG 2021'!A:C,3,FALSE),0),0)</f>
        <v>18159282</v>
      </c>
      <c r="H28" s="168" t="s">
        <v>17</v>
      </c>
      <c r="I28" s="172">
        <f>IF(F28="I",IFERROR(VLOOKUP(C28,'BG 2021'!A:D,4,FALSE),0),0)</f>
        <v>2642.9599999999919</v>
      </c>
      <c r="J28" s="171"/>
      <c r="K28" s="157">
        <f>IF(F28="I",SUMIF('BG 2020'!B:B,Clasificaciones!C28,'BG 2020'!D:D),0)</f>
        <v>12324356</v>
      </c>
      <c r="L28" s="171"/>
      <c r="M28" s="172">
        <f>IF(F28="I",SUMIF('BG 2020'!B:B,Clasificaciones!C28,'BG 2020'!E:E),0)</f>
        <v>1788.22</v>
      </c>
    </row>
    <row r="29" spans="1:13" s="173" customFormat="1" ht="12" customHeight="1">
      <c r="A29" s="168" t="s">
        <v>3</v>
      </c>
      <c r="B29" s="168" t="s">
        <v>17</v>
      </c>
      <c r="C29" s="169">
        <v>111030114</v>
      </c>
      <c r="D29" s="169" t="s">
        <v>751</v>
      </c>
      <c r="E29" s="170" t="s">
        <v>6</v>
      </c>
      <c r="F29" s="170" t="s">
        <v>344</v>
      </c>
      <c r="G29" s="157">
        <f>IF(F29="I",IFERROR(VLOOKUP(C29,'BG 2021'!A:C,3,FALSE),0),0)</f>
        <v>6759960</v>
      </c>
      <c r="H29" s="168" t="s">
        <v>17</v>
      </c>
      <c r="I29" s="172">
        <f>IF(F29="I",IFERROR(VLOOKUP(C29,'BG 2021'!A:D,4,FALSE),0),0)</f>
        <v>983.87000000011176</v>
      </c>
      <c r="J29" s="171"/>
      <c r="K29" s="157">
        <f>IF(F29="I",SUMIF('BG 2020'!B:B,Clasificaciones!C29,'BG 2020'!D:D),0)</f>
        <v>3000000</v>
      </c>
      <c r="L29" s="171"/>
      <c r="M29" s="172">
        <f>IF(F29="I",SUMIF('BG 2020'!B:B,Clasificaciones!C29,'BG 2020'!E:E),0)</f>
        <v>435.29</v>
      </c>
    </row>
    <row r="30" spans="1:13" s="173" customFormat="1" ht="12" customHeight="1">
      <c r="A30" s="168" t="s">
        <v>3</v>
      </c>
      <c r="B30" s="168" t="s">
        <v>17</v>
      </c>
      <c r="C30" s="169">
        <v>111030116</v>
      </c>
      <c r="D30" s="169" t="s">
        <v>985</v>
      </c>
      <c r="E30" s="170" t="s">
        <v>6</v>
      </c>
      <c r="F30" s="170" t="s">
        <v>344</v>
      </c>
      <c r="G30" s="157">
        <f>IF(F30="I",IFERROR(VLOOKUP(C30,'BG 2021'!A:C,3,FALSE),0),0)</f>
        <v>3800000</v>
      </c>
      <c r="H30" s="168" t="s">
        <v>17</v>
      </c>
      <c r="I30" s="172">
        <f>IF(F30="I",IFERROR(VLOOKUP(C30,'BG 2021'!A:D,4,FALSE),0),0)</f>
        <v>553.05999999999995</v>
      </c>
      <c r="J30" s="171"/>
      <c r="K30" s="157">
        <f>IF(F30="I",SUMIF('BG 2020'!B:B,Clasificaciones!C30,'BG 2020'!D:D),0)</f>
        <v>0</v>
      </c>
      <c r="L30" s="171"/>
      <c r="M30" s="172">
        <f>IF(F30="I",SUMIF('BG 2020'!B:B,Clasificaciones!C30,'BG 2020'!E:E),0)</f>
        <v>0</v>
      </c>
    </row>
    <row r="31" spans="1:13" s="173" customFormat="1" ht="12" customHeight="1">
      <c r="A31" s="168" t="s">
        <v>3</v>
      </c>
      <c r="B31" s="168" t="s">
        <v>17</v>
      </c>
      <c r="C31" s="169">
        <v>111030117</v>
      </c>
      <c r="D31" s="169" t="s">
        <v>986</v>
      </c>
      <c r="E31" s="170" t="s">
        <v>6</v>
      </c>
      <c r="F31" s="170" t="s">
        <v>344</v>
      </c>
      <c r="G31" s="157">
        <f>IF(F31="I",IFERROR(VLOOKUP(C31,'BG 2021'!A:C,3,FALSE),0),0)</f>
        <v>1000706</v>
      </c>
      <c r="H31" s="168" t="s">
        <v>17</v>
      </c>
      <c r="I31" s="172">
        <f>IF(F31="I",IFERROR(VLOOKUP(C31,'BG 2021'!A:D,4,FALSE),0),0)</f>
        <v>145.64999999999998</v>
      </c>
      <c r="J31" s="171"/>
      <c r="K31" s="157">
        <f>IF(F31="I",SUMIF('BG 2020'!B:B,Clasificaciones!C31,'BG 2020'!D:D),0)</f>
        <v>0</v>
      </c>
      <c r="L31" s="171"/>
      <c r="M31" s="172">
        <f>IF(F31="I",SUMIF('BG 2020'!B:B,Clasificaciones!C31,'BG 2020'!E:E),0)</f>
        <v>0</v>
      </c>
    </row>
    <row r="32" spans="1:13" s="173" customFormat="1" ht="12" customHeight="1">
      <c r="A32" s="168" t="s">
        <v>3</v>
      </c>
      <c r="B32" s="168" t="s">
        <v>17</v>
      </c>
      <c r="C32" s="169">
        <v>111030118</v>
      </c>
      <c r="D32" s="169" t="s">
        <v>1312</v>
      </c>
      <c r="E32" s="170" t="s">
        <v>6</v>
      </c>
      <c r="F32" s="170" t="s">
        <v>344</v>
      </c>
      <c r="G32" s="157">
        <f>IF(F32="I",IFERROR(VLOOKUP(C32,'BG 2021'!A:C,3,FALSE),0),0)</f>
        <v>468059075</v>
      </c>
      <c r="H32" s="168" t="s">
        <v>17</v>
      </c>
      <c r="I32" s="172">
        <f>IF(F32="I",IFERROR(VLOOKUP(C32,'BG 2021'!A:D,4,FALSE),0),0)</f>
        <v>68122.84</v>
      </c>
      <c r="J32" s="171"/>
      <c r="K32" s="157">
        <f>IF(F32="I",SUMIF('BG 2020'!B:B,Clasificaciones!C32,'BG 2020'!D:D),0)</f>
        <v>0</v>
      </c>
      <c r="L32" s="171"/>
      <c r="M32" s="172">
        <f>IF(F32="I",SUMIF('BG 2020'!B:B,Clasificaciones!C32,'BG 2020'!E:E),0)</f>
        <v>0</v>
      </c>
    </row>
    <row r="33" spans="1:13" s="173" customFormat="1" ht="12" customHeight="1">
      <c r="A33" s="168" t="s">
        <v>3</v>
      </c>
      <c r="B33" s="168" t="s">
        <v>17</v>
      </c>
      <c r="C33" s="169">
        <v>111030119</v>
      </c>
      <c r="D33" s="169" t="s">
        <v>761</v>
      </c>
      <c r="E33" s="170" t="s">
        <v>6</v>
      </c>
      <c r="F33" s="170" t="s">
        <v>344</v>
      </c>
      <c r="G33" s="157">
        <f>IF(F33="I",IFERROR(VLOOKUP(C33,'BG 2021'!A:C,3,FALSE),0),0)</f>
        <v>110</v>
      </c>
      <c r="H33" s="168" t="s">
        <v>17</v>
      </c>
      <c r="I33" s="172">
        <f>IF(F33="I",IFERROR(VLOOKUP(C33,'BG 2021'!A:D,4,FALSE),0),0)</f>
        <v>2.0000000004074536E-2</v>
      </c>
      <c r="J33" s="171"/>
      <c r="K33" s="157">
        <f>IF(F33="I",SUMIF('BG 2020'!B:B,Clasificaciones!C33,'BG 2020'!D:D),0)</f>
        <v>0</v>
      </c>
      <c r="L33" s="171"/>
      <c r="M33" s="172">
        <f>IF(F33="I",SUMIF('BG 2020'!B:B,Clasificaciones!C33,'BG 2020'!E:E),0)</f>
        <v>0</v>
      </c>
    </row>
    <row r="34" spans="1:13" s="166" customFormat="1" ht="12" customHeight="1">
      <c r="A34" s="163" t="s">
        <v>3</v>
      </c>
      <c r="B34" s="163" t="s">
        <v>17</v>
      </c>
      <c r="C34" s="164">
        <v>111030120</v>
      </c>
      <c r="D34" s="164" t="s">
        <v>987</v>
      </c>
      <c r="E34" s="165" t="s">
        <v>6</v>
      </c>
      <c r="F34" s="165" t="s">
        <v>344</v>
      </c>
      <c r="G34" s="47">
        <f>IF(F34="I",IFERROR(VLOOKUP(C34,'BG 2021'!A:C,3,FALSE),0),0)</f>
        <v>0</v>
      </c>
      <c r="H34" s="163" t="s">
        <v>17</v>
      </c>
      <c r="I34" s="68">
        <f>IF(F34="I",IFERROR(VLOOKUP(C34,'BG 2021'!A:D,4,FALSE),0),0)</f>
        <v>0</v>
      </c>
      <c r="J34" s="40"/>
      <c r="K34" s="47">
        <f>IF(F34="I",SUMIF('BG 2020'!B:B,Clasificaciones!C34,'BG 2020'!D:D),0)</f>
        <v>0</v>
      </c>
      <c r="L34" s="40"/>
      <c r="M34" s="68">
        <f>IF(F34="I",SUMIF('BG 2020'!B:B,Clasificaciones!C34,'BG 2020'!E:E),0)</f>
        <v>0</v>
      </c>
    </row>
    <row r="35" spans="1:13" s="173" customFormat="1" ht="12" customHeight="1">
      <c r="A35" s="168" t="s">
        <v>3</v>
      </c>
      <c r="B35" s="168" t="s">
        <v>17</v>
      </c>
      <c r="C35" s="169">
        <v>111030121</v>
      </c>
      <c r="D35" s="169" t="s">
        <v>988</v>
      </c>
      <c r="E35" s="170" t="s">
        <v>6</v>
      </c>
      <c r="F35" s="170" t="s">
        <v>344</v>
      </c>
      <c r="G35" s="157">
        <f>IF(F35="I",IFERROR(VLOOKUP(C35,'BG 2021'!A:C,3,FALSE),0),0)</f>
        <v>47834073</v>
      </c>
      <c r="H35" s="168" t="s">
        <v>17</v>
      </c>
      <c r="I35" s="172">
        <f>IF(F35="I",IFERROR(VLOOKUP(C35,'BG 2021'!A:D,4,FALSE),0),0)</f>
        <v>6961.929999999702</v>
      </c>
      <c r="J35" s="171"/>
      <c r="K35" s="157">
        <f>IF(F35="I",SUMIF('BG 2020'!B:B,Clasificaciones!C35,'BG 2020'!D:D),0)</f>
        <v>0</v>
      </c>
      <c r="L35" s="171"/>
      <c r="M35" s="172">
        <f>IF(F35="I",SUMIF('BG 2020'!B:B,Clasificaciones!C35,'BG 2020'!E:E),0)</f>
        <v>0</v>
      </c>
    </row>
    <row r="36" spans="1:13" s="173" customFormat="1" ht="12" customHeight="1">
      <c r="A36" s="168" t="s">
        <v>3</v>
      </c>
      <c r="B36" s="168" t="s">
        <v>17</v>
      </c>
      <c r="C36" s="169">
        <v>111030122</v>
      </c>
      <c r="D36" s="169" t="s">
        <v>1331</v>
      </c>
      <c r="E36" s="170" t="s">
        <v>6</v>
      </c>
      <c r="F36" s="170" t="s">
        <v>344</v>
      </c>
      <c r="G36" s="157">
        <f>IF(F36="I",IFERROR(VLOOKUP(C36,'BG 2021'!A:C,3,FALSE),0),0)</f>
        <v>7781169</v>
      </c>
      <c r="H36" s="168" t="s">
        <v>17</v>
      </c>
      <c r="I36" s="172">
        <f>IF(F36="I",IFERROR(VLOOKUP(C36,'BG 2021'!A:D,4,FALSE),0),0)</f>
        <v>1132.5</v>
      </c>
      <c r="J36" s="171"/>
      <c r="K36" s="157">
        <f>IF(F36="I",SUMIF('BG 2020'!B:B,Clasificaciones!C36,'BG 2020'!D:D),0)</f>
        <v>0</v>
      </c>
      <c r="L36" s="171"/>
      <c r="M36" s="172">
        <f>IF(F36="I",SUMIF('BG 2020'!B:B,Clasificaciones!C36,'BG 2020'!E:E),0)</f>
        <v>0</v>
      </c>
    </row>
    <row r="37" spans="1:13" s="166" customFormat="1" ht="12" customHeight="1">
      <c r="A37" s="163" t="s">
        <v>3</v>
      </c>
      <c r="B37" s="163"/>
      <c r="C37" s="164">
        <v>1110302</v>
      </c>
      <c r="D37" s="164" t="s">
        <v>752</v>
      </c>
      <c r="E37" s="165" t="s">
        <v>6</v>
      </c>
      <c r="F37" s="165" t="s">
        <v>343</v>
      </c>
      <c r="G37" s="47">
        <f>IF(F37="I",IFERROR(VLOOKUP(C37,'BG 2021'!A:C,3,FALSE),0),0)</f>
        <v>0</v>
      </c>
      <c r="H37" s="163"/>
      <c r="I37" s="68">
        <f>IF(F37="I",IFERROR(VLOOKUP(C37,'BG 2021'!A:D,4,FALSE),0),0)</f>
        <v>0</v>
      </c>
      <c r="J37" s="40"/>
      <c r="K37" s="47">
        <f>IF(F37="I",SUMIF('BG 2020'!B:B,Clasificaciones!C37,'BG 2020'!D:D),0)</f>
        <v>0</v>
      </c>
      <c r="L37" s="40"/>
      <c r="M37" s="68">
        <f>IF(F37="I",SUMIF('BG 2020'!B:B,Clasificaciones!C37,'BG 2020'!E:E),0)</f>
        <v>0</v>
      </c>
    </row>
    <row r="38" spans="1:13" s="173" customFormat="1" ht="12" customHeight="1">
      <c r="A38" s="168" t="s">
        <v>3</v>
      </c>
      <c r="B38" s="168" t="s">
        <v>17</v>
      </c>
      <c r="C38" s="169">
        <v>111030201</v>
      </c>
      <c r="D38" s="169" t="s">
        <v>989</v>
      </c>
      <c r="E38" s="170" t="s">
        <v>229</v>
      </c>
      <c r="F38" s="170" t="s">
        <v>344</v>
      </c>
      <c r="G38" s="157">
        <f>IF(F38="I",IFERROR(VLOOKUP(C38,'BG 2021'!A:C,3,FALSE),0),0)</f>
        <v>1</v>
      </c>
      <c r="H38" s="168" t="s">
        <v>17</v>
      </c>
      <c r="I38" s="172">
        <f>IF(F38="I",IFERROR(VLOOKUP(C38,'BG 2021'!A:D,4,FALSE),0),0)</f>
        <v>0</v>
      </c>
      <c r="J38" s="171"/>
      <c r="K38" s="157">
        <f>IF(F38="I",SUMIF('BG 2020'!B:B,Clasificaciones!C38,'BG 2020'!D:D),0)</f>
        <v>0</v>
      </c>
      <c r="L38" s="171"/>
      <c r="M38" s="172">
        <f>IF(F38="I",SUMIF('BG 2020'!B:B,Clasificaciones!C38,'BG 2020'!E:E),0)</f>
        <v>0</v>
      </c>
    </row>
    <row r="39" spans="1:13" s="173" customFormat="1" ht="12" customHeight="1">
      <c r="A39" s="168" t="s">
        <v>3</v>
      </c>
      <c r="B39" s="168" t="s">
        <v>17</v>
      </c>
      <c r="C39" s="169">
        <v>111030202</v>
      </c>
      <c r="D39" s="169" t="s">
        <v>753</v>
      </c>
      <c r="E39" s="170" t="s">
        <v>229</v>
      </c>
      <c r="F39" s="170" t="s">
        <v>344</v>
      </c>
      <c r="G39" s="157">
        <f>IF(F39="I",IFERROR(VLOOKUP(C39,'BG 2021'!A:C,3,FALSE),0),0)</f>
        <v>103749</v>
      </c>
      <c r="H39" s="168" t="s">
        <v>17</v>
      </c>
      <c r="I39" s="172">
        <f>IF(F39="I",IFERROR(VLOOKUP(C39,'BG 2021'!A:D,4,FALSE),0),0)</f>
        <v>15.099999994039536</v>
      </c>
      <c r="J39" s="171"/>
      <c r="K39" s="157">
        <f>IF(F39="I",SUMIF('BG 2020'!B:B,Clasificaciones!C39,'BG 2020'!D:D),0)</f>
        <v>45627</v>
      </c>
      <c r="L39" s="171"/>
      <c r="M39" s="172">
        <f>IF(F39="I",SUMIF('BG 2020'!B:B,Clasificaciones!C39,'BG 2020'!E:E),0)</f>
        <v>6.62</v>
      </c>
    </row>
    <row r="40" spans="1:13" s="173" customFormat="1" ht="12" customHeight="1">
      <c r="A40" s="168" t="s">
        <v>3</v>
      </c>
      <c r="B40" s="168" t="s">
        <v>17</v>
      </c>
      <c r="C40" s="169">
        <v>111030203</v>
      </c>
      <c r="D40" s="169" t="s">
        <v>754</v>
      </c>
      <c r="E40" s="170" t="s">
        <v>229</v>
      </c>
      <c r="F40" s="170" t="s">
        <v>344</v>
      </c>
      <c r="G40" s="157">
        <f>IF(F40="I",IFERROR(VLOOKUP(C40,'BG 2021'!A:C,3,FALSE),0),0)</f>
        <v>47566618</v>
      </c>
      <c r="H40" s="168" t="s">
        <v>17</v>
      </c>
      <c r="I40" s="172">
        <f>IF(F40="I",IFERROR(VLOOKUP(C40,'BG 2021'!A:D,4,FALSE),0),0)</f>
        <v>6923</v>
      </c>
      <c r="J40" s="171"/>
      <c r="K40" s="157">
        <f>IF(F40="I",SUMIF('BG 2020'!B:B,Clasificaciones!C40,'BG 2020'!D:D),0)</f>
        <v>41351760</v>
      </c>
      <c r="L40" s="171"/>
      <c r="M40" s="172">
        <f>IF(F40="I",SUMIF('BG 2020'!B:B,Clasificaciones!C40,'BG 2020'!E:E),0)</f>
        <v>6000</v>
      </c>
    </row>
    <row r="41" spans="1:13" s="173" customFormat="1" ht="12" customHeight="1">
      <c r="A41" s="168" t="s">
        <v>3</v>
      </c>
      <c r="B41" s="168" t="s">
        <v>17</v>
      </c>
      <c r="C41" s="169">
        <v>111030204</v>
      </c>
      <c r="D41" s="169" t="s">
        <v>755</v>
      </c>
      <c r="E41" s="170" t="s">
        <v>229</v>
      </c>
      <c r="F41" s="170" t="s">
        <v>344</v>
      </c>
      <c r="G41" s="157">
        <f>IF(F41="I",IFERROR(VLOOKUP(C41,'BG 2021'!A:C,3,FALSE),0),0)</f>
        <v>51387132</v>
      </c>
      <c r="H41" s="168" t="s">
        <v>17</v>
      </c>
      <c r="I41" s="172">
        <f>IF(F41="I",IFERROR(VLOOKUP(C41,'BG 2021'!A:D,4,FALSE),0),0)</f>
        <v>7479.0499999999984</v>
      </c>
      <c r="J41" s="171"/>
      <c r="K41" s="157">
        <f>IF(F41="I",SUMIF('BG 2020'!B:B,Clasificaciones!C41,'BG 2020'!D:D),0)</f>
        <v>41351760</v>
      </c>
      <c r="L41" s="171"/>
      <c r="M41" s="172">
        <f>IF(F41="I",SUMIF('BG 2020'!B:B,Clasificaciones!C41,'BG 2020'!E:E),0)</f>
        <v>6000</v>
      </c>
    </row>
    <row r="42" spans="1:13" s="166" customFormat="1" ht="12" customHeight="1">
      <c r="A42" s="163" t="s">
        <v>3</v>
      </c>
      <c r="B42" s="163" t="s">
        <v>17</v>
      </c>
      <c r="C42" s="164">
        <v>111030205</v>
      </c>
      <c r="D42" s="164" t="s">
        <v>990</v>
      </c>
      <c r="E42" s="165" t="s">
        <v>229</v>
      </c>
      <c r="F42" s="165" t="s">
        <v>344</v>
      </c>
      <c r="G42" s="47">
        <f>IF(F42="I",IFERROR(VLOOKUP(C42,'BG 2021'!A:C,3,FALSE),0),0)</f>
        <v>0</v>
      </c>
      <c r="H42" s="163" t="s">
        <v>17</v>
      </c>
      <c r="I42" s="68">
        <f>IF(F42="I",IFERROR(VLOOKUP(C42,'BG 2021'!A:D,4,FALSE),0),0)</f>
        <v>0</v>
      </c>
      <c r="J42" s="40"/>
      <c r="K42" s="47">
        <f>IF(F42="I",SUMIF('BG 2020'!B:B,Clasificaciones!C42,'BG 2020'!D:D),0)</f>
        <v>0</v>
      </c>
      <c r="L42" s="40"/>
      <c r="M42" s="68">
        <f>IF(F42="I",SUMIF('BG 2020'!B:B,Clasificaciones!C42,'BG 2020'!E:E),0)</f>
        <v>0</v>
      </c>
    </row>
    <row r="43" spans="1:13" s="173" customFormat="1" ht="12" customHeight="1">
      <c r="A43" s="168" t="s">
        <v>3</v>
      </c>
      <c r="B43" s="168" t="s">
        <v>17</v>
      </c>
      <c r="C43" s="169">
        <v>111030206</v>
      </c>
      <c r="D43" s="169" t="s">
        <v>1609</v>
      </c>
      <c r="E43" s="170" t="s">
        <v>229</v>
      </c>
      <c r="F43" s="170" t="s">
        <v>344</v>
      </c>
      <c r="G43" s="157">
        <f>IF(F43="I",IFERROR(VLOOKUP(C43,'BG 2021'!A:C,3,FALSE),0),0)</f>
        <v>39661888</v>
      </c>
      <c r="H43" s="168" t="s">
        <v>17</v>
      </c>
      <c r="I43" s="172">
        <f>IF(F43="I",IFERROR(VLOOKUP(C43,'BG 2021'!A:D,4,FALSE),0),0)</f>
        <v>5772.5199999999031</v>
      </c>
      <c r="J43" s="171"/>
      <c r="K43" s="157">
        <f>IF(F43="I",SUMIF('BG 2020'!B:B,Clasificaciones!C43,'BG 2020'!D:D),0)</f>
        <v>5858</v>
      </c>
      <c r="L43" s="171"/>
      <c r="M43" s="172">
        <f>IF(F43="I",SUMIF('BG 2020'!B:B,Clasificaciones!C43,'BG 2020'!E:E),0)</f>
        <v>0.85</v>
      </c>
    </row>
    <row r="44" spans="1:13" s="173" customFormat="1" ht="12" customHeight="1">
      <c r="A44" s="168" t="s">
        <v>3</v>
      </c>
      <c r="B44" s="168" t="s">
        <v>17</v>
      </c>
      <c r="C44" s="169">
        <v>111030207</v>
      </c>
      <c r="D44" s="169" t="s">
        <v>1610</v>
      </c>
      <c r="E44" s="170" t="s">
        <v>229</v>
      </c>
      <c r="F44" s="170" t="s">
        <v>344</v>
      </c>
      <c r="G44" s="157">
        <f>IF(F44="I",IFERROR(VLOOKUP(C44,'BG 2021'!A:C,3,FALSE),0),0)</f>
        <v>12780</v>
      </c>
      <c r="H44" s="168" t="s">
        <v>17</v>
      </c>
      <c r="I44" s="172">
        <f>IF(F44="I",IFERROR(VLOOKUP(C44,'BG 2021'!A:D,4,FALSE),0),0)</f>
        <v>1.86</v>
      </c>
      <c r="J44" s="171"/>
      <c r="K44" s="157">
        <f>IF(F44="I",SUMIF('BG 2020'!B:B,Clasificaciones!C44,'BG 2020'!D:D),0)</f>
        <v>0</v>
      </c>
      <c r="L44" s="171"/>
      <c r="M44" s="172">
        <f>IF(F44="I",SUMIF('BG 2020'!B:B,Clasificaciones!C44,'BG 2020'!E:E),0)</f>
        <v>0</v>
      </c>
    </row>
    <row r="45" spans="1:13" s="166" customFormat="1" ht="12" customHeight="1">
      <c r="A45" s="163" t="s">
        <v>3</v>
      </c>
      <c r="B45" s="163" t="s">
        <v>17</v>
      </c>
      <c r="C45" s="164">
        <v>111030208</v>
      </c>
      <c r="D45" s="164" t="s">
        <v>992</v>
      </c>
      <c r="E45" s="165" t="s">
        <v>229</v>
      </c>
      <c r="F45" s="165" t="s">
        <v>344</v>
      </c>
      <c r="G45" s="47">
        <f>IF(F45="I",IFERROR(VLOOKUP(C45,'BG 2021'!A:C,3,FALSE),0),0)</f>
        <v>0</v>
      </c>
      <c r="H45" s="163" t="s">
        <v>17</v>
      </c>
      <c r="I45" s="68">
        <f>IF(F45="I",IFERROR(VLOOKUP(C45,'BG 2021'!A:D,4,FALSE),0),0)</f>
        <v>0</v>
      </c>
      <c r="J45" s="40"/>
      <c r="K45" s="47">
        <f>IF(F45="I",SUMIF('BG 2020'!B:B,Clasificaciones!C45,'BG 2020'!D:D),0)</f>
        <v>0</v>
      </c>
      <c r="L45" s="40"/>
      <c r="M45" s="68">
        <f>IF(F45="I",SUMIF('BG 2020'!B:B,Clasificaciones!C45,'BG 2020'!E:E),0)</f>
        <v>0</v>
      </c>
    </row>
    <row r="46" spans="1:13" s="173" customFormat="1" ht="12" customHeight="1">
      <c r="A46" s="168" t="s">
        <v>3</v>
      </c>
      <c r="B46" s="168" t="s">
        <v>17</v>
      </c>
      <c r="C46" s="169">
        <v>111030209</v>
      </c>
      <c r="D46" s="169" t="s">
        <v>1611</v>
      </c>
      <c r="E46" s="170" t="s">
        <v>229</v>
      </c>
      <c r="F46" s="170" t="s">
        <v>344</v>
      </c>
      <c r="G46" s="157">
        <f>IF(F46="I",IFERROR(VLOOKUP(C46,'BG 2021'!A:C,3,FALSE),0),0)</f>
        <v>34835</v>
      </c>
      <c r="H46" s="168" t="s">
        <v>17</v>
      </c>
      <c r="I46" s="172">
        <f>IF(F46="I",IFERROR(VLOOKUP(C46,'BG 2021'!A:D,4,FALSE),0),0)</f>
        <v>5.0699999998323619</v>
      </c>
      <c r="J46" s="171"/>
      <c r="K46" s="157">
        <f>IF(F46="I",SUMIF('BG 2020'!B:B,Clasificaciones!C46,'BG 2020'!D:D),0)</f>
        <v>758</v>
      </c>
      <c r="L46" s="171"/>
      <c r="M46" s="172">
        <f>IF(F46="I",SUMIF('BG 2020'!B:B,Clasificaciones!C46,'BG 2020'!E:E),0)</f>
        <v>0.11</v>
      </c>
    </row>
    <row r="47" spans="1:13" s="173" customFormat="1" ht="12" customHeight="1">
      <c r="A47" s="168" t="s">
        <v>3</v>
      </c>
      <c r="B47" s="168" t="s">
        <v>17</v>
      </c>
      <c r="C47" s="169">
        <v>111030210</v>
      </c>
      <c r="D47" s="169" t="s">
        <v>1612</v>
      </c>
      <c r="E47" s="170" t="s">
        <v>229</v>
      </c>
      <c r="F47" s="170" t="s">
        <v>344</v>
      </c>
      <c r="G47" s="157">
        <f>IF(F47="I",IFERROR(VLOOKUP(C47,'BG 2021'!A:C,3,FALSE),0),0)</f>
        <v>28300935</v>
      </c>
      <c r="H47" s="168" t="s">
        <v>17</v>
      </c>
      <c r="I47" s="172">
        <f>IF(F47="I",IFERROR(VLOOKUP(C47,'BG 2021'!A:D,4,FALSE),0),0)</f>
        <v>4119.0100000000093</v>
      </c>
      <c r="J47" s="171"/>
      <c r="K47" s="157">
        <f>IF(F47="I",SUMIF('BG 2020'!B:B,Clasificaciones!C47,'BG 2020'!D:D),0)</f>
        <v>104212293</v>
      </c>
      <c r="L47" s="171"/>
      <c r="M47" s="172">
        <f>IF(F47="I",SUMIF('BG 2020'!B:B,Clasificaciones!C47,'BG 2020'!E:E),0)</f>
        <v>15120.85</v>
      </c>
    </row>
    <row r="48" spans="1:13" s="173" customFormat="1" ht="12" customHeight="1">
      <c r="A48" s="168" t="s">
        <v>3</v>
      </c>
      <c r="B48" s="168" t="s">
        <v>17</v>
      </c>
      <c r="C48" s="169">
        <v>111030211</v>
      </c>
      <c r="D48" s="169" t="s">
        <v>759</v>
      </c>
      <c r="E48" s="170" t="s">
        <v>229</v>
      </c>
      <c r="F48" s="170" t="s">
        <v>344</v>
      </c>
      <c r="G48" s="157">
        <f>IF(F48="I",IFERROR(VLOOKUP(C48,'BG 2021'!A:C,3,FALSE),0),0)</f>
        <v>16401929</v>
      </c>
      <c r="H48" s="168" t="s">
        <v>17</v>
      </c>
      <c r="I48" s="172">
        <f>IF(F48="I",IFERROR(VLOOKUP(C48,'BG 2021'!A:D,4,FALSE),0),0)</f>
        <v>2387.1900000000023</v>
      </c>
      <c r="J48" s="171"/>
      <c r="K48" s="157">
        <f>IF(F48="I",SUMIF('BG 2020'!B:B,Clasificaciones!C48,'BG 2020'!D:D),0)</f>
        <v>59334538</v>
      </c>
      <c r="L48" s="171"/>
      <c r="M48" s="172">
        <f>IF(F48="I",SUMIF('BG 2020'!B:B,Clasificaciones!C48,'BG 2020'!E:E),0)</f>
        <v>8609.24</v>
      </c>
    </row>
    <row r="49" spans="1:13" s="173" customFormat="1" ht="12" customHeight="1">
      <c r="A49" s="168" t="s">
        <v>3</v>
      </c>
      <c r="B49" s="168" t="s">
        <v>17</v>
      </c>
      <c r="C49" s="169">
        <v>111030212</v>
      </c>
      <c r="D49" s="169" t="s">
        <v>760</v>
      </c>
      <c r="E49" s="170" t="s">
        <v>229</v>
      </c>
      <c r="F49" s="170" t="s">
        <v>344</v>
      </c>
      <c r="G49" s="157">
        <f>IF(F49="I",IFERROR(VLOOKUP(C49,'BG 2021'!A:C,3,FALSE),0),0)</f>
        <v>22914151</v>
      </c>
      <c r="H49" s="168" t="s">
        <v>17</v>
      </c>
      <c r="I49" s="172">
        <f>IF(F49="I",IFERROR(VLOOKUP(C49,'BG 2021'!A:D,4,FALSE),0),0)</f>
        <v>3335</v>
      </c>
      <c r="J49" s="171"/>
      <c r="K49" s="157">
        <f>IF(F49="I",SUMIF('BG 2020'!B:B,Clasificaciones!C49,'BG 2020'!D:D),0)</f>
        <v>20675880</v>
      </c>
      <c r="L49" s="171"/>
      <c r="M49" s="172">
        <f>IF(F49="I",SUMIF('BG 2020'!B:B,Clasificaciones!C49,'BG 2020'!E:E),0)</f>
        <v>3000</v>
      </c>
    </row>
    <row r="50" spans="1:13" s="166" customFormat="1" ht="12" customHeight="1">
      <c r="A50" s="163" t="s">
        <v>3</v>
      </c>
      <c r="B50" s="163" t="s">
        <v>17</v>
      </c>
      <c r="C50" s="164">
        <v>111030213</v>
      </c>
      <c r="D50" s="164" t="s">
        <v>993</v>
      </c>
      <c r="E50" s="165" t="s">
        <v>229</v>
      </c>
      <c r="F50" s="165" t="s">
        <v>344</v>
      </c>
      <c r="G50" s="47">
        <f>IF(F50="I",IFERROR(VLOOKUP(C50,'BG 2021'!A:C,3,FALSE),0),0)</f>
        <v>0</v>
      </c>
      <c r="H50" s="163" t="s">
        <v>17</v>
      </c>
      <c r="I50" s="68">
        <f>IF(F50="I",IFERROR(VLOOKUP(C50,'BG 2021'!A:D,4,FALSE),0),0)</f>
        <v>0</v>
      </c>
      <c r="J50" s="40"/>
      <c r="K50" s="47">
        <f>IF(F50="I",SUMIF('BG 2020'!B:B,Clasificaciones!C50,'BG 2020'!D:D),0)</f>
        <v>0</v>
      </c>
      <c r="L50" s="40"/>
      <c r="M50" s="68">
        <f>IF(F50="I",SUMIF('BG 2020'!B:B,Clasificaciones!C50,'BG 2020'!E:E),0)</f>
        <v>0</v>
      </c>
    </row>
    <row r="51" spans="1:13" s="173" customFormat="1" ht="12" customHeight="1">
      <c r="A51" s="168" t="s">
        <v>3</v>
      </c>
      <c r="B51" s="168" t="s">
        <v>17</v>
      </c>
      <c r="C51" s="169">
        <v>111030214</v>
      </c>
      <c r="D51" s="169" t="s">
        <v>761</v>
      </c>
      <c r="E51" s="170" t="s">
        <v>229</v>
      </c>
      <c r="F51" s="170" t="s">
        <v>344</v>
      </c>
      <c r="G51" s="157">
        <f>IF(F51="I",IFERROR(VLOOKUP(C51,'BG 2021'!A:C,3,FALSE),0),0)</f>
        <v>10492</v>
      </c>
      <c r="H51" s="168" t="s">
        <v>17</v>
      </c>
      <c r="I51" s="172">
        <f>IF(F51="I",IFERROR(VLOOKUP(C51,'BG 2021'!A:D,4,FALSE),0),0)</f>
        <v>1.5270000002346935</v>
      </c>
      <c r="J51" s="171"/>
      <c r="K51" s="157">
        <f>IF(F51="I",SUMIF('BG 2020'!B:B,Clasificaciones!C51,'BG 2020'!D:D),0)</f>
        <v>0</v>
      </c>
      <c r="L51" s="171"/>
      <c r="M51" s="172">
        <f>IF(F51="I",SUMIF('BG 2020'!B:B,Clasificaciones!C51,'BG 2020'!E:E),0)</f>
        <v>0</v>
      </c>
    </row>
    <row r="52" spans="1:13" s="166" customFormat="1" ht="12" customHeight="1">
      <c r="A52" s="163" t="s">
        <v>3</v>
      </c>
      <c r="B52" s="163" t="s">
        <v>17</v>
      </c>
      <c r="C52" s="164">
        <v>111030215</v>
      </c>
      <c r="D52" s="164" t="s">
        <v>994</v>
      </c>
      <c r="E52" s="165" t="s">
        <v>229</v>
      </c>
      <c r="F52" s="165" t="s">
        <v>344</v>
      </c>
      <c r="G52" s="47">
        <f>IF(F52="I",IFERROR(VLOOKUP(C52,'BG 2021'!A:C,3,FALSE),0),0)</f>
        <v>0</v>
      </c>
      <c r="H52" s="163" t="s">
        <v>17</v>
      </c>
      <c r="I52" s="68">
        <f>IF(F52="I",IFERROR(VLOOKUP(C52,'BG 2021'!A:D,4,FALSE),0),0)</f>
        <v>0</v>
      </c>
      <c r="J52" s="40"/>
      <c r="K52" s="47">
        <f>IF(F52="I",SUMIF('BG 2020'!B:B,Clasificaciones!C52,'BG 2020'!D:D),0)</f>
        <v>0</v>
      </c>
      <c r="L52" s="40"/>
      <c r="M52" s="68">
        <f>IF(F52="I",SUMIF('BG 2020'!B:B,Clasificaciones!C52,'BG 2020'!E:E),0)</f>
        <v>0</v>
      </c>
    </row>
    <row r="53" spans="1:13" s="173" customFormat="1" ht="12" customHeight="1">
      <c r="A53" s="168" t="s">
        <v>3</v>
      </c>
      <c r="B53" s="168" t="s">
        <v>17</v>
      </c>
      <c r="C53" s="169">
        <v>111030216</v>
      </c>
      <c r="D53" s="169" t="s">
        <v>995</v>
      </c>
      <c r="E53" s="170" t="s">
        <v>229</v>
      </c>
      <c r="F53" s="170" t="s">
        <v>344</v>
      </c>
      <c r="G53" s="157">
        <f>IF(F53="I",IFERROR(VLOOKUP(C53,'BG 2021'!A:C,3,FALSE),0),0)</f>
        <v>6871291</v>
      </c>
      <c r="H53" s="168" t="s">
        <v>17</v>
      </c>
      <c r="I53" s="172">
        <f>IF(F53="I",IFERROR(VLOOKUP(C53,'BG 2021'!A:D,4,FALSE),0),0)</f>
        <v>1000.0700000000651</v>
      </c>
      <c r="J53" s="171"/>
      <c r="K53" s="157">
        <f>IF(F53="I",SUMIF('BG 2020'!B:B,Clasificaciones!C53,'BG 2020'!D:D),0)</f>
        <v>0</v>
      </c>
      <c r="L53" s="171"/>
      <c r="M53" s="172">
        <f>IF(F53="I",SUMIF('BG 2020'!B:B,Clasificaciones!C53,'BG 2020'!E:E),0)</f>
        <v>0</v>
      </c>
    </row>
    <row r="54" spans="1:13" s="173" customFormat="1" ht="12" customHeight="1">
      <c r="A54" s="168" t="s">
        <v>3</v>
      </c>
      <c r="B54" s="168" t="s">
        <v>17</v>
      </c>
      <c r="C54" s="169">
        <v>111030217</v>
      </c>
      <c r="D54" s="169" t="s">
        <v>762</v>
      </c>
      <c r="E54" s="170" t="s">
        <v>229</v>
      </c>
      <c r="F54" s="170" t="s">
        <v>344</v>
      </c>
      <c r="G54" s="157">
        <f>IF(F54="I",IFERROR(VLOOKUP(C54,'BG 2021'!A:C,3,FALSE),0),0)</f>
        <v>61362792</v>
      </c>
      <c r="H54" s="168" t="s">
        <v>17</v>
      </c>
      <c r="I54" s="172">
        <f>IF(F54="I",IFERROR(VLOOKUP(C54,'BG 2021'!A:D,4,FALSE),0),0)</f>
        <v>8930.9399999999441</v>
      </c>
      <c r="J54" s="171"/>
      <c r="K54" s="157">
        <f>IF(F54="I",SUMIF('BG 2020'!B:B,Clasificaciones!C54,'BG 2020'!D:D),0)</f>
        <v>0</v>
      </c>
      <c r="L54" s="171"/>
      <c r="M54" s="172">
        <f>IF(F54="I",SUMIF('BG 2020'!B:B,Clasificaciones!C54,'BG 2020'!E:E),0)</f>
        <v>0</v>
      </c>
    </row>
    <row r="55" spans="1:13" s="173" customFormat="1" ht="12" customHeight="1">
      <c r="A55" s="168" t="s">
        <v>3</v>
      </c>
      <c r="B55" s="168" t="s">
        <v>17</v>
      </c>
      <c r="C55" s="169">
        <v>111030218</v>
      </c>
      <c r="D55" s="169" t="s">
        <v>763</v>
      </c>
      <c r="E55" s="170" t="s">
        <v>229</v>
      </c>
      <c r="F55" s="170" t="s">
        <v>344</v>
      </c>
      <c r="G55" s="157">
        <f>IF(F55="I",IFERROR(VLOOKUP(C55,'BG 2021'!A:C,3,FALSE),0),0)</f>
        <v>26311969</v>
      </c>
      <c r="H55" s="168" t="s">
        <v>17</v>
      </c>
      <c r="I55" s="172">
        <f>IF(F55="I",IFERROR(VLOOKUP(C55,'BG 2021'!A:D,4,FALSE),0),0)</f>
        <v>3829.5299999999988</v>
      </c>
      <c r="J55" s="171"/>
      <c r="K55" s="157">
        <f>IF(F55="I",SUMIF('BG 2020'!B:B,Clasificaciones!C55,'BG 2020'!D:D),0)</f>
        <v>0</v>
      </c>
      <c r="L55" s="171"/>
      <c r="M55" s="172">
        <f>IF(F55="I",SUMIF('BG 2020'!B:B,Clasificaciones!C55,'BG 2020'!E:E),0)</f>
        <v>0</v>
      </c>
    </row>
    <row r="56" spans="1:13" s="173" customFormat="1" ht="12" customHeight="1">
      <c r="A56" s="168" t="s">
        <v>3</v>
      </c>
      <c r="B56" s="168" t="s">
        <v>17</v>
      </c>
      <c r="C56" s="169">
        <v>111030219</v>
      </c>
      <c r="D56" s="169" t="s">
        <v>764</v>
      </c>
      <c r="E56" s="170" t="s">
        <v>229</v>
      </c>
      <c r="F56" s="170" t="s">
        <v>344</v>
      </c>
      <c r="G56" s="157">
        <f>IF(F56="I",IFERROR(VLOOKUP(C56,'BG 2021'!A:C,3,FALSE),0),0)</f>
        <v>20109555</v>
      </c>
      <c r="H56" s="168" t="s">
        <v>17</v>
      </c>
      <c r="I56" s="172">
        <f>IF(F56="I",IFERROR(VLOOKUP(C56,'BG 2021'!A:D,4,FALSE),0),0)</f>
        <v>2926.8099999995902</v>
      </c>
      <c r="J56" s="171"/>
      <c r="K56" s="157">
        <f>IF(F56="I",SUMIF('BG 2020'!B:B,Clasificaciones!C56,'BG 2020'!D:D),0)</f>
        <v>0</v>
      </c>
      <c r="L56" s="171"/>
      <c r="M56" s="172">
        <f>IF(F56="I",SUMIF('BG 2020'!B:B,Clasificaciones!C56,'BG 2020'!E:E),0)</f>
        <v>0</v>
      </c>
    </row>
    <row r="57" spans="1:13" s="166" customFormat="1" ht="12" customHeight="1">
      <c r="A57" s="163" t="s">
        <v>3</v>
      </c>
      <c r="B57" s="163" t="s">
        <v>17</v>
      </c>
      <c r="C57" s="164">
        <v>11104</v>
      </c>
      <c r="D57" s="164" t="s">
        <v>996</v>
      </c>
      <c r="E57" s="165" t="s">
        <v>6</v>
      </c>
      <c r="F57" s="165" t="s">
        <v>344</v>
      </c>
      <c r="G57" s="47">
        <f>IF(F57="I",IFERROR(VLOOKUP(C57,'BG 2021'!A:C,3,FALSE),0),0)</f>
        <v>0</v>
      </c>
      <c r="H57" s="163" t="s">
        <v>17</v>
      </c>
      <c r="I57" s="68">
        <f>IF(F57="I",IFERROR(VLOOKUP(C57,'BG 2021'!A:D,4,FALSE),0),0)</f>
        <v>0</v>
      </c>
      <c r="J57" s="40"/>
      <c r="K57" s="47">
        <f>IF(F57="I",SUMIF('BG 2020'!B:B,Clasificaciones!C57,'BG 2020'!D:D),0)</f>
        <v>0</v>
      </c>
      <c r="L57" s="40"/>
      <c r="M57" s="68">
        <f>IF(F57="I",SUMIF('BG 2020'!B:B,Clasificaciones!C57,'BG 2020'!E:E),0)</f>
        <v>0</v>
      </c>
    </row>
    <row r="58" spans="1:13" s="166" customFormat="1" ht="12" customHeight="1">
      <c r="A58" s="163" t="s">
        <v>3</v>
      </c>
      <c r="B58" s="163" t="s">
        <v>17</v>
      </c>
      <c r="C58" s="164">
        <v>11105</v>
      </c>
      <c r="D58" s="164" t="s">
        <v>997</v>
      </c>
      <c r="E58" s="165" t="s">
        <v>6</v>
      </c>
      <c r="F58" s="165" t="s">
        <v>344</v>
      </c>
      <c r="G58" s="47">
        <f>IF(F58="I",IFERROR(VLOOKUP(C58,'BG 2021'!A:C,3,FALSE),0),0)</f>
        <v>0</v>
      </c>
      <c r="H58" s="163" t="s">
        <v>17</v>
      </c>
      <c r="I58" s="68">
        <f>IF(F58="I",IFERROR(VLOOKUP(C58,'BG 2021'!A:D,4,FALSE),0),0)</f>
        <v>0</v>
      </c>
      <c r="J58" s="40"/>
      <c r="K58" s="47">
        <f>IF(F58="I",SUMIF('BG 2020'!B:B,Clasificaciones!C58,'BG 2020'!D:D),0)</f>
        <v>0</v>
      </c>
      <c r="L58" s="40"/>
      <c r="M58" s="68">
        <f>IF(F58="I",SUMIF('BG 2020'!B:B,Clasificaciones!C58,'BG 2020'!E:E),0)</f>
        <v>0</v>
      </c>
    </row>
    <row r="59" spans="1:13" s="166" customFormat="1" ht="12" customHeight="1">
      <c r="A59" s="163" t="s">
        <v>3</v>
      </c>
      <c r="B59" s="163" t="s">
        <v>17</v>
      </c>
      <c r="C59" s="164">
        <v>11106</v>
      </c>
      <c r="D59" s="164" t="s">
        <v>998</v>
      </c>
      <c r="E59" s="165" t="s">
        <v>6</v>
      </c>
      <c r="F59" s="165" t="s">
        <v>344</v>
      </c>
      <c r="G59" s="47">
        <f>IF(F59="I",IFERROR(VLOOKUP(C59,'BG 2021'!A:C,3,FALSE),0),0)</f>
        <v>0</v>
      </c>
      <c r="H59" s="163" t="s">
        <v>17</v>
      </c>
      <c r="I59" s="68">
        <f>IF(F59="I",IFERROR(VLOOKUP(C59,'BG 2021'!A:D,4,FALSE),0),0)</f>
        <v>0</v>
      </c>
      <c r="J59" s="40"/>
      <c r="K59" s="47">
        <f>IF(F59="I",SUMIF('BG 2020'!B:B,Clasificaciones!C59,'BG 2020'!D:D),0)</f>
        <v>0</v>
      </c>
      <c r="L59" s="40"/>
      <c r="M59" s="68">
        <f>IF(F59="I",SUMIF('BG 2020'!B:B,Clasificaciones!C59,'BG 2020'!E:E),0)</f>
        <v>0</v>
      </c>
    </row>
    <row r="60" spans="1:13" s="166" customFormat="1" ht="12" customHeight="1">
      <c r="A60" s="163" t="s">
        <v>3</v>
      </c>
      <c r="B60" s="163" t="s">
        <v>17</v>
      </c>
      <c r="C60" s="164">
        <v>11107</v>
      </c>
      <c r="D60" s="164" t="s">
        <v>999</v>
      </c>
      <c r="E60" s="165" t="s">
        <v>6</v>
      </c>
      <c r="F60" s="165" t="s">
        <v>344</v>
      </c>
      <c r="G60" s="47">
        <f>IF(F60="I",IFERROR(VLOOKUP(C60,'BG 2021'!A:C,3,FALSE),0),0)</f>
        <v>0</v>
      </c>
      <c r="H60" s="163" t="s">
        <v>17</v>
      </c>
      <c r="I60" s="68">
        <f>IF(F60="I",IFERROR(VLOOKUP(C60,'BG 2021'!A:D,4,FALSE),0),0)</f>
        <v>0</v>
      </c>
      <c r="J60" s="40"/>
      <c r="K60" s="47">
        <f>IF(F60="I",SUMIF('BG 2020'!B:B,Clasificaciones!C60,'BG 2020'!D:D),0)</f>
        <v>0</v>
      </c>
      <c r="L60" s="40"/>
      <c r="M60" s="68">
        <f>IF(F60="I",SUMIF('BG 2020'!B:B,Clasificaciones!C60,'BG 2020'!E:E),0)</f>
        <v>0</v>
      </c>
    </row>
    <row r="61" spans="1:13" s="166" customFormat="1" ht="12" customHeight="1">
      <c r="A61" s="163" t="s">
        <v>3</v>
      </c>
      <c r="B61" s="163"/>
      <c r="C61" s="164">
        <v>112</v>
      </c>
      <c r="D61" s="164" t="s">
        <v>249</v>
      </c>
      <c r="E61" s="165" t="s">
        <v>6</v>
      </c>
      <c r="F61" s="165" t="s">
        <v>343</v>
      </c>
      <c r="G61" s="47">
        <f>IF(F61="I",IFERROR(VLOOKUP(C61,'BG 2021'!A:C,3,FALSE),0),0)</f>
        <v>0</v>
      </c>
      <c r="H61" s="163"/>
      <c r="I61" s="68">
        <f>IF(F61="I",IFERROR(VLOOKUP(C61,'BG 2021'!A:D,4,FALSE),0),0)</f>
        <v>0</v>
      </c>
      <c r="J61" s="40"/>
      <c r="K61" s="47">
        <f>IF(F61="I",SUMIF('BG 2020'!B:B,Clasificaciones!C61,'BG 2020'!D:D),0)</f>
        <v>0</v>
      </c>
      <c r="L61" s="40"/>
      <c r="M61" s="68">
        <f>IF(F61="I",SUMIF('BG 2020'!B:B,Clasificaciones!C61,'BG 2020'!E:E),0)</f>
        <v>0</v>
      </c>
    </row>
    <row r="62" spans="1:13" s="166" customFormat="1" ht="12" customHeight="1">
      <c r="A62" s="163" t="s">
        <v>3</v>
      </c>
      <c r="B62" s="163"/>
      <c r="C62" s="164">
        <v>11201</v>
      </c>
      <c r="D62" s="164" t="s">
        <v>765</v>
      </c>
      <c r="E62" s="165" t="s">
        <v>6</v>
      </c>
      <c r="F62" s="165" t="s">
        <v>343</v>
      </c>
      <c r="G62" s="47">
        <f>IF(F62="I",IFERROR(VLOOKUP(C62,'BG 2021'!A:C,3,FALSE),0),0)</f>
        <v>0</v>
      </c>
      <c r="H62" s="163"/>
      <c r="I62" s="68">
        <f>IF(F62="I",IFERROR(VLOOKUP(C62,'BG 2021'!A:D,4,FALSE),0),0)</f>
        <v>0</v>
      </c>
      <c r="J62" s="40"/>
      <c r="K62" s="47">
        <f>IF(F62="I",SUMIF('BG 2020'!B:B,Clasificaciones!C62,'BG 2020'!D:D),0)</f>
        <v>0</v>
      </c>
      <c r="L62" s="40"/>
      <c r="M62" s="68">
        <f>IF(F62="I",SUMIF('BG 2020'!B:B,Clasificaciones!C62,'BG 2020'!E:E),0)</f>
        <v>0</v>
      </c>
    </row>
    <row r="63" spans="1:13" s="166" customFormat="1" ht="12" customHeight="1">
      <c r="A63" s="163" t="s">
        <v>3</v>
      </c>
      <c r="B63" s="163"/>
      <c r="C63" s="164">
        <v>112011</v>
      </c>
      <c r="D63" s="164" t="s">
        <v>766</v>
      </c>
      <c r="E63" s="165" t="s">
        <v>6</v>
      </c>
      <c r="F63" s="165" t="s">
        <v>343</v>
      </c>
      <c r="G63" s="47">
        <f>IF(F63="I",IFERROR(VLOOKUP(C63,'BG 2021'!A:C,3,FALSE),0),0)</f>
        <v>0</v>
      </c>
      <c r="H63" s="163"/>
      <c r="I63" s="68">
        <f>IF(F63="I",IFERROR(VLOOKUP(C63,'BG 2021'!A:D,4,FALSE),0),0)</f>
        <v>0</v>
      </c>
      <c r="J63" s="40"/>
      <c r="K63" s="47">
        <f>IF(F63="I",SUMIF('BG 2020'!B:B,Clasificaciones!C63,'BG 2020'!D:D),0)</f>
        <v>0</v>
      </c>
      <c r="L63" s="40"/>
      <c r="M63" s="68">
        <f>IF(F63="I",SUMIF('BG 2020'!B:B,Clasificaciones!C63,'BG 2020'!E:E),0)</f>
        <v>0</v>
      </c>
    </row>
    <row r="64" spans="1:13" s="166" customFormat="1" ht="12" customHeight="1">
      <c r="A64" s="163" t="s">
        <v>3</v>
      </c>
      <c r="B64" s="163"/>
      <c r="C64" s="164">
        <v>1120111</v>
      </c>
      <c r="D64" s="164" t="s">
        <v>767</v>
      </c>
      <c r="E64" s="165" t="s">
        <v>6</v>
      </c>
      <c r="F64" s="165" t="s">
        <v>343</v>
      </c>
      <c r="G64" s="47">
        <f>IF(F64="I",IFERROR(VLOOKUP(C64,'BG 2021'!A:C,3,FALSE),0),0)</f>
        <v>0</v>
      </c>
      <c r="H64" s="163"/>
      <c r="I64" s="68">
        <f>IF(F64="I",IFERROR(VLOOKUP(C64,'BG 2021'!A:D,4,FALSE),0),0)</f>
        <v>0</v>
      </c>
      <c r="J64" s="40"/>
      <c r="K64" s="47">
        <f>IF(F64="I",SUMIF('BG 2020'!B:B,Clasificaciones!C64,'BG 2020'!D:D),0)</f>
        <v>0</v>
      </c>
      <c r="L64" s="40"/>
      <c r="M64" s="68">
        <f>IF(F64="I",SUMIF('BG 2020'!B:B,Clasificaciones!C64,'BG 2020'!E:E),0)</f>
        <v>0</v>
      </c>
    </row>
    <row r="65" spans="1:13" s="166" customFormat="1" ht="12" customHeight="1">
      <c r="A65" s="163" t="s">
        <v>3</v>
      </c>
      <c r="B65" s="163"/>
      <c r="C65" s="164">
        <v>11201111</v>
      </c>
      <c r="D65" s="164" t="s">
        <v>768</v>
      </c>
      <c r="E65" s="165" t="s">
        <v>6</v>
      </c>
      <c r="F65" s="165" t="s">
        <v>343</v>
      </c>
      <c r="G65" s="47">
        <f>IF(F65="I",IFERROR(VLOOKUP(C65,'BG 2021'!A:C,3,FALSE),0),0)</f>
        <v>0</v>
      </c>
      <c r="H65" s="163"/>
      <c r="I65" s="68">
        <f>IF(F65="I",IFERROR(VLOOKUP(C65,'BG 2021'!A:D,4,FALSE),0),0)</f>
        <v>0</v>
      </c>
      <c r="J65" s="40"/>
      <c r="K65" s="47">
        <f>IF(F65="I",SUMIF('BG 2020'!B:B,Clasificaciones!C65,'BG 2020'!D:D),0)</f>
        <v>0</v>
      </c>
      <c r="L65" s="40"/>
      <c r="M65" s="68">
        <f>IF(F65="I",SUMIF('BG 2020'!B:B,Clasificaciones!C65,'BG 2020'!E:E),0)</f>
        <v>0</v>
      </c>
    </row>
    <row r="66" spans="1:13" s="173" customFormat="1" ht="12" customHeight="1">
      <c r="A66" s="168" t="s">
        <v>3</v>
      </c>
      <c r="B66" s="168" t="s">
        <v>85</v>
      </c>
      <c r="C66" s="169">
        <v>1120111101</v>
      </c>
      <c r="D66" s="169" t="s">
        <v>769</v>
      </c>
      <c r="E66" s="170" t="s">
        <v>6</v>
      </c>
      <c r="F66" s="170" t="s">
        <v>344</v>
      </c>
      <c r="G66" s="157">
        <f>IF(F66="I",IFERROR(VLOOKUP(C66,'BG 2021'!A:C,3,FALSE),0),0)</f>
        <v>75000000</v>
      </c>
      <c r="H66" s="168" t="s">
        <v>85</v>
      </c>
      <c r="I66" s="172">
        <f>IF(F66="I",IFERROR(VLOOKUP(C66,'BG 2021'!A:D,4,FALSE),0),0)</f>
        <v>10915.739999999991</v>
      </c>
      <c r="J66" s="171"/>
      <c r="K66" s="157">
        <f>IF(F66="I",SUMIF('BG 2020'!B:B,Clasificaciones!C66,'BG 2020'!D:D),0)</f>
        <v>75000000</v>
      </c>
      <c r="L66" s="171"/>
      <c r="M66" s="172">
        <f>IF(F66="I",SUMIF('BG 2020'!B:B,Clasificaciones!C66,'BG 2020'!E:E),0)</f>
        <v>10882.25</v>
      </c>
    </row>
    <row r="67" spans="1:13" s="166" customFormat="1" ht="12" customHeight="1">
      <c r="A67" s="163" t="s">
        <v>3</v>
      </c>
      <c r="B67" s="163"/>
      <c r="C67" s="164">
        <v>1120111102</v>
      </c>
      <c r="D67" s="164" t="s">
        <v>1000</v>
      </c>
      <c r="E67" s="165" t="s">
        <v>229</v>
      </c>
      <c r="F67" s="165" t="s">
        <v>344</v>
      </c>
      <c r="G67" s="47">
        <f>IF(F67="I",IFERROR(VLOOKUP(C67,'BG 2021'!A:C,3,FALSE),0),0)</f>
        <v>0</v>
      </c>
      <c r="H67" s="163"/>
      <c r="I67" s="68">
        <f>IF(F67="I",IFERROR(VLOOKUP(C67,'BG 2021'!A:D,4,FALSE),0),0)</f>
        <v>0</v>
      </c>
      <c r="J67" s="40"/>
      <c r="K67" s="47">
        <f>IF(F67="I",SUMIF('BG 2020'!B:B,Clasificaciones!C67,'BG 2020'!D:D),0)</f>
        <v>0</v>
      </c>
      <c r="L67" s="40"/>
      <c r="M67" s="68">
        <f>IF(F67="I",SUMIF('BG 2020'!B:B,Clasificaciones!C67,'BG 2020'!E:E),0)</f>
        <v>0</v>
      </c>
    </row>
    <row r="68" spans="1:13" s="166" customFormat="1" ht="12" customHeight="1">
      <c r="A68" s="163" t="s">
        <v>3</v>
      </c>
      <c r="B68" s="163"/>
      <c r="C68" s="164">
        <v>1120112</v>
      </c>
      <c r="D68" s="164" t="s">
        <v>770</v>
      </c>
      <c r="E68" s="165" t="s">
        <v>6</v>
      </c>
      <c r="F68" s="165" t="s">
        <v>343</v>
      </c>
      <c r="G68" s="47">
        <f>IF(F68="I",IFERROR(VLOOKUP(C68,'BG 2021'!A:C,3,FALSE),0),0)</f>
        <v>0</v>
      </c>
      <c r="H68" s="163"/>
      <c r="I68" s="68">
        <f>IF(F68="I",IFERROR(VLOOKUP(C68,'BG 2021'!A:D,4,FALSE),0),0)</f>
        <v>0</v>
      </c>
      <c r="J68" s="40"/>
      <c r="K68" s="47">
        <f>IF(F68="I",SUMIF('BG 2020'!B:B,Clasificaciones!C68,'BG 2020'!D:D),0)</f>
        <v>0</v>
      </c>
      <c r="L68" s="40"/>
      <c r="M68" s="68">
        <f>IF(F68="I",SUMIF('BG 2020'!B:B,Clasificaciones!C68,'BG 2020'!E:E),0)</f>
        <v>0</v>
      </c>
    </row>
    <row r="69" spans="1:13" s="166" customFormat="1" ht="12" customHeight="1">
      <c r="A69" s="163" t="s">
        <v>3</v>
      </c>
      <c r="B69" s="163"/>
      <c r="C69" s="164">
        <v>11201121</v>
      </c>
      <c r="D69" s="164" t="s">
        <v>574</v>
      </c>
      <c r="E69" s="165" t="s">
        <v>6</v>
      </c>
      <c r="F69" s="165" t="s">
        <v>343</v>
      </c>
      <c r="G69" s="47">
        <f>IF(F69="I",IFERROR(VLOOKUP(C69,'BG 2021'!A:C,3,FALSE),0),0)</f>
        <v>0</v>
      </c>
      <c r="H69" s="163"/>
      <c r="I69" s="68">
        <f>IF(F69="I",IFERROR(VLOOKUP(C69,'BG 2021'!A:D,4,FALSE),0),0)</f>
        <v>0</v>
      </c>
      <c r="J69" s="40"/>
      <c r="K69" s="47">
        <f>IF(F69="I",SUMIF('BG 2020'!B:B,Clasificaciones!C69,'BG 2020'!D:D),0)</f>
        <v>0</v>
      </c>
      <c r="L69" s="40"/>
      <c r="M69" s="68">
        <f>IF(F69="I",SUMIF('BG 2020'!B:B,Clasificaciones!C69,'BG 2020'!E:E),0)</f>
        <v>0</v>
      </c>
    </row>
    <row r="70" spans="1:13" s="173" customFormat="1" ht="12" customHeight="1">
      <c r="A70" s="168" t="s">
        <v>3</v>
      </c>
      <c r="B70" s="168" t="s">
        <v>85</v>
      </c>
      <c r="C70" s="169">
        <v>1120112101</v>
      </c>
      <c r="D70" s="169" t="s">
        <v>771</v>
      </c>
      <c r="E70" s="170" t="s">
        <v>6</v>
      </c>
      <c r="F70" s="170" t="s">
        <v>344</v>
      </c>
      <c r="G70" s="157">
        <f>IF(F70="I",IFERROR(VLOOKUP(C70,'BG 2021'!A:C,3,FALSE),0),0)</f>
        <v>100000000</v>
      </c>
      <c r="H70" s="168" t="s">
        <v>85</v>
      </c>
      <c r="I70" s="172">
        <f>IF(F70="I",IFERROR(VLOOKUP(C70,'BG 2021'!A:D,4,FALSE),0),0)</f>
        <v>14554.319999999367</v>
      </c>
      <c r="J70" s="171"/>
      <c r="K70" s="157">
        <f>IF(F70="I",SUMIF('BG 2020'!B:B,Clasificaciones!C70,'BG 2020'!D:D),0)</f>
        <v>529000000</v>
      </c>
      <c r="L70" s="171"/>
      <c r="M70" s="172">
        <f>IF(F70="I",SUMIF('BG 2020'!B:B,Clasificaciones!C70,'BG 2020'!E:E),0)</f>
        <v>76756.100000000093</v>
      </c>
    </row>
    <row r="71" spans="1:13" s="166" customFormat="1" ht="12" customHeight="1">
      <c r="A71" s="163" t="s">
        <v>3</v>
      </c>
      <c r="B71" s="163"/>
      <c r="C71" s="164">
        <v>1120112102</v>
      </c>
      <c r="D71" s="164" t="s">
        <v>899</v>
      </c>
      <c r="E71" s="165" t="s">
        <v>229</v>
      </c>
      <c r="F71" s="165" t="s">
        <v>344</v>
      </c>
      <c r="G71" s="47">
        <f>IF(F71="I",IFERROR(VLOOKUP(C71,'BG 2021'!A:C,3,FALSE),0),0)</f>
        <v>0</v>
      </c>
      <c r="H71" s="163"/>
      <c r="I71" s="68">
        <f>IF(F71="I",IFERROR(VLOOKUP(C71,'BG 2021'!A:D,4,FALSE),0),0)</f>
        <v>0</v>
      </c>
      <c r="J71" s="40"/>
      <c r="K71" s="47">
        <f>IF(F71="I",SUMIF('BG 2020'!B:B,Clasificaciones!C71,'BG 2020'!D:D),0)</f>
        <v>0</v>
      </c>
      <c r="L71" s="40"/>
      <c r="M71" s="68">
        <f>IF(F71="I",SUMIF('BG 2020'!B:B,Clasificaciones!C71,'BG 2020'!E:E),0)</f>
        <v>0</v>
      </c>
    </row>
    <row r="72" spans="1:13" s="166" customFormat="1" ht="12" customHeight="1">
      <c r="A72" s="163" t="s">
        <v>3</v>
      </c>
      <c r="B72" s="163"/>
      <c r="C72" s="164">
        <v>11201122</v>
      </c>
      <c r="D72" s="164" t="s">
        <v>1001</v>
      </c>
      <c r="E72" s="165" t="s">
        <v>6</v>
      </c>
      <c r="F72" s="165" t="s">
        <v>343</v>
      </c>
      <c r="G72" s="47">
        <f>IF(F72="I",IFERROR(VLOOKUP(C72,'BG 2021'!A:C,3,FALSE),0),0)</f>
        <v>0</v>
      </c>
      <c r="H72" s="163"/>
      <c r="I72" s="68">
        <f>IF(F72="I",IFERROR(VLOOKUP(C72,'BG 2021'!A:D,4,FALSE),0),0)</f>
        <v>0</v>
      </c>
      <c r="J72" s="40"/>
      <c r="K72" s="47">
        <f>IF(F72="I",SUMIF('BG 2020'!B:B,Clasificaciones!C72,'BG 2020'!D:D),0)</f>
        <v>0</v>
      </c>
      <c r="L72" s="40"/>
      <c r="M72" s="68">
        <f>IF(F72="I",SUMIF('BG 2020'!B:B,Clasificaciones!C72,'BG 2020'!E:E),0)</f>
        <v>0</v>
      </c>
    </row>
    <row r="73" spans="1:13" s="166" customFormat="1" ht="12" customHeight="1">
      <c r="A73" s="163" t="s">
        <v>3</v>
      </c>
      <c r="B73" s="163" t="s">
        <v>85</v>
      </c>
      <c r="C73" s="164">
        <v>1120112201</v>
      </c>
      <c r="D73" s="164" t="s">
        <v>1002</v>
      </c>
      <c r="E73" s="165" t="s">
        <v>6</v>
      </c>
      <c r="F73" s="165" t="s">
        <v>344</v>
      </c>
      <c r="G73" s="47">
        <f>IF(F73="I",IFERROR(VLOOKUP(C73,'BG 2021'!A:C,3,FALSE),0),0)</f>
        <v>0</v>
      </c>
      <c r="H73" s="163" t="s">
        <v>85</v>
      </c>
      <c r="I73" s="68">
        <f>IF(F73="I",IFERROR(VLOOKUP(C73,'BG 2021'!A:D,4,FALSE),0),0)</f>
        <v>0</v>
      </c>
      <c r="J73" s="40"/>
      <c r="K73" s="47">
        <f>IF(F73="I",SUMIF('BG 2020'!B:B,Clasificaciones!C73,'BG 2020'!D:D),0)</f>
        <v>0</v>
      </c>
      <c r="L73" s="40"/>
      <c r="M73" s="68">
        <f>IF(F73="I",SUMIF('BG 2020'!B:B,Clasificaciones!C73,'BG 2020'!E:E),0)</f>
        <v>0</v>
      </c>
    </row>
    <row r="74" spans="1:13" s="173" customFormat="1" ht="12" customHeight="1">
      <c r="A74" s="168" t="s">
        <v>3</v>
      </c>
      <c r="B74" s="168" t="s">
        <v>85</v>
      </c>
      <c r="C74" s="169">
        <v>1120112202</v>
      </c>
      <c r="D74" s="169" t="s">
        <v>1613</v>
      </c>
      <c r="E74" s="170" t="s">
        <v>229</v>
      </c>
      <c r="F74" s="170" t="s">
        <v>344</v>
      </c>
      <c r="G74" s="157">
        <f>IF(F74="I",IFERROR(VLOOKUP(C74,'BG 2021'!A:C,3,FALSE),0),0)</f>
        <v>68708100</v>
      </c>
      <c r="H74" s="168" t="s">
        <v>85</v>
      </c>
      <c r="I74" s="172">
        <f>IF(F74="I",IFERROR(VLOOKUP(C74,'BG 2021'!A:D,4,FALSE),0),0)</f>
        <v>10000</v>
      </c>
      <c r="J74" s="171"/>
      <c r="K74" s="157">
        <f>IF(F74="I",SUMIF('BG 2020'!B:B,Clasificaciones!C74,'BG 2020'!D:D),0)</f>
        <v>689196000</v>
      </c>
      <c r="L74" s="171"/>
      <c r="M74" s="172">
        <f>IF(F74="I",SUMIF('BG 2020'!B:B,Clasificaciones!C74,'BG 2020'!E:E),0)</f>
        <v>100000</v>
      </c>
    </row>
    <row r="75" spans="1:13" s="166" customFormat="1" ht="12" customHeight="1">
      <c r="A75" s="163" t="s">
        <v>3</v>
      </c>
      <c r="B75" s="163"/>
      <c r="C75" s="164">
        <v>11201123</v>
      </c>
      <c r="D75" s="164" t="s">
        <v>73</v>
      </c>
      <c r="E75" s="165" t="s">
        <v>6</v>
      </c>
      <c r="F75" s="165" t="s">
        <v>343</v>
      </c>
      <c r="G75" s="47">
        <f>IF(F75="I",IFERROR(VLOOKUP(C75,'BG 2021'!A:C,3,FALSE),0),0)</f>
        <v>0</v>
      </c>
      <c r="H75" s="163"/>
      <c r="I75" s="68">
        <f>IF(F75="I",IFERROR(VLOOKUP(C75,'BG 2021'!A:D,4,FALSE),0),0)</f>
        <v>0</v>
      </c>
      <c r="J75" s="40"/>
      <c r="K75" s="47">
        <f>IF(F75="I",SUMIF('BG 2020'!B:B,Clasificaciones!C75,'BG 2020'!D:D),0)</f>
        <v>0</v>
      </c>
      <c r="L75" s="40"/>
      <c r="M75" s="68">
        <f>IF(F75="I",SUMIF('BG 2020'!B:B,Clasificaciones!C75,'BG 2020'!E:E),0)</f>
        <v>0</v>
      </c>
    </row>
    <row r="76" spans="1:13" s="173" customFormat="1" ht="12" customHeight="1">
      <c r="A76" s="168" t="s">
        <v>3</v>
      </c>
      <c r="B76" s="168" t="s">
        <v>85</v>
      </c>
      <c r="C76" s="169">
        <v>1120112301</v>
      </c>
      <c r="D76" s="169" t="s">
        <v>772</v>
      </c>
      <c r="E76" s="170" t="s">
        <v>6</v>
      </c>
      <c r="F76" s="170" t="s">
        <v>344</v>
      </c>
      <c r="G76" s="157">
        <f>IF(F76="I",IFERROR(VLOOKUP(C76,'BG 2021'!A:C,3,FALSE),0),0)</f>
        <v>1250000000</v>
      </c>
      <c r="H76" s="168" t="s">
        <v>85</v>
      </c>
      <c r="I76" s="172">
        <f>IF(F76="I",IFERROR(VLOOKUP(C76,'BG 2021'!A:D,4,FALSE),0),0)</f>
        <v>181929.05999999493</v>
      </c>
      <c r="J76" s="171"/>
      <c r="K76" s="157">
        <f>IF(F76="I",SUMIF('BG 2020'!B:B,Clasificaciones!C76,'BG 2020'!D:D),0)</f>
        <v>270000000</v>
      </c>
      <c r="L76" s="171"/>
      <c r="M76" s="172">
        <f>IF(F76="I",SUMIF('BG 2020'!B:B,Clasificaciones!C76,'BG 2020'!E:E),0)</f>
        <v>39176.089999999997</v>
      </c>
    </row>
    <row r="77" spans="1:13" s="173" customFormat="1" ht="12" customHeight="1">
      <c r="A77" s="168" t="s">
        <v>3</v>
      </c>
      <c r="B77" s="168" t="s">
        <v>85</v>
      </c>
      <c r="C77" s="169">
        <v>1120112302</v>
      </c>
      <c r="D77" s="169" t="s">
        <v>1590</v>
      </c>
      <c r="E77" s="170" t="s">
        <v>229</v>
      </c>
      <c r="F77" s="170" t="s">
        <v>344</v>
      </c>
      <c r="G77" s="157">
        <f>IF(F77="I",IFERROR(VLOOKUP(C77,'BG 2021'!A:C,3,FALSE),0),0)</f>
        <v>1030621500</v>
      </c>
      <c r="H77" s="168" t="s">
        <v>85</v>
      </c>
      <c r="I77" s="172">
        <f>IF(F77="I",IFERROR(VLOOKUP(C77,'BG 2021'!A:D,4,FALSE),0),0)</f>
        <v>150000</v>
      </c>
      <c r="J77" s="171"/>
      <c r="K77" s="157">
        <f>IF(F77="I",SUMIF('BG 2020'!B:B,Clasificaciones!C77,'BG 2020'!D:D),0)</f>
        <v>1722990000</v>
      </c>
      <c r="L77" s="171"/>
      <c r="M77" s="172">
        <f>IF(F77="I",SUMIF('BG 2020'!B:B,Clasificaciones!C77,'BG 2020'!E:E),0)</f>
        <v>250000</v>
      </c>
    </row>
    <row r="78" spans="1:13" s="166" customFormat="1" ht="12" customHeight="1">
      <c r="A78" s="163" t="s">
        <v>3</v>
      </c>
      <c r="B78" s="163"/>
      <c r="C78" s="164">
        <v>1120113</v>
      </c>
      <c r="D78" s="164" t="s">
        <v>774</v>
      </c>
      <c r="E78" s="165" t="s">
        <v>6</v>
      </c>
      <c r="F78" s="165" t="s">
        <v>343</v>
      </c>
      <c r="G78" s="47">
        <f>IF(F78="I",IFERROR(VLOOKUP(C78,'BG 2021'!A:C,3,FALSE),0),0)</f>
        <v>0</v>
      </c>
      <c r="H78" s="163"/>
      <c r="I78" s="68">
        <f>IF(F78="I",IFERROR(VLOOKUP(C78,'BG 2021'!A:D,4,FALSE),0),0)</f>
        <v>0</v>
      </c>
      <c r="J78" s="40"/>
      <c r="K78" s="47">
        <f>IF(F78="I",SUMIF('BG 2020'!B:B,Clasificaciones!C78,'BG 2020'!D:D),0)</f>
        <v>0</v>
      </c>
      <c r="L78" s="40"/>
      <c r="M78" s="68">
        <f>IF(F78="I",SUMIF('BG 2020'!B:B,Clasificaciones!C78,'BG 2020'!E:E),0)</f>
        <v>0</v>
      </c>
    </row>
    <row r="79" spans="1:13" s="166" customFormat="1" ht="12" customHeight="1">
      <c r="A79" s="163" t="s">
        <v>3</v>
      </c>
      <c r="B79" s="163"/>
      <c r="C79" s="164">
        <v>11201131</v>
      </c>
      <c r="D79" s="164" t="s">
        <v>775</v>
      </c>
      <c r="E79" s="165" t="s">
        <v>6</v>
      </c>
      <c r="F79" s="165" t="s">
        <v>343</v>
      </c>
      <c r="G79" s="47">
        <f>IF(F79="I",IFERROR(VLOOKUP(C79,'BG 2021'!A:C,3,FALSE),0),0)</f>
        <v>0</v>
      </c>
      <c r="H79" s="163"/>
      <c r="I79" s="68">
        <f>IF(F79="I",IFERROR(VLOOKUP(C79,'BG 2021'!A:D,4,FALSE),0),0)</f>
        <v>0</v>
      </c>
      <c r="J79" s="40"/>
      <c r="K79" s="47">
        <f>IF(F79="I",SUMIF('BG 2020'!B:B,Clasificaciones!C79,'BG 2020'!D:D),0)</f>
        <v>0</v>
      </c>
      <c r="L79" s="40"/>
      <c r="M79" s="68">
        <f>IF(F79="I",SUMIF('BG 2020'!B:B,Clasificaciones!C79,'BG 2020'!E:E),0)</f>
        <v>0</v>
      </c>
    </row>
    <row r="80" spans="1:13" s="173" customFormat="1" ht="12" customHeight="1">
      <c r="A80" s="168" t="s">
        <v>3</v>
      </c>
      <c r="B80" s="168" t="s">
        <v>85</v>
      </c>
      <c r="C80" s="169">
        <v>1120113101</v>
      </c>
      <c r="D80" s="169" t="s">
        <v>776</v>
      </c>
      <c r="E80" s="170" t="s">
        <v>6</v>
      </c>
      <c r="F80" s="170" t="s">
        <v>344</v>
      </c>
      <c r="G80" s="157">
        <f>IF(F80="I",IFERROR(VLOOKUP(C80,'BG 2021'!A:C,3,FALSE),0),0)</f>
        <v>2623000000</v>
      </c>
      <c r="H80" s="168" t="s">
        <v>85</v>
      </c>
      <c r="I80" s="172">
        <f>IF(F80="I",IFERROR(VLOOKUP(C80,'BG 2021'!A:D,4,FALSE),0),0)</f>
        <v>381759.94000000134</v>
      </c>
      <c r="J80" s="171"/>
      <c r="K80" s="157">
        <f>IF(F80="I",SUMIF('BG 2020'!B:B,Clasificaciones!C80,'BG 2020'!D:D),0)</f>
        <v>2776000000</v>
      </c>
      <c r="L80" s="171"/>
      <c r="M80" s="172">
        <f>IF(F80="I",SUMIF('BG 2020'!B:B,Clasificaciones!C80,'BG 2020'!E:E),0)</f>
        <v>402788.18000000063</v>
      </c>
    </row>
    <row r="81" spans="1:13" s="166" customFormat="1" ht="12" customHeight="1">
      <c r="A81" s="163" t="s">
        <v>3</v>
      </c>
      <c r="B81" s="163"/>
      <c r="C81" s="164">
        <v>1120113102</v>
      </c>
      <c r="D81" s="164" t="s">
        <v>889</v>
      </c>
      <c r="E81" s="165" t="s">
        <v>229</v>
      </c>
      <c r="F81" s="165" t="s">
        <v>344</v>
      </c>
      <c r="G81" s="47">
        <f>IF(F81="I",IFERROR(VLOOKUP(C81,'BG 2021'!A:C,3,FALSE),0),0)</f>
        <v>0</v>
      </c>
      <c r="H81" s="163"/>
      <c r="I81" s="68">
        <f>IF(F81="I",IFERROR(VLOOKUP(C81,'BG 2021'!A:D,4,FALSE),0),0)</f>
        <v>0</v>
      </c>
      <c r="J81" s="40"/>
      <c r="K81" s="47">
        <f>IF(F81="I",SUMIF('BG 2020'!B:B,Clasificaciones!C81,'BG 2020'!D:D),0)</f>
        <v>0</v>
      </c>
      <c r="L81" s="40"/>
      <c r="M81" s="68">
        <f>IF(F81="I",SUMIF('BG 2020'!B:B,Clasificaciones!C81,'BG 2020'!E:E),0)</f>
        <v>0</v>
      </c>
    </row>
    <row r="82" spans="1:13" s="166" customFormat="1" ht="12" customHeight="1">
      <c r="A82" s="163" t="s">
        <v>3</v>
      </c>
      <c r="B82" s="163"/>
      <c r="C82" s="164">
        <v>11201132</v>
      </c>
      <c r="D82" s="164" t="s">
        <v>777</v>
      </c>
      <c r="E82" s="165" t="s">
        <v>6</v>
      </c>
      <c r="F82" s="165" t="s">
        <v>343</v>
      </c>
      <c r="G82" s="47">
        <f>IF(F82="I",IFERROR(VLOOKUP(C82,'BG 2021'!A:C,3,FALSE),0),0)</f>
        <v>0</v>
      </c>
      <c r="H82" s="163"/>
      <c r="I82" s="68">
        <f>IF(F82="I",IFERROR(VLOOKUP(C82,'BG 2021'!A:D,4,FALSE),0),0)</f>
        <v>0</v>
      </c>
      <c r="J82" s="40"/>
      <c r="K82" s="47">
        <f>IF(F82="I",SUMIF('BG 2020'!B:B,Clasificaciones!C82,'BG 2020'!D:D),0)</f>
        <v>0</v>
      </c>
      <c r="L82" s="40"/>
      <c r="M82" s="68">
        <f>IF(F82="I",SUMIF('BG 2020'!B:B,Clasificaciones!C82,'BG 2020'!E:E),0)</f>
        <v>0</v>
      </c>
    </row>
    <row r="83" spans="1:13" s="166" customFormat="1" ht="12" customHeight="1">
      <c r="A83" s="163" t="s">
        <v>3</v>
      </c>
      <c r="B83" s="163" t="s">
        <v>85</v>
      </c>
      <c r="C83" s="164">
        <v>1120113201</v>
      </c>
      <c r="D83" s="164" t="s">
        <v>778</v>
      </c>
      <c r="E83" s="165" t="s">
        <v>6</v>
      </c>
      <c r="F83" s="165" t="s">
        <v>344</v>
      </c>
      <c r="G83" s="47">
        <f>IF(F83="I",IFERROR(VLOOKUP(C83,'BG 2021'!A:C,3,FALSE),0),0)</f>
        <v>0</v>
      </c>
      <c r="H83" s="163" t="s">
        <v>85</v>
      </c>
      <c r="I83" s="68">
        <f>IF(F83="I",IFERROR(VLOOKUP(C83,'BG 2021'!A:D,4,FALSE),0),0)</f>
        <v>0</v>
      </c>
      <c r="J83" s="40"/>
      <c r="K83" s="47">
        <f>IF(F83="I",SUMIF('BG 2020'!B:B,Clasificaciones!C83,'BG 2020'!D:D),0)</f>
        <v>7000000</v>
      </c>
      <c r="L83" s="40"/>
      <c r="M83" s="68">
        <f>IF(F83="I",SUMIF('BG 2020'!B:B,Clasificaciones!C83,'BG 2020'!E:E),0)</f>
        <v>1015.6800000000512</v>
      </c>
    </row>
    <row r="84" spans="1:13" s="166" customFormat="1" ht="12" customHeight="1">
      <c r="A84" s="163" t="s">
        <v>3</v>
      </c>
      <c r="B84" s="163"/>
      <c r="C84" s="164">
        <v>1120113202</v>
      </c>
      <c r="D84" s="164" t="s">
        <v>1003</v>
      </c>
      <c r="E84" s="165" t="s">
        <v>229</v>
      </c>
      <c r="F84" s="165" t="s">
        <v>344</v>
      </c>
      <c r="G84" s="47">
        <f>IF(F84="I",IFERROR(VLOOKUP(C84,'BG 2021'!A:C,3,FALSE),0),0)</f>
        <v>0</v>
      </c>
      <c r="H84" s="163"/>
      <c r="I84" s="68">
        <f>IF(F84="I",IFERROR(VLOOKUP(C84,'BG 2021'!A:D,4,FALSE),0),0)</f>
        <v>0</v>
      </c>
      <c r="J84" s="40"/>
      <c r="K84" s="47">
        <f>IF(F84="I",SUMIF('BG 2020'!B:B,Clasificaciones!C84,'BG 2020'!D:D),0)</f>
        <v>0</v>
      </c>
      <c r="L84" s="40"/>
      <c r="M84" s="68">
        <f>IF(F84="I",SUMIF('BG 2020'!B:B,Clasificaciones!C84,'BG 2020'!E:E),0)</f>
        <v>0</v>
      </c>
    </row>
    <row r="85" spans="1:13" s="166" customFormat="1" ht="12" customHeight="1">
      <c r="A85" s="163" t="s">
        <v>3</v>
      </c>
      <c r="B85" s="163"/>
      <c r="C85" s="164">
        <v>11201133</v>
      </c>
      <c r="D85" s="164" t="s">
        <v>1004</v>
      </c>
      <c r="E85" s="165" t="s">
        <v>6</v>
      </c>
      <c r="F85" s="165" t="s">
        <v>343</v>
      </c>
      <c r="G85" s="47">
        <f>IF(F85="I",IFERROR(VLOOKUP(C85,'BG 2021'!A:C,3,FALSE),0),0)</f>
        <v>0</v>
      </c>
      <c r="H85" s="163"/>
      <c r="I85" s="68">
        <f>IF(F85="I",IFERROR(VLOOKUP(C85,'BG 2021'!A:D,4,FALSE),0),0)</f>
        <v>0</v>
      </c>
      <c r="J85" s="40"/>
      <c r="K85" s="47">
        <f>IF(F85="I",SUMIF('BG 2020'!B:B,Clasificaciones!C85,'BG 2020'!D:D),0)</f>
        <v>0</v>
      </c>
      <c r="L85" s="40"/>
      <c r="M85" s="68">
        <f>IF(F85="I",SUMIF('BG 2020'!B:B,Clasificaciones!C85,'BG 2020'!E:E),0)</f>
        <v>0</v>
      </c>
    </row>
    <row r="86" spans="1:13" s="166" customFormat="1" ht="12" customHeight="1">
      <c r="A86" s="163" t="s">
        <v>3</v>
      </c>
      <c r="B86" s="163"/>
      <c r="C86" s="164">
        <v>1120113301</v>
      </c>
      <c r="D86" s="164" t="s">
        <v>1005</v>
      </c>
      <c r="E86" s="165" t="s">
        <v>6</v>
      </c>
      <c r="F86" s="165" t="s">
        <v>344</v>
      </c>
      <c r="G86" s="47">
        <f>IF(F86="I",IFERROR(VLOOKUP(C86,'BG 2021'!A:C,3,FALSE),0),0)</f>
        <v>0</v>
      </c>
      <c r="H86" s="163"/>
      <c r="I86" s="68">
        <f>IF(F86="I",IFERROR(VLOOKUP(C86,'BG 2021'!A:D,4,FALSE),0),0)</f>
        <v>0</v>
      </c>
      <c r="J86" s="40"/>
      <c r="K86" s="47">
        <f>IF(F86="I",SUMIF('BG 2020'!B:B,Clasificaciones!C86,'BG 2020'!D:D),0)</f>
        <v>0</v>
      </c>
      <c r="L86" s="40"/>
      <c r="M86" s="68">
        <f>IF(F86="I",SUMIF('BG 2020'!B:B,Clasificaciones!C86,'BG 2020'!E:E),0)</f>
        <v>0</v>
      </c>
    </row>
    <row r="87" spans="1:13" s="166" customFormat="1" ht="12" customHeight="1">
      <c r="A87" s="163" t="s">
        <v>3</v>
      </c>
      <c r="B87" s="163"/>
      <c r="C87" s="164">
        <v>1120113302</v>
      </c>
      <c r="D87" s="164" t="s">
        <v>1006</v>
      </c>
      <c r="E87" s="165" t="s">
        <v>229</v>
      </c>
      <c r="F87" s="165" t="s">
        <v>344</v>
      </c>
      <c r="G87" s="47">
        <f>IF(F87="I",IFERROR(VLOOKUP(C87,'BG 2021'!A:C,3,FALSE),0),0)</f>
        <v>0</v>
      </c>
      <c r="H87" s="163"/>
      <c r="I87" s="68">
        <f>IF(F87="I",IFERROR(VLOOKUP(C87,'BG 2021'!A:D,4,FALSE),0),0)</f>
        <v>0</v>
      </c>
      <c r="J87" s="40"/>
      <c r="K87" s="47">
        <f>IF(F87="I",SUMIF('BG 2020'!B:B,Clasificaciones!C87,'BG 2020'!D:D),0)</f>
        <v>0</v>
      </c>
      <c r="L87" s="40"/>
      <c r="M87" s="68">
        <f>IF(F87="I",SUMIF('BG 2020'!B:B,Clasificaciones!C87,'BG 2020'!E:E),0)</f>
        <v>0</v>
      </c>
    </row>
    <row r="88" spans="1:13" s="166" customFormat="1" ht="12" customHeight="1">
      <c r="A88" s="163" t="s">
        <v>3</v>
      </c>
      <c r="B88" s="163"/>
      <c r="C88" s="164">
        <v>1120114</v>
      </c>
      <c r="D88" s="164" t="s">
        <v>779</v>
      </c>
      <c r="E88" s="165" t="s">
        <v>6</v>
      </c>
      <c r="F88" s="165" t="s">
        <v>343</v>
      </c>
      <c r="G88" s="47">
        <f>IF(F88="I",IFERROR(VLOOKUP(C88,'BG 2021'!A:C,3,FALSE),0),0)</f>
        <v>0</v>
      </c>
      <c r="H88" s="163"/>
      <c r="I88" s="68">
        <f>IF(F88="I",IFERROR(VLOOKUP(C88,'BG 2021'!A:D,4,FALSE),0),0)</f>
        <v>0</v>
      </c>
      <c r="J88" s="40"/>
      <c r="K88" s="47">
        <f>IF(F88="I",SUMIF('BG 2020'!B:B,Clasificaciones!C88,'BG 2020'!D:D),0)</f>
        <v>0</v>
      </c>
      <c r="L88" s="40"/>
      <c r="M88" s="68">
        <f>IF(F88="I",SUMIF('BG 2020'!B:B,Clasificaciones!C88,'BG 2020'!E:E),0)</f>
        <v>0</v>
      </c>
    </row>
    <row r="89" spans="1:13" s="166" customFormat="1" ht="12" customHeight="1">
      <c r="A89" s="163" t="s">
        <v>3</v>
      </c>
      <c r="B89" s="163"/>
      <c r="C89" s="164">
        <v>11201141</v>
      </c>
      <c r="D89" s="164" t="s">
        <v>574</v>
      </c>
      <c r="E89" s="165" t="s">
        <v>6</v>
      </c>
      <c r="F89" s="165" t="s">
        <v>343</v>
      </c>
      <c r="G89" s="47">
        <f>IF(F89="I",IFERROR(VLOOKUP(C89,'BG 2021'!A:C,3,FALSE),0),0)</f>
        <v>0</v>
      </c>
      <c r="H89" s="163"/>
      <c r="I89" s="68">
        <f>IF(F89="I",IFERROR(VLOOKUP(C89,'BG 2021'!A:D,4,FALSE),0),0)</f>
        <v>0</v>
      </c>
      <c r="J89" s="40"/>
      <c r="K89" s="47">
        <f>IF(F89="I",SUMIF('BG 2020'!B:B,Clasificaciones!C89,'BG 2020'!D:D),0)</f>
        <v>0</v>
      </c>
      <c r="L89" s="40"/>
      <c r="M89" s="68">
        <f>IF(F89="I",SUMIF('BG 2020'!B:B,Clasificaciones!C89,'BG 2020'!E:E),0)</f>
        <v>0</v>
      </c>
    </row>
    <row r="90" spans="1:13" s="166" customFormat="1" ht="12" customHeight="1">
      <c r="A90" s="163" t="s">
        <v>3</v>
      </c>
      <c r="B90" s="163"/>
      <c r="C90" s="164">
        <v>1120114101</v>
      </c>
      <c r="D90" s="164" t="s">
        <v>1007</v>
      </c>
      <c r="E90" s="165" t="s">
        <v>6</v>
      </c>
      <c r="F90" s="165" t="s">
        <v>344</v>
      </c>
      <c r="G90" s="47">
        <f>IF(F90="I",IFERROR(VLOOKUP(C90,'BG 2021'!A:C,3,FALSE),0),0)</f>
        <v>0</v>
      </c>
      <c r="H90" s="163"/>
      <c r="I90" s="68">
        <f>IF(F90="I",IFERROR(VLOOKUP(C90,'BG 2021'!A:D,4,FALSE),0),0)</f>
        <v>0</v>
      </c>
      <c r="J90" s="40"/>
      <c r="K90" s="47">
        <f>IF(F90="I",SUMIF('BG 2020'!B:B,Clasificaciones!C90,'BG 2020'!D:D),0)</f>
        <v>0</v>
      </c>
      <c r="L90" s="40"/>
      <c r="M90" s="68">
        <f>IF(F90="I",SUMIF('BG 2020'!B:B,Clasificaciones!C90,'BG 2020'!E:E),0)</f>
        <v>0</v>
      </c>
    </row>
    <row r="91" spans="1:13" s="166" customFormat="1" ht="12" customHeight="1">
      <c r="A91" s="163" t="s">
        <v>3</v>
      </c>
      <c r="B91" s="163"/>
      <c r="C91" s="164">
        <v>1120114102</v>
      </c>
      <c r="D91" s="164" t="s">
        <v>891</v>
      </c>
      <c r="E91" s="165" t="s">
        <v>229</v>
      </c>
      <c r="F91" s="165" t="s">
        <v>344</v>
      </c>
      <c r="G91" s="47">
        <f>IF(F91="I",IFERROR(VLOOKUP(C91,'BG 2021'!A:C,3,FALSE),0),0)</f>
        <v>0</v>
      </c>
      <c r="H91" s="163"/>
      <c r="I91" s="68">
        <f>IF(F91="I",IFERROR(VLOOKUP(C91,'BG 2021'!A:D,4,FALSE),0),0)</f>
        <v>0</v>
      </c>
      <c r="J91" s="40"/>
      <c r="K91" s="47">
        <f>IF(F91="I",SUMIF('BG 2020'!B:B,Clasificaciones!C91,'BG 2020'!D:D),0)</f>
        <v>0</v>
      </c>
      <c r="L91" s="40"/>
      <c r="M91" s="68">
        <f>IF(F91="I",SUMIF('BG 2020'!B:B,Clasificaciones!C91,'BG 2020'!E:E),0)</f>
        <v>0</v>
      </c>
    </row>
    <row r="92" spans="1:13" s="166" customFormat="1" ht="12" customHeight="1">
      <c r="A92" s="163" t="s">
        <v>3</v>
      </c>
      <c r="B92" s="163"/>
      <c r="C92" s="164">
        <v>11201142</v>
      </c>
      <c r="D92" s="164" t="s">
        <v>1001</v>
      </c>
      <c r="E92" s="165" t="s">
        <v>6</v>
      </c>
      <c r="F92" s="165" t="s">
        <v>343</v>
      </c>
      <c r="G92" s="47">
        <f>IF(F92="I",IFERROR(VLOOKUP(C92,'BG 2021'!A:C,3,FALSE),0),0)</f>
        <v>0</v>
      </c>
      <c r="H92" s="163"/>
      <c r="I92" s="68">
        <f>IF(F92="I",IFERROR(VLOOKUP(C92,'BG 2021'!A:D,4,FALSE),0),0)</f>
        <v>0</v>
      </c>
      <c r="J92" s="40"/>
      <c r="K92" s="47">
        <f>IF(F92="I",SUMIF('BG 2020'!B:B,Clasificaciones!C92,'BG 2020'!D:D),0)</f>
        <v>0</v>
      </c>
      <c r="L92" s="40"/>
      <c r="M92" s="68">
        <f>IF(F92="I",SUMIF('BG 2020'!B:B,Clasificaciones!C92,'BG 2020'!E:E),0)</f>
        <v>0</v>
      </c>
    </row>
    <row r="93" spans="1:13" s="166" customFormat="1" ht="12" customHeight="1">
      <c r="A93" s="163" t="s">
        <v>3</v>
      </c>
      <c r="B93" s="163"/>
      <c r="C93" s="164">
        <v>1120114201</v>
      </c>
      <c r="D93" s="164" t="s">
        <v>1008</v>
      </c>
      <c r="E93" s="165" t="s">
        <v>6</v>
      </c>
      <c r="F93" s="165" t="s">
        <v>344</v>
      </c>
      <c r="G93" s="47">
        <f>IF(F93="I",IFERROR(VLOOKUP(C93,'BG 2021'!A:C,3,FALSE),0),0)</f>
        <v>0</v>
      </c>
      <c r="H93" s="163"/>
      <c r="I93" s="68">
        <f>IF(F93="I",IFERROR(VLOOKUP(C93,'BG 2021'!A:D,4,FALSE),0),0)</f>
        <v>0</v>
      </c>
      <c r="J93" s="40"/>
      <c r="K93" s="47">
        <f>IF(F93="I",SUMIF('BG 2020'!B:B,Clasificaciones!C93,'BG 2020'!D:D),0)</f>
        <v>0</v>
      </c>
      <c r="L93" s="40"/>
      <c r="M93" s="68">
        <f>IF(F93="I",SUMIF('BG 2020'!B:B,Clasificaciones!C93,'BG 2020'!E:E),0)</f>
        <v>0</v>
      </c>
    </row>
    <row r="94" spans="1:13" s="166" customFormat="1" ht="12" customHeight="1">
      <c r="A94" s="163" t="s">
        <v>3</v>
      </c>
      <c r="B94" s="163" t="s">
        <v>85</v>
      </c>
      <c r="C94" s="164">
        <v>1120114202</v>
      </c>
      <c r="D94" s="164" t="s">
        <v>892</v>
      </c>
      <c r="E94" s="165" t="s">
        <v>229</v>
      </c>
      <c r="F94" s="165" t="s">
        <v>344</v>
      </c>
      <c r="G94" s="47">
        <f>IF(F94="I",IFERROR(VLOOKUP(C94,'BG 2021'!A:C,3,FALSE),0),0)</f>
        <v>0</v>
      </c>
      <c r="H94" s="163" t="s">
        <v>85</v>
      </c>
      <c r="I94" s="68">
        <f>IF(F94="I",IFERROR(VLOOKUP(C94,'BG 2021'!A:D,4,FALSE),0),0)</f>
        <v>0</v>
      </c>
      <c r="J94" s="40"/>
      <c r="K94" s="47">
        <f>IF(F94="I",SUMIF('BG 2020'!B:B,Clasificaciones!C94,'BG 2020'!D:D),0)</f>
        <v>0</v>
      </c>
      <c r="L94" s="40"/>
      <c r="M94" s="68">
        <f>IF(F94="I",SUMIF('BG 2020'!B:B,Clasificaciones!C94,'BG 2020'!E:E),0)</f>
        <v>0</v>
      </c>
    </row>
    <row r="95" spans="1:13" s="166" customFormat="1" ht="12" customHeight="1">
      <c r="A95" s="163" t="s">
        <v>3</v>
      </c>
      <c r="B95" s="163"/>
      <c r="C95" s="164">
        <v>11201143</v>
      </c>
      <c r="D95" s="164" t="s">
        <v>73</v>
      </c>
      <c r="E95" s="165" t="s">
        <v>6</v>
      </c>
      <c r="F95" s="165" t="s">
        <v>343</v>
      </c>
      <c r="G95" s="47">
        <f>IF(F95="I",IFERROR(VLOOKUP(C95,'BG 2021'!A:C,3,FALSE),0),0)</f>
        <v>0</v>
      </c>
      <c r="H95" s="163"/>
      <c r="I95" s="68">
        <f>IF(F95="I",IFERROR(VLOOKUP(C95,'BG 2021'!A:D,4,FALSE),0),0)</f>
        <v>0</v>
      </c>
      <c r="J95" s="40"/>
      <c r="K95" s="47">
        <f>IF(F95="I",SUMIF('BG 2020'!B:B,Clasificaciones!C95,'BG 2020'!D:D),0)</f>
        <v>0</v>
      </c>
      <c r="L95" s="40"/>
      <c r="M95" s="68">
        <f>IF(F95="I",SUMIF('BG 2020'!B:B,Clasificaciones!C95,'BG 2020'!E:E),0)</f>
        <v>0</v>
      </c>
    </row>
    <row r="96" spans="1:13" s="173" customFormat="1" ht="12" customHeight="1">
      <c r="A96" s="168" t="s">
        <v>3</v>
      </c>
      <c r="B96" s="168" t="s">
        <v>85</v>
      </c>
      <c r="C96" s="169">
        <v>1120114301</v>
      </c>
      <c r="D96" s="169" t="s">
        <v>780</v>
      </c>
      <c r="E96" s="170" t="s">
        <v>6</v>
      </c>
      <c r="F96" s="170" t="s">
        <v>344</v>
      </c>
      <c r="G96" s="157">
        <f>IF(F96="I",IFERROR(VLOOKUP(C96,'BG 2021'!A:C,3,FALSE),0),0)</f>
        <v>8007017205</v>
      </c>
      <c r="H96" s="168" t="s">
        <v>85</v>
      </c>
      <c r="I96" s="172">
        <f>IF(F96="I",IFERROR(VLOOKUP(C96,'BG 2021'!A:D,4,FALSE),0),0)</f>
        <v>1165367.290000001</v>
      </c>
      <c r="J96" s="171"/>
      <c r="K96" s="157">
        <f>IF(F96="I",SUMIF('BG 2020'!B:B,Clasificaciones!C96,'BG 2020'!D:D),0)</f>
        <v>150000000</v>
      </c>
      <c r="L96" s="171"/>
      <c r="M96" s="172">
        <f>IF(F96="I",SUMIF('BG 2020'!B:B,Clasificaciones!C96,'BG 2020'!E:E),0)</f>
        <v>21764.49</v>
      </c>
    </row>
    <row r="97" spans="1:13" s="166" customFormat="1" ht="12" customHeight="1">
      <c r="A97" s="163" t="s">
        <v>3</v>
      </c>
      <c r="B97" s="163" t="s">
        <v>85</v>
      </c>
      <c r="C97" s="164">
        <v>1120114302</v>
      </c>
      <c r="D97" s="164" t="s">
        <v>894</v>
      </c>
      <c r="E97" s="165" t="s">
        <v>229</v>
      </c>
      <c r="F97" s="165" t="s">
        <v>344</v>
      </c>
      <c r="G97" s="47">
        <f>IF(F97="I",IFERROR(VLOOKUP(C97,'BG 2021'!A:C,3,FALSE),0),0)</f>
        <v>0</v>
      </c>
      <c r="H97" s="163" t="s">
        <v>85</v>
      </c>
      <c r="I97" s="68">
        <f>IF(F97="I",IFERROR(VLOOKUP(C97,'BG 2021'!A:D,4,FALSE),0),0)</f>
        <v>0</v>
      </c>
      <c r="J97" s="40"/>
      <c r="K97" s="47">
        <f>IF(F97="I",SUMIF('BG 2020'!B:B,Clasificaciones!C97,'BG 2020'!D:D),0)</f>
        <v>675618839</v>
      </c>
      <c r="L97" s="40"/>
      <c r="M97" s="68">
        <f>IF(F97="I",SUMIF('BG 2020'!B:B,Clasificaciones!C97,'BG 2020'!E:E),0)</f>
        <v>98030</v>
      </c>
    </row>
    <row r="98" spans="1:13" s="166" customFormat="1" ht="12" customHeight="1">
      <c r="A98" s="163" t="s">
        <v>3</v>
      </c>
      <c r="B98" s="163"/>
      <c r="C98" s="164">
        <v>11201144</v>
      </c>
      <c r="D98" s="164" t="s">
        <v>775</v>
      </c>
      <c r="E98" s="165" t="s">
        <v>6</v>
      </c>
      <c r="F98" s="165" t="s">
        <v>343</v>
      </c>
      <c r="G98" s="47">
        <f>IF(F98="I",IFERROR(VLOOKUP(C98,'BG 2021'!A:C,3,FALSE),0),0)</f>
        <v>0</v>
      </c>
      <c r="H98" s="163"/>
      <c r="I98" s="68">
        <f>IF(F98="I",IFERROR(VLOOKUP(C98,'BG 2021'!A:D,4,FALSE),0),0)</f>
        <v>0</v>
      </c>
      <c r="J98" s="40"/>
      <c r="K98" s="47">
        <f>IF(F98="I",SUMIF('BG 2020'!B:B,Clasificaciones!C98,'BG 2020'!D:D),0)</f>
        <v>0</v>
      </c>
      <c r="L98" s="40"/>
      <c r="M98" s="68">
        <f>IF(F98="I",SUMIF('BG 2020'!B:B,Clasificaciones!C98,'BG 2020'!E:E),0)</f>
        <v>0</v>
      </c>
    </row>
    <row r="99" spans="1:13" s="166" customFormat="1" ht="12" customHeight="1">
      <c r="A99" s="163" t="s">
        <v>3</v>
      </c>
      <c r="B99" s="163"/>
      <c r="C99" s="164">
        <v>1120114401</v>
      </c>
      <c r="D99" s="164" t="s">
        <v>776</v>
      </c>
      <c r="E99" s="165" t="s">
        <v>6</v>
      </c>
      <c r="F99" s="165" t="s">
        <v>344</v>
      </c>
      <c r="G99" s="47">
        <f>IF(F99="I",IFERROR(VLOOKUP(C99,'BG 2021'!A:C,3,FALSE),0),0)</f>
        <v>0</v>
      </c>
      <c r="H99" s="163"/>
      <c r="I99" s="68">
        <f>IF(F99="I",IFERROR(VLOOKUP(C99,'BG 2021'!A:D,4,FALSE),0),0)</f>
        <v>0</v>
      </c>
      <c r="J99" s="40"/>
      <c r="K99" s="47">
        <f>IF(F99="I",SUMIF('BG 2020'!B:B,Clasificaciones!C99,'BG 2020'!D:D),0)</f>
        <v>0</v>
      </c>
      <c r="L99" s="40"/>
      <c r="M99" s="68">
        <f>IF(F99="I",SUMIF('BG 2020'!B:B,Clasificaciones!C99,'BG 2020'!E:E),0)</f>
        <v>0</v>
      </c>
    </row>
    <row r="100" spans="1:13" s="166" customFormat="1" ht="12" customHeight="1">
      <c r="A100" s="163" t="s">
        <v>3</v>
      </c>
      <c r="B100" s="163"/>
      <c r="C100" s="164">
        <v>1120114402</v>
      </c>
      <c r="D100" s="164" t="s">
        <v>889</v>
      </c>
      <c r="E100" s="165" t="s">
        <v>229</v>
      </c>
      <c r="F100" s="165" t="s">
        <v>344</v>
      </c>
      <c r="G100" s="47">
        <f>IF(F100="I",IFERROR(VLOOKUP(C100,'BG 2021'!A:C,3,FALSE),0),0)</f>
        <v>0</v>
      </c>
      <c r="H100" s="163"/>
      <c r="I100" s="68">
        <f>IF(F100="I",IFERROR(VLOOKUP(C100,'BG 2021'!A:D,4,FALSE),0),0)</f>
        <v>0</v>
      </c>
      <c r="J100" s="40"/>
      <c r="K100" s="47">
        <f>IF(F100="I",SUMIF('BG 2020'!B:B,Clasificaciones!C100,'BG 2020'!D:D),0)</f>
        <v>0</v>
      </c>
      <c r="L100" s="40"/>
      <c r="M100" s="68">
        <f>IF(F100="I",SUMIF('BG 2020'!B:B,Clasificaciones!C100,'BG 2020'!E:E),0)</f>
        <v>0</v>
      </c>
    </row>
    <row r="101" spans="1:13" s="166" customFormat="1" ht="12" customHeight="1">
      <c r="A101" s="163" t="s">
        <v>3</v>
      </c>
      <c r="B101" s="163"/>
      <c r="C101" s="164">
        <v>11201145</v>
      </c>
      <c r="D101" s="164" t="s">
        <v>777</v>
      </c>
      <c r="E101" s="165" t="s">
        <v>6</v>
      </c>
      <c r="F101" s="165" t="s">
        <v>343</v>
      </c>
      <c r="G101" s="47">
        <f>IF(F101="I",IFERROR(VLOOKUP(C101,'BG 2021'!A:C,3,FALSE),0),0)</f>
        <v>0</v>
      </c>
      <c r="H101" s="163"/>
      <c r="I101" s="68">
        <f>IF(F101="I",IFERROR(VLOOKUP(C101,'BG 2021'!A:D,4,FALSE),0),0)</f>
        <v>0</v>
      </c>
      <c r="J101" s="40"/>
      <c r="K101" s="47">
        <f>IF(F101="I",SUMIF('BG 2020'!B:B,Clasificaciones!C101,'BG 2020'!D:D),0)</f>
        <v>0</v>
      </c>
      <c r="L101" s="40"/>
      <c r="M101" s="68">
        <f>IF(F101="I",SUMIF('BG 2020'!B:B,Clasificaciones!C101,'BG 2020'!E:E),0)</f>
        <v>0</v>
      </c>
    </row>
    <row r="102" spans="1:13" s="166" customFormat="1" ht="12" customHeight="1">
      <c r="A102" s="163" t="s">
        <v>3</v>
      </c>
      <c r="B102" s="163"/>
      <c r="C102" s="164">
        <v>1120114501</v>
      </c>
      <c r="D102" s="164" t="s">
        <v>778</v>
      </c>
      <c r="E102" s="165" t="s">
        <v>6</v>
      </c>
      <c r="F102" s="165" t="s">
        <v>344</v>
      </c>
      <c r="G102" s="47">
        <f>IF(F102="I",IFERROR(VLOOKUP(C102,'BG 2021'!A:C,3,FALSE),0),0)</f>
        <v>0</v>
      </c>
      <c r="H102" s="163"/>
      <c r="I102" s="68">
        <f>IF(F102="I",IFERROR(VLOOKUP(C102,'BG 2021'!A:D,4,FALSE),0),0)</f>
        <v>0</v>
      </c>
      <c r="J102" s="40"/>
      <c r="K102" s="47">
        <f>IF(F102="I",SUMIF('BG 2020'!B:B,Clasificaciones!C102,'BG 2020'!D:D),0)</f>
        <v>0</v>
      </c>
      <c r="L102" s="40"/>
      <c r="M102" s="68">
        <f>IF(F102="I",SUMIF('BG 2020'!B:B,Clasificaciones!C102,'BG 2020'!E:E),0)</f>
        <v>0</v>
      </c>
    </row>
    <row r="103" spans="1:13" s="166" customFormat="1" ht="12" customHeight="1">
      <c r="A103" s="163" t="s">
        <v>3</v>
      </c>
      <c r="B103" s="163"/>
      <c r="C103" s="164">
        <v>1120114502</v>
      </c>
      <c r="D103" s="164" t="s">
        <v>1003</v>
      </c>
      <c r="E103" s="165" t="s">
        <v>229</v>
      </c>
      <c r="F103" s="165" t="s">
        <v>344</v>
      </c>
      <c r="G103" s="47">
        <f>IF(F103="I",IFERROR(VLOOKUP(C103,'BG 2021'!A:C,3,FALSE),0),0)</f>
        <v>0</v>
      </c>
      <c r="H103" s="163"/>
      <c r="I103" s="68">
        <f>IF(F103="I",IFERROR(VLOOKUP(C103,'BG 2021'!A:D,4,FALSE),0),0)</f>
        <v>0</v>
      </c>
      <c r="J103" s="40"/>
      <c r="K103" s="47">
        <f>IF(F103="I",SUMIF('BG 2020'!B:B,Clasificaciones!C103,'BG 2020'!D:D),0)</f>
        <v>0</v>
      </c>
      <c r="L103" s="40"/>
      <c r="M103" s="68">
        <f>IF(F103="I",SUMIF('BG 2020'!B:B,Clasificaciones!C103,'BG 2020'!E:E),0)</f>
        <v>0</v>
      </c>
    </row>
    <row r="104" spans="1:13" s="166" customFormat="1" ht="12" customHeight="1">
      <c r="A104" s="163" t="s">
        <v>3</v>
      </c>
      <c r="B104" s="163"/>
      <c r="C104" s="164">
        <v>11201146</v>
      </c>
      <c r="D104" s="164" t="s">
        <v>1004</v>
      </c>
      <c r="E104" s="165" t="s">
        <v>6</v>
      </c>
      <c r="F104" s="165" t="s">
        <v>343</v>
      </c>
      <c r="G104" s="47">
        <f>IF(F104="I",IFERROR(VLOOKUP(C104,'BG 2021'!A:C,3,FALSE),0),0)</f>
        <v>0</v>
      </c>
      <c r="H104" s="163"/>
      <c r="I104" s="68">
        <f>IF(F104="I",IFERROR(VLOOKUP(C104,'BG 2021'!A:D,4,FALSE),0),0)</f>
        <v>0</v>
      </c>
      <c r="J104" s="40"/>
      <c r="K104" s="47">
        <f>IF(F104="I",SUMIF('BG 2020'!B:B,Clasificaciones!C104,'BG 2020'!D:D),0)</f>
        <v>0</v>
      </c>
      <c r="L104" s="40"/>
      <c r="M104" s="68">
        <f>IF(F104="I",SUMIF('BG 2020'!B:B,Clasificaciones!C104,'BG 2020'!E:E),0)</f>
        <v>0</v>
      </c>
    </row>
    <row r="105" spans="1:13" s="166" customFormat="1" ht="12" customHeight="1">
      <c r="A105" s="163" t="s">
        <v>3</v>
      </c>
      <c r="B105" s="163"/>
      <c r="C105" s="164">
        <v>1120114601</v>
      </c>
      <c r="D105" s="164" t="s">
        <v>1005</v>
      </c>
      <c r="E105" s="165" t="s">
        <v>6</v>
      </c>
      <c r="F105" s="165" t="s">
        <v>344</v>
      </c>
      <c r="G105" s="47">
        <f>IF(F105="I",IFERROR(VLOOKUP(C105,'BG 2021'!A:C,3,FALSE),0),0)</f>
        <v>0</v>
      </c>
      <c r="H105" s="163"/>
      <c r="I105" s="68">
        <f>IF(F105="I",IFERROR(VLOOKUP(C105,'BG 2021'!A:D,4,FALSE),0),0)</f>
        <v>0</v>
      </c>
      <c r="J105" s="40"/>
      <c r="K105" s="47">
        <f>IF(F105="I",SUMIF('BG 2020'!B:B,Clasificaciones!C105,'BG 2020'!D:D),0)</f>
        <v>0</v>
      </c>
      <c r="L105" s="40"/>
      <c r="M105" s="68">
        <f>IF(F105="I",SUMIF('BG 2020'!B:B,Clasificaciones!C105,'BG 2020'!E:E),0)</f>
        <v>0</v>
      </c>
    </row>
    <row r="106" spans="1:13" s="166" customFormat="1" ht="12" customHeight="1">
      <c r="A106" s="163" t="s">
        <v>3</v>
      </c>
      <c r="B106" s="163"/>
      <c r="C106" s="164">
        <v>1120114602</v>
      </c>
      <c r="D106" s="164" t="s">
        <v>1006</v>
      </c>
      <c r="E106" s="165" t="s">
        <v>229</v>
      </c>
      <c r="F106" s="165" t="s">
        <v>344</v>
      </c>
      <c r="G106" s="47">
        <f>IF(F106="I",IFERROR(VLOOKUP(C106,'BG 2021'!A:C,3,FALSE),0),0)</f>
        <v>0</v>
      </c>
      <c r="H106" s="163"/>
      <c r="I106" s="68">
        <f>IF(F106="I",IFERROR(VLOOKUP(C106,'BG 2021'!A:D,4,FALSE),0),0)</f>
        <v>0</v>
      </c>
      <c r="J106" s="40"/>
      <c r="K106" s="47">
        <f>IF(F106="I",SUMIF('BG 2020'!B:B,Clasificaciones!C106,'BG 2020'!D:D),0)</f>
        <v>0</v>
      </c>
      <c r="L106" s="40"/>
      <c r="M106" s="68">
        <f>IF(F106="I",SUMIF('BG 2020'!B:B,Clasificaciones!C106,'BG 2020'!E:E),0)</f>
        <v>0</v>
      </c>
    </row>
    <row r="107" spans="1:13" s="166" customFormat="1" ht="12" customHeight="1">
      <c r="A107" s="163" t="s">
        <v>3</v>
      </c>
      <c r="B107" s="163"/>
      <c r="C107" s="164">
        <v>1120115</v>
      </c>
      <c r="D107" s="164" t="s">
        <v>1009</v>
      </c>
      <c r="E107" s="165" t="s">
        <v>6</v>
      </c>
      <c r="F107" s="165" t="s">
        <v>343</v>
      </c>
      <c r="G107" s="47">
        <f>IF(F107="I",IFERROR(VLOOKUP(C107,'BG 2021'!A:C,3,FALSE),0),0)</f>
        <v>0</v>
      </c>
      <c r="H107" s="163"/>
      <c r="I107" s="68">
        <f>IF(F107="I",IFERROR(VLOOKUP(C107,'BG 2021'!A:D,4,FALSE),0),0)</f>
        <v>0</v>
      </c>
      <c r="J107" s="40"/>
      <c r="K107" s="47">
        <f>IF(F107="I",SUMIF('BG 2020'!B:B,Clasificaciones!C107,'BG 2020'!D:D),0)</f>
        <v>0</v>
      </c>
      <c r="L107" s="40"/>
      <c r="M107" s="68">
        <f>IF(F107="I",SUMIF('BG 2020'!B:B,Clasificaciones!C107,'BG 2020'!E:E),0)</f>
        <v>0</v>
      </c>
    </row>
    <row r="108" spans="1:13" s="166" customFormat="1" ht="12" customHeight="1">
      <c r="A108" s="163" t="s">
        <v>3</v>
      </c>
      <c r="B108" s="163"/>
      <c r="C108" s="164">
        <v>11201151</v>
      </c>
      <c r="D108" s="164" t="s">
        <v>1010</v>
      </c>
      <c r="E108" s="165" t="s">
        <v>6</v>
      </c>
      <c r="F108" s="165" t="s">
        <v>343</v>
      </c>
      <c r="G108" s="47">
        <f>IF(F108="I",IFERROR(VLOOKUP(C108,'BG 2021'!A:C,3,FALSE),0),0)</f>
        <v>0</v>
      </c>
      <c r="H108" s="163"/>
      <c r="I108" s="68">
        <f>IF(F108="I",IFERROR(VLOOKUP(C108,'BG 2021'!A:D,4,FALSE),0),0)</f>
        <v>0</v>
      </c>
      <c r="J108" s="40"/>
      <c r="K108" s="47">
        <f>IF(F108="I",SUMIF('BG 2020'!B:B,Clasificaciones!C108,'BG 2020'!D:D),0)</f>
        <v>0</v>
      </c>
      <c r="L108" s="40"/>
      <c r="M108" s="68">
        <f>IF(F108="I",SUMIF('BG 2020'!B:B,Clasificaciones!C108,'BG 2020'!E:E),0)</f>
        <v>0</v>
      </c>
    </row>
    <row r="109" spans="1:13" s="166" customFormat="1" ht="12" customHeight="1">
      <c r="A109" s="163" t="s">
        <v>3</v>
      </c>
      <c r="B109" s="163"/>
      <c r="C109" s="164">
        <v>1120115101</v>
      </c>
      <c r="D109" s="164" t="s">
        <v>1011</v>
      </c>
      <c r="E109" s="165" t="s">
        <v>6</v>
      </c>
      <c r="F109" s="165" t="s">
        <v>344</v>
      </c>
      <c r="G109" s="47">
        <f>IF(F109="I",IFERROR(VLOOKUP(C109,'BG 2021'!A:C,3,FALSE),0),0)</f>
        <v>0</v>
      </c>
      <c r="H109" s="163"/>
      <c r="I109" s="68">
        <f>IF(F109="I",IFERROR(VLOOKUP(C109,'BG 2021'!A:D,4,FALSE),0),0)</f>
        <v>0</v>
      </c>
      <c r="J109" s="40"/>
      <c r="K109" s="47">
        <f>IF(F109="I",SUMIF('BG 2020'!B:B,Clasificaciones!C109,'BG 2020'!D:D),0)</f>
        <v>0</v>
      </c>
      <c r="L109" s="40"/>
      <c r="M109" s="68">
        <f>IF(F109="I",SUMIF('BG 2020'!B:B,Clasificaciones!C109,'BG 2020'!E:E),0)</f>
        <v>0</v>
      </c>
    </row>
    <row r="110" spans="1:13" s="166" customFormat="1" ht="12" customHeight="1">
      <c r="A110" s="163" t="s">
        <v>3</v>
      </c>
      <c r="B110" s="163"/>
      <c r="C110" s="164">
        <v>1120115102</v>
      </c>
      <c r="D110" s="164" t="s">
        <v>1012</v>
      </c>
      <c r="E110" s="165" t="s">
        <v>229</v>
      </c>
      <c r="F110" s="165" t="s">
        <v>344</v>
      </c>
      <c r="G110" s="47">
        <f>IF(F110="I",IFERROR(VLOOKUP(C110,'BG 2021'!A:C,3,FALSE),0),0)</f>
        <v>0</v>
      </c>
      <c r="H110" s="163"/>
      <c r="I110" s="68">
        <f>IF(F110="I",IFERROR(VLOOKUP(C110,'BG 2021'!A:D,4,FALSE),0),0)</f>
        <v>0</v>
      </c>
      <c r="J110" s="40"/>
      <c r="K110" s="47">
        <f>IF(F110="I",SUMIF('BG 2020'!B:B,Clasificaciones!C110,'BG 2020'!D:D),0)</f>
        <v>0</v>
      </c>
      <c r="L110" s="40"/>
      <c r="M110" s="68">
        <f>IF(F110="I",SUMIF('BG 2020'!B:B,Clasificaciones!C110,'BG 2020'!E:E),0)</f>
        <v>0</v>
      </c>
    </row>
    <row r="111" spans="1:13" s="166" customFormat="1" ht="12" customHeight="1">
      <c r="A111" s="163" t="s">
        <v>3</v>
      </c>
      <c r="B111" s="163"/>
      <c r="C111" s="164">
        <v>11201152</v>
      </c>
      <c r="D111" s="164" t="s">
        <v>1013</v>
      </c>
      <c r="E111" s="165" t="s">
        <v>6</v>
      </c>
      <c r="F111" s="165" t="s">
        <v>343</v>
      </c>
      <c r="G111" s="47">
        <f>IF(F111="I",IFERROR(VLOOKUP(C111,'BG 2021'!A:C,3,FALSE),0),0)</f>
        <v>0</v>
      </c>
      <c r="H111" s="163"/>
      <c r="I111" s="68">
        <f>IF(F111="I",IFERROR(VLOOKUP(C111,'BG 2021'!A:D,4,FALSE),0),0)</f>
        <v>0</v>
      </c>
      <c r="J111" s="40"/>
      <c r="K111" s="47">
        <f>IF(F111="I",SUMIF('BG 2020'!B:B,Clasificaciones!C111,'BG 2020'!D:D),0)</f>
        <v>0</v>
      </c>
      <c r="L111" s="40"/>
      <c r="M111" s="68">
        <f>IF(F111="I",SUMIF('BG 2020'!B:B,Clasificaciones!C111,'BG 2020'!E:E),0)</f>
        <v>0</v>
      </c>
    </row>
    <row r="112" spans="1:13" s="166" customFormat="1" ht="12" customHeight="1">
      <c r="A112" s="163" t="s">
        <v>3</v>
      </c>
      <c r="B112" s="163"/>
      <c r="C112" s="164">
        <v>1120115201</v>
      </c>
      <c r="D112" s="164" t="s">
        <v>1014</v>
      </c>
      <c r="E112" s="165" t="s">
        <v>6</v>
      </c>
      <c r="F112" s="165" t="s">
        <v>344</v>
      </c>
      <c r="G112" s="47">
        <f>IF(F112="I",IFERROR(VLOOKUP(C112,'BG 2021'!A:C,3,FALSE),0),0)</f>
        <v>0</v>
      </c>
      <c r="H112" s="163"/>
      <c r="I112" s="68">
        <f>IF(F112="I",IFERROR(VLOOKUP(C112,'BG 2021'!A:D,4,FALSE),0),0)</f>
        <v>0</v>
      </c>
      <c r="J112" s="40"/>
      <c r="K112" s="47">
        <f>IF(F112="I",SUMIF('BG 2020'!B:B,Clasificaciones!C112,'BG 2020'!D:D),0)</f>
        <v>0</v>
      </c>
      <c r="L112" s="40"/>
      <c r="M112" s="68">
        <f>IF(F112="I",SUMIF('BG 2020'!B:B,Clasificaciones!C112,'BG 2020'!E:E),0)</f>
        <v>0</v>
      </c>
    </row>
    <row r="113" spans="1:13" s="166" customFormat="1" ht="12" customHeight="1">
      <c r="A113" s="163" t="s">
        <v>3</v>
      </c>
      <c r="B113" s="163"/>
      <c r="C113" s="164">
        <v>1120115202</v>
      </c>
      <c r="D113" s="164" t="s">
        <v>1015</v>
      </c>
      <c r="E113" s="165" t="s">
        <v>229</v>
      </c>
      <c r="F113" s="165" t="s">
        <v>344</v>
      </c>
      <c r="G113" s="47">
        <f>IF(F113="I",IFERROR(VLOOKUP(C113,'BG 2021'!A:C,3,FALSE),0),0)</f>
        <v>0</v>
      </c>
      <c r="H113" s="163"/>
      <c r="I113" s="68">
        <f>IF(F113="I",IFERROR(VLOOKUP(C113,'BG 2021'!A:D,4,FALSE),0),0)</f>
        <v>0</v>
      </c>
      <c r="J113" s="40"/>
      <c r="K113" s="47">
        <f>IF(F113="I",SUMIF('BG 2020'!B:B,Clasificaciones!C113,'BG 2020'!D:D),0)</f>
        <v>0</v>
      </c>
      <c r="L113" s="40"/>
      <c r="M113" s="68">
        <f>IF(F113="I",SUMIF('BG 2020'!B:B,Clasificaciones!C113,'BG 2020'!E:E),0)</f>
        <v>0</v>
      </c>
    </row>
    <row r="114" spans="1:13" s="166" customFormat="1" ht="12" customHeight="1">
      <c r="A114" s="163" t="s">
        <v>3</v>
      </c>
      <c r="B114" s="163"/>
      <c r="C114" s="164">
        <v>1120116</v>
      </c>
      <c r="D114" s="164" t="s">
        <v>781</v>
      </c>
      <c r="E114" s="165" t="s">
        <v>6</v>
      </c>
      <c r="F114" s="165" t="s">
        <v>343</v>
      </c>
      <c r="G114" s="47">
        <f>IF(F114="I",IFERROR(VLOOKUP(C114,'BG 2021'!A:C,3,FALSE),0),0)</f>
        <v>0</v>
      </c>
      <c r="H114" s="163"/>
      <c r="I114" s="68">
        <f>IF(F114="I",IFERROR(VLOOKUP(C114,'BG 2021'!A:D,4,FALSE),0),0)</f>
        <v>0</v>
      </c>
      <c r="J114" s="40"/>
      <c r="K114" s="47">
        <f>IF(F114="I",SUMIF('BG 2020'!B:B,Clasificaciones!C114,'BG 2020'!D:D),0)</f>
        <v>0</v>
      </c>
      <c r="L114" s="40"/>
      <c r="M114" s="68">
        <f>IF(F114="I",SUMIF('BG 2020'!B:B,Clasificaciones!C114,'BG 2020'!E:E),0)</f>
        <v>0</v>
      </c>
    </row>
    <row r="115" spans="1:13" s="166" customFormat="1" ht="12" customHeight="1">
      <c r="A115" s="163" t="s">
        <v>3</v>
      </c>
      <c r="B115" s="163"/>
      <c r="C115" s="164">
        <v>11201161</v>
      </c>
      <c r="D115" s="164" t="s">
        <v>782</v>
      </c>
      <c r="E115" s="165" t="s">
        <v>6</v>
      </c>
      <c r="F115" s="165" t="s">
        <v>343</v>
      </c>
      <c r="G115" s="47">
        <f>IF(F115="I",IFERROR(VLOOKUP(C115,'BG 2021'!A:C,3,FALSE),0),0)</f>
        <v>0</v>
      </c>
      <c r="H115" s="163"/>
      <c r="I115" s="68">
        <f>IF(F115="I",IFERROR(VLOOKUP(C115,'BG 2021'!A:D,4,FALSE),0),0)</f>
        <v>0</v>
      </c>
      <c r="J115" s="40"/>
      <c r="K115" s="47">
        <f>IF(F115="I",SUMIF('BG 2020'!B:B,Clasificaciones!C115,'BG 2020'!D:D),0)</f>
        <v>0</v>
      </c>
      <c r="L115" s="40"/>
      <c r="M115" s="68">
        <f>IF(F115="I",SUMIF('BG 2020'!B:B,Clasificaciones!C115,'BG 2020'!E:E),0)</f>
        <v>0</v>
      </c>
    </row>
    <row r="116" spans="1:13" s="173" customFormat="1" ht="12" customHeight="1">
      <c r="A116" s="168" t="s">
        <v>3</v>
      </c>
      <c r="B116" s="168" t="s">
        <v>85</v>
      </c>
      <c r="C116" s="169">
        <v>1120116101</v>
      </c>
      <c r="D116" s="169" t="s">
        <v>783</v>
      </c>
      <c r="E116" s="170" t="s">
        <v>6</v>
      </c>
      <c r="F116" s="170" t="s">
        <v>344</v>
      </c>
      <c r="G116" s="157">
        <f>IF(F116="I",IFERROR(VLOOKUP(C116,'BG 2021'!A:C,3,FALSE),0),0)</f>
        <v>3684400000</v>
      </c>
      <c r="H116" s="168" t="s">
        <v>85</v>
      </c>
      <c r="I116" s="172">
        <f>IF(F116="I",IFERROR(VLOOKUP(C116,'BG 2021'!A:D,4,FALSE),0),0)</f>
        <v>536239.54</v>
      </c>
      <c r="J116" s="171"/>
      <c r="K116" s="157">
        <f>IF(F116="I",SUMIF('BG 2020'!B:B,Clasificaciones!C116,'BG 2020'!D:D),0)</f>
        <v>38247425</v>
      </c>
      <c r="L116" s="171"/>
      <c r="M116" s="172">
        <f>IF(F116="I",SUMIF('BG 2020'!B:B,Clasificaciones!C116,'BG 2020'!E:E),0)</f>
        <v>5549.57</v>
      </c>
    </row>
    <row r="117" spans="1:13" s="166" customFormat="1" ht="12" customHeight="1">
      <c r="A117" s="163" t="s">
        <v>3</v>
      </c>
      <c r="B117" s="163"/>
      <c r="C117" s="164">
        <v>1120116102</v>
      </c>
      <c r="D117" s="164" t="s">
        <v>1016</v>
      </c>
      <c r="E117" s="165" t="s">
        <v>229</v>
      </c>
      <c r="F117" s="165" t="s">
        <v>344</v>
      </c>
      <c r="G117" s="47">
        <f>IF(F117="I",IFERROR(VLOOKUP(C117,'BG 2021'!A:C,3,FALSE),0),0)</f>
        <v>0</v>
      </c>
      <c r="H117" s="163"/>
      <c r="I117" s="68">
        <f>IF(F117="I",IFERROR(VLOOKUP(C117,'BG 2021'!A:D,4,FALSE),0),0)</f>
        <v>0</v>
      </c>
      <c r="J117" s="40"/>
      <c r="K117" s="47">
        <f>IF(F117="I",SUMIF('BG 2020'!B:B,Clasificaciones!C117,'BG 2020'!D:D),0)</f>
        <v>0</v>
      </c>
      <c r="L117" s="40"/>
      <c r="M117" s="68">
        <f>IF(F117="I",SUMIF('BG 2020'!B:B,Clasificaciones!C117,'BG 2020'!E:E),0)</f>
        <v>0</v>
      </c>
    </row>
    <row r="118" spans="1:13" s="166" customFormat="1" ht="12" customHeight="1">
      <c r="A118" s="163" t="s">
        <v>3</v>
      </c>
      <c r="B118" s="163" t="s">
        <v>635</v>
      </c>
      <c r="C118" s="164">
        <v>1120116103</v>
      </c>
      <c r="D118" s="164" t="s">
        <v>1017</v>
      </c>
      <c r="E118" s="165" t="s">
        <v>6</v>
      </c>
      <c r="F118" s="165" t="s">
        <v>344</v>
      </c>
      <c r="G118" s="47">
        <f>IF(F118="I",IFERROR(VLOOKUP(C118,'BG 2021'!A:C,3,FALSE),0),0)</f>
        <v>0</v>
      </c>
      <c r="H118" s="163" t="s">
        <v>635</v>
      </c>
      <c r="I118" s="68">
        <f>IF(F118="I",IFERROR(VLOOKUP(C118,'BG 2021'!A:D,4,FALSE),0),0)</f>
        <v>0</v>
      </c>
      <c r="J118" s="40"/>
      <c r="K118" s="47">
        <f>IF(F118="I",SUMIF('BG 2020'!B:B,Clasificaciones!C118,'BG 2020'!D:D),0)</f>
        <v>0</v>
      </c>
      <c r="L118" s="40"/>
      <c r="M118" s="68">
        <f>IF(F118="I",SUMIF('BG 2020'!B:B,Clasificaciones!C118,'BG 2020'!E:E),0)</f>
        <v>0</v>
      </c>
    </row>
    <row r="119" spans="1:13" s="173" customFormat="1" ht="12" customHeight="1">
      <c r="A119" s="168" t="s">
        <v>3</v>
      </c>
      <c r="B119" s="168" t="s">
        <v>85</v>
      </c>
      <c r="C119" s="169">
        <v>1120116104</v>
      </c>
      <c r="D119" s="169" t="s">
        <v>1614</v>
      </c>
      <c r="E119" s="170" t="s">
        <v>229</v>
      </c>
      <c r="F119" s="170" t="s">
        <v>344</v>
      </c>
      <c r="G119" s="157">
        <f>IF(F119="I",IFERROR(VLOOKUP(C119,'BG 2021'!A:C,3,FALSE),0),0)</f>
        <v>887918555</v>
      </c>
      <c r="H119" s="168" t="s">
        <v>85</v>
      </c>
      <c r="I119" s="172">
        <f>IF(F119="I",IFERROR(VLOOKUP(C119,'BG 2021'!A:D,4,FALSE),0),0)</f>
        <v>129230.55000000005</v>
      </c>
      <c r="J119" s="171"/>
      <c r="K119" s="157">
        <f>IF(F119="I",SUMIF('BG 2020'!B:B,Clasificaciones!C119,'BG 2020'!D:D),0)</f>
        <v>308429348</v>
      </c>
      <c r="L119" s="171"/>
      <c r="M119" s="172">
        <f>IF(F119="I",SUMIF('BG 2020'!B:B,Clasificaciones!C119,'BG 2020'!E:E),0)</f>
        <v>44752.05</v>
      </c>
    </row>
    <row r="120" spans="1:13" s="173" customFormat="1" ht="12" customHeight="1">
      <c r="A120" s="168" t="s">
        <v>3</v>
      </c>
      <c r="B120" s="168" t="s">
        <v>85</v>
      </c>
      <c r="C120" s="169">
        <v>1120116105</v>
      </c>
      <c r="D120" s="169" t="s">
        <v>784</v>
      </c>
      <c r="E120" s="170" t="s">
        <v>6</v>
      </c>
      <c r="F120" s="170" t="s">
        <v>344</v>
      </c>
      <c r="G120" s="157">
        <f>IF(F120="I",IFERROR(VLOOKUP(C120,'BG 2021'!A:C,3,FALSE),0),0)</f>
        <v>1462373699</v>
      </c>
      <c r="H120" s="168" t="s">
        <v>85</v>
      </c>
      <c r="I120" s="172">
        <f>IF(F120="I",IFERROR(VLOOKUP(C120,'BG 2021'!A:D,4,FALSE),0),0)</f>
        <v>212838.62000000008</v>
      </c>
      <c r="J120" s="171"/>
      <c r="K120" s="157">
        <f>IF(F120="I",SUMIF('BG 2020'!B:B,Clasificaciones!C120,'BG 2020'!D:D),0)</f>
        <v>38985616</v>
      </c>
      <c r="L120" s="171"/>
      <c r="M120" s="172">
        <f>IF(F120="I",SUMIF('BG 2020'!B:B,Clasificaciones!C120,'BG 2020'!E:E),0)</f>
        <v>5656.68</v>
      </c>
    </row>
    <row r="121" spans="1:13" s="173" customFormat="1" ht="12" customHeight="1">
      <c r="A121" s="168" t="s">
        <v>3</v>
      </c>
      <c r="B121" s="168" t="s">
        <v>85</v>
      </c>
      <c r="C121" s="169">
        <v>1120116106</v>
      </c>
      <c r="D121" s="169" t="s">
        <v>1615</v>
      </c>
      <c r="E121" s="170" t="s">
        <v>229</v>
      </c>
      <c r="F121" s="170" t="s">
        <v>344</v>
      </c>
      <c r="G121" s="157">
        <f>IF(F121="I",IFERROR(VLOOKUP(C121,'BG 2021'!A:C,3,FALSE),0),0)</f>
        <v>412685515</v>
      </c>
      <c r="H121" s="168" t="s">
        <v>85</v>
      </c>
      <c r="I121" s="172">
        <f>IF(F121="I",IFERROR(VLOOKUP(C121,'BG 2021'!A:D,4,FALSE),0),0)</f>
        <v>60063.589999999844</v>
      </c>
      <c r="J121" s="171"/>
      <c r="K121" s="157">
        <f>IF(F121="I",SUMIF('BG 2020'!B:B,Clasificaciones!C121,'BG 2020'!D:D),0)</f>
        <v>99886149</v>
      </c>
      <c r="L121" s="171"/>
      <c r="M121" s="172">
        <f>IF(F121="I",SUMIF('BG 2020'!B:B,Clasificaciones!C121,'BG 2020'!E:E),0)</f>
        <v>14493.14</v>
      </c>
    </row>
    <row r="122" spans="1:13" s="173" customFormat="1" ht="12" customHeight="1">
      <c r="A122" s="168" t="s">
        <v>3</v>
      </c>
      <c r="B122" s="168" t="s">
        <v>85</v>
      </c>
      <c r="C122" s="169">
        <v>1120116107</v>
      </c>
      <c r="D122" s="169" t="s">
        <v>786</v>
      </c>
      <c r="E122" s="170" t="s">
        <v>6</v>
      </c>
      <c r="F122" s="170" t="s">
        <v>344</v>
      </c>
      <c r="G122" s="157">
        <f>IF(F122="I",IFERROR(VLOOKUP(C122,'BG 2021'!A:C,3,FALSE),0),0)</f>
        <v>13691268545</v>
      </c>
      <c r="H122" s="168" t="s">
        <v>85</v>
      </c>
      <c r="I122" s="172">
        <f>IF(F122="I",IFERROR(VLOOKUP(C122,'BG 2021'!A:D,4,FALSE),0),0)</f>
        <v>1992671.6899999992</v>
      </c>
      <c r="J122" s="171"/>
      <c r="K122" s="157">
        <f>IF(F122="I",SUMIF('BG 2020'!B:B,Clasificaciones!C122,'BG 2020'!D:D),0)</f>
        <v>2225907993</v>
      </c>
      <c r="L122" s="171"/>
      <c r="M122" s="172">
        <f>IF(F122="I",SUMIF('BG 2020'!B:B,Clasificaciones!C122,'BG 2020'!E:E),0)</f>
        <v>322971.69</v>
      </c>
    </row>
    <row r="123" spans="1:13" s="166" customFormat="1" ht="12" customHeight="1">
      <c r="A123" s="163" t="s">
        <v>3</v>
      </c>
      <c r="B123" s="163"/>
      <c r="C123" s="164">
        <v>1120116108</v>
      </c>
      <c r="D123" s="164" t="s">
        <v>1018</v>
      </c>
      <c r="E123" s="165" t="s">
        <v>229</v>
      </c>
      <c r="F123" s="165" t="s">
        <v>344</v>
      </c>
      <c r="G123" s="47">
        <f>IF(F123="I",IFERROR(VLOOKUP(C123,'BG 2021'!A:C,3,FALSE),0),0)</f>
        <v>0</v>
      </c>
      <c r="H123" s="163"/>
      <c r="I123" s="68">
        <f>IF(F123="I",IFERROR(VLOOKUP(C123,'BG 2021'!A:D,4,FALSE),0),0)</f>
        <v>0</v>
      </c>
      <c r="J123" s="40"/>
      <c r="K123" s="47">
        <f>IF(F123="I",SUMIF('BG 2020'!B:B,Clasificaciones!C123,'BG 2020'!D:D),0)</f>
        <v>0</v>
      </c>
      <c r="L123" s="40"/>
      <c r="M123" s="68">
        <f>IF(F123="I",SUMIF('BG 2020'!B:B,Clasificaciones!C123,'BG 2020'!E:E),0)</f>
        <v>0</v>
      </c>
    </row>
    <row r="124" spans="1:13" s="166" customFormat="1" ht="12" customHeight="1">
      <c r="A124" s="163" t="s">
        <v>3</v>
      </c>
      <c r="B124" s="168" t="s">
        <v>85</v>
      </c>
      <c r="C124" s="164">
        <v>1120116109</v>
      </c>
      <c r="D124" s="164" t="s">
        <v>787</v>
      </c>
      <c r="E124" s="165" t="s">
        <v>6</v>
      </c>
      <c r="F124" s="165" t="s">
        <v>344</v>
      </c>
      <c r="G124" s="47">
        <f>IF(F124="I",IFERROR(VLOOKUP(C124,'BG 2021'!A:C,3,FALSE),0),0)</f>
        <v>0</v>
      </c>
      <c r="H124" s="168" t="s">
        <v>85</v>
      </c>
      <c r="I124" s="68">
        <f>IF(F124="I",IFERROR(VLOOKUP(C124,'BG 2021'!A:D,4,FALSE),0),0)</f>
        <v>0</v>
      </c>
      <c r="J124" s="40"/>
      <c r="K124" s="47">
        <f>IF(F124="I",SUMIF('BG 2020'!B:B,Clasificaciones!C124,'BG 2020'!D:D),0)</f>
        <v>823890</v>
      </c>
      <c r="L124" s="40"/>
      <c r="M124" s="68">
        <f>IF(F124="I",SUMIF('BG 2020'!B:B,Clasificaciones!C124,'BG 2020'!E:E),0)</f>
        <v>119.54</v>
      </c>
    </row>
    <row r="125" spans="1:13" s="166" customFormat="1" ht="12" customHeight="1">
      <c r="A125" s="163" t="s">
        <v>3</v>
      </c>
      <c r="B125" s="163"/>
      <c r="C125" s="164">
        <v>1120116110</v>
      </c>
      <c r="D125" s="164" t="s">
        <v>1019</v>
      </c>
      <c r="E125" s="165" t="s">
        <v>229</v>
      </c>
      <c r="F125" s="165" t="s">
        <v>344</v>
      </c>
      <c r="G125" s="47">
        <f>IF(F125="I",IFERROR(VLOOKUP(C125,'BG 2021'!A:C,3,FALSE),0),0)</f>
        <v>0</v>
      </c>
      <c r="H125" s="163"/>
      <c r="I125" s="68">
        <f>IF(F125="I",IFERROR(VLOOKUP(C125,'BG 2021'!A:D,4,FALSE),0),0)</f>
        <v>0</v>
      </c>
      <c r="J125" s="40"/>
      <c r="K125" s="47">
        <f>IF(F125="I",SUMIF('BG 2020'!B:B,Clasificaciones!C125,'BG 2020'!D:D),0)</f>
        <v>0</v>
      </c>
      <c r="L125" s="40"/>
      <c r="M125" s="68">
        <f>IF(F125="I",SUMIF('BG 2020'!B:B,Clasificaciones!C125,'BG 2020'!E:E),0)</f>
        <v>0</v>
      </c>
    </row>
    <row r="126" spans="1:13" s="166" customFormat="1" ht="12" customHeight="1">
      <c r="A126" s="163" t="s">
        <v>3</v>
      </c>
      <c r="B126" s="163"/>
      <c r="C126" s="164">
        <v>1120116111</v>
      </c>
      <c r="D126" s="164" t="s">
        <v>1020</v>
      </c>
      <c r="E126" s="165" t="s">
        <v>6</v>
      </c>
      <c r="F126" s="165" t="s">
        <v>344</v>
      </c>
      <c r="G126" s="47">
        <f>IF(F126="I",IFERROR(VLOOKUP(C126,'BG 2021'!A:C,3,FALSE),0),0)</f>
        <v>0</v>
      </c>
      <c r="H126" s="163"/>
      <c r="I126" s="68">
        <f>IF(F126="I",IFERROR(VLOOKUP(C126,'BG 2021'!A:D,4,FALSE),0),0)</f>
        <v>0</v>
      </c>
      <c r="J126" s="40"/>
      <c r="K126" s="47">
        <f>IF(F126="I",SUMIF('BG 2020'!B:B,Clasificaciones!C126,'BG 2020'!D:D),0)</f>
        <v>0</v>
      </c>
      <c r="L126" s="40"/>
      <c r="M126" s="68">
        <f>IF(F126="I",SUMIF('BG 2020'!B:B,Clasificaciones!C126,'BG 2020'!E:E),0)</f>
        <v>0</v>
      </c>
    </row>
    <row r="127" spans="1:13" s="166" customFormat="1" ht="12" customHeight="1">
      <c r="A127" s="163" t="s">
        <v>3</v>
      </c>
      <c r="B127" s="163"/>
      <c r="C127" s="164">
        <v>1120116112</v>
      </c>
      <c r="D127" s="164" t="s">
        <v>1021</v>
      </c>
      <c r="E127" s="165" t="s">
        <v>229</v>
      </c>
      <c r="F127" s="165" t="s">
        <v>344</v>
      </c>
      <c r="G127" s="47">
        <f>IF(F127="I",IFERROR(VLOOKUP(C127,'BG 2021'!A:C,3,FALSE),0),0)</f>
        <v>0</v>
      </c>
      <c r="H127" s="163"/>
      <c r="I127" s="68">
        <f>IF(F127="I",IFERROR(VLOOKUP(C127,'BG 2021'!A:D,4,FALSE),0),0)</f>
        <v>0</v>
      </c>
      <c r="J127" s="40"/>
      <c r="K127" s="47">
        <f>IF(F127="I",SUMIF('BG 2020'!B:B,Clasificaciones!C127,'BG 2020'!D:D),0)</f>
        <v>0</v>
      </c>
      <c r="L127" s="40"/>
      <c r="M127" s="68">
        <f>IF(F127="I",SUMIF('BG 2020'!B:B,Clasificaciones!C127,'BG 2020'!E:E),0)</f>
        <v>0</v>
      </c>
    </row>
    <row r="128" spans="1:13" s="166" customFormat="1" ht="12" customHeight="1">
      <c r="A128" s="163" t="s">
        <v>3</v>
      </c>
      <c r="B128" s="163"/>
      <c r="C128" s="164">
        <v>1120116113</v>
      </c>
      <c r="D128" s="164" t="s">
        <v>1022</v>
      </c>
      <c r="E128" s="165" t="s">
        <v>6</v>
      </c>
      <c r="F128" s="165" t="s">
        <v>344</v>
      </c>
      <c r="G128" s="47">
        <f>IF(F128="I",IFERROR(VLOOKUP(C128,'BG 2021'!A:C,3,FALSE),0),0)</f>
        <v>0</v>
      </c>
      <c r="H128" s="163"/>
      <c r="I128" s="68">
        <f>IF(F128="I",IFERROR(VLOOKUP(C128,'BG 2021'!A:D,4,FALSE),0),0)</f>
        <v>0</v>
      </c>
      <c r="J128" s="40"/>
      <c r="K128" s="47">
        <f>IF(F128="I",SUMIF('BG 2020'!B:B,Clasificaciones!C128,'BG 2020'!D:D),0)</f>
        <v>0</v>
      </c>
      <c r="L128" s="40"/>
      <c r="M128" s="68">
        <f>IF(F128="I",SUMIF('BG 2020'!B:B,Clasificaciones!C128,'BG 2020'!E:E),0)</f>
        <v>0</v>
      </c>
    </row>
    <row r="129" spans="1:13" s="173" customFormat="1" ht="12" customHeight="1">
      <c r="A129" s="168" t="s">
        <v>3</v>
      </c>
      <c r="B129" s="168" t="s">
        <v>85</v>
      </c>
      <c r="C129" s="169">
        <v>1120116114</v>
      </c>
      <c r="D129" s="169" t="s">
        <v>1616</v>
      </c>
      <c r="E129" s="170" t="s">
        <v>229</v>
      </c>
      <c r="F129" s="170" t="s">
        <v>344</v>
      </c>
      <c r="G129" s="157">
        <f>IF(F129="I",IFERROR(VLOOKUP(C129,'BG 2021'!A:C,3,FALSE),0),0)</f>
        <v>69</v>
      </c>
      <c r="H129" s="168" t="s">
        <v>85</v>
      </c>
      <c r="I129" s="172">
        <f>IF(F129="I",IFERROR(VLOOKUP(C129,'BG 2021'!A:D,4,FALSE),0),0)</f>
        <v>9.9999999947613105E-3</v>
      </c>
      <c r="J129" s="171"/>
      <c r="K129" s="157">
        <f>IF(F129="I",SUMIF('BG 2020'!B:B,Clasificaciones!C129,'BG 2020'!D:D),0)</f>
        <v>0</v>
      </c>
      <c r="L129" s="171"/>
      <c r="M129" s="172">
        <f>IF(F129="I",SUMIF('BG 2020'!B:B,Clasificaciones!C129,'BG 2020'!E:E),0)</f>
        <v>0</v>
      </c>
    </row>
    <row r="130" spans="1:13" s="166" customFormat="1" ht="12" customHeight="1">
      <c r="A130" s="163" t="s">
        <v>3</v>
      </c>
      <c r="B130" s="163"/>
      <c r="C130" s="164">
        <v>1120116115</v>
      </c>
      <c r="D130" s="164" t="s">
        <v>1023</v>
      </c>
      <c r="E130" s="165" t="s">
        <v>6</v>
      </c>
      <c r="F130" s="165" t="s">
        <v>344</v>
      </c>
      <c r="G130" s="47">
        <f>IF(F130="I",IFERROR(VLOOKUP(C130,'BG 2021'!A:C,3,FALSE),0),0)</f>
        <v>0</v>
      </c>
      <c r="H130" s="163"/>
      <c r="I130" s="68">
        <f>IF(F130="I",IFERROR(VLOOKUP(C130,'BG 2021'!A:D,4,FALSE),0),0)</f>
        <v>0</v>
      </c>
      <c r="J130" s="40"/>
      <c r="K130" s="47">
        <f>IF(F130="I",SUMIF('BG 2020'!B:B,Clasificaciones!C130,'BG 2020'!D:D),0)</f>
        <v>0</v>
      </c>
      <c r="L130" s="40"/>
      <c r="M130" s="68">
        <f>IF(F130="I",SUMIF('BG 2020'!B:B,Clasificaciones!C130,'BG 2020'!E:E),0)</f>
        <v>0</v>
      </c>
    </row>
    <row r="131" spans="1:13" s="166" customFormat="1" ht="12" customHeight="1">
      <c r="A131" s="163" t="s">
        <v>3</v>
      </c>
      <c r="B131" s="163"/>
      <c r="C131" s="164">
        <v>1120116116</v>
      </c>
      <c r="D131" s="164" t="s">
        <v>1024</v>
      </c>
      <c r="E131" s="165" t="s">
        <v>229</v>
      </c>
      <c r="F131" s="165" t="s">
        <v>344</v>
      </c>
      <c r="G131" s="47">
        <f>IF(F131="I",IFERROR(VLOOKUP(C131,'BG 2021'!A:C,3,FALSE),0),0)</f>
        <v>0</v>
      </c>
      <c r="H131" s="163"/>
      <c r="I131" s="68">
        <f>IF(F131="I",IFERROR(VLOOKUP(C131,'BG 2021'!A:D,4,FALSE),0),0)</f>
        <v>0</v>
      </c>
      <c r="J131" s="40"/>
      <c r="K131" s="47">
        <f>IF(F131="I",SUMIF('BG 2020'!B:B,Clasificaciones!C131,'BG 2020'!D:D),0)</f>
        <v>0</v>
      </c>
      <c r="L131" s="40"/>
      <c r="M131" s="68">
        <f>IF(F131="I",SUMIF('BG 2020'!B:B,Clasificaciones!C131,'BG 2020'!E:E),0)</f>
        <v>0</v>
      </c>
    </row>
    <row r="132" spans="1:13" s="173" customFormat="1" ht="12" customHeight="1">
      <c r="A132" s="168" t="s">
        <v>3</v>
      </c>
      <c r="B132" s="168" t="s">
        <v>85</v>
      </c>
      <c r="C132" s="169">
        <v>1120116117</v>
      </c>
      <c r="D132" s="169" t="s">
        <v>788</v>
      </c>
      <c r="E132" s="170" t="s">
        <v>6</v>
      </c>
      <c r="F132" s="170" t="s">
        <v>344</v>
      </c>
      <c r="G132" s="157">
        <f>IF(F132="I",IFERROR(VLOOKUP(C132,'BG 2021'!A:C,3,FALSE),0),0)</f>
        <v>1679208575</v>
      </c>
      <c r="H132" s="168" t="s">
        <v>85</v>
      </c>
      <c r="I132" s="172">
        <f>IF(F132="I",IFERROR(VLOOKUP(C132,'BG 2021'!A:D,4,FALSE),0),0)</f>
        <v>244397.46999999997</v>
      </c>
      <c r="J132" s="171"/>
      <c r="K132" s="157">
        <f>IF(F132="I",SUMIF('BG 2020'!B:B,Clasificaciones!C132,'BG 2020'!D:D),0)</f>
        <v>173031508</v>
      </c>
      <c r="L132" s="171"/>
      <c r="M132" s="172">
        <f>IF(F132="I",SUMIF('BG 2020'!B:B,Clasificaciones!C132,'BG 2020'!E:E),0)</f>
        <v>25106.28</v>
      </c>
    </row>
    <row r="133" spans="1:13" s="173" customFormat="1" ht="12" customHeight="1">
      <c r="A133" s="168" t="s">
        <v>3</v>
      </c>
      <c r="B133" s="168" t="s">
        <v>85</v>
      </c>
      <c r="C133" s="169">
        <v>1120116118</v>
      </c>
      <c r="D133" s="169" t="s">
        <v>1617</v>
      </c>
      <c r="E133" s="170" t="s">
        <v>229</v>
      </c>
      <c r="F133" s="170" t="s">
        <v>344</v>
      </c>
      <c r="G133" s="157">
        <f>IF(F133="I",IFERROR(VLOOKUP(C133,'BG 2021'!A:C,3,FALSE),0),0)</f>
        <v>3139299404</v>
      </c>
      <c r="H133" s="168" t="s">
        <v>85</v>
      </c>
      <c r="I133" s="172">
        <f>IF(F133="I",IFERROR(VLOOKUP(C133,'BG 2021'!A:D,4,FALSE),0),0)</f>
        <v>456903.82999999996</v>
      </c>
      <c r="J133" s="171"/>
      <c r="K133" s="157">
        <f>IF(F133="I",SUMIF('BG 2020'!B:B,Clasificaciones!C133,'BG 2020'!D:D),0)</f>
        <v>28862959</v>
      </c>
      <c r="L133" s="171"/>
      <c r="M133" s="172">
        <f>IF(F133="I",SUMIF('BG 2020'!B:B,Clasificaciones!C133,'BG 2020'!E:E),0)</f>
        <v>4187.92</v>
      </c>
    </row>
    <row r="134" spans="1:13" s="166" customFormat="1" ht="12" customHeight="1">
      <c r="A134" s="163" t="s">
        <v>3</v>
      </c>
      <c r="B134" s="163"/>
      <c r="C134" s="164">
        <v>1120116119</v>
      </c>
      <c r="D134" s="164" t="s">
        <v>786</v>
      </c>
      <c r="E134" s="165" t="s">
        <v>6</v>
      </c>
      <c r="F134" s="165" t="s">
        <v>344</v>
      </c>
      <c r="G134" s="47">
        <f>IF(F134="I",IFERROR(VLOOKUP(C134,'BG 2021'!A:C,3,FALSE),0),0)</f>
        <v>0</v>
      </c>
      <c r="H134" s="163"/>
      <c r="I134" s="68">
        <f>IF(F134="I",IFERROR(VLOOKUP(C134,'BG 2021'!A:D,4,FALSE),0),0)</f>
        <v>0</v>
      </c>
      <c r="J134" s="40"/>
      <c r="K134" s="47">
        <f>IF(F134="I",SUMIF('BG 2020'!B:B,Clasificaciones!C134,'BG 2020'!D:D),0)</f>
        <v>0</v>
      </c>
      <c r="L134" s="40"/>
      <c r="M134" s="68">
        <f>IF(F134="I",SUMIF('BG 2020'!B:B,Clasificaciones!C134,'BG 2020'!E:E),0)</f>
        <v>0</v>
      </c>
    </row>
    <row r="135" spans="1:13" s="166" customFormat="1" ht="12" customHeight="1">
      <c r="A135" s="163" t="s">
        <v>3</v>
      </c>
      <c r="B135" s="163"/>
      <c r="C135" s="164">
        <v>1120116120</v>
      </c>
      <c r="D135" s="164" t="s">
        <v>1018</v>
      </c>
      <c r="E135" s="165" t="s">
        <v>229</v>
      </c>
      <c r="F135" s="165" t="s">
        <v>344</v>
      </c>
      <c r="G135" s="47">
        <f>IF(F135="I",IFERROR(VLOOKUP(C135,'BG 2021'!A:C,3,FALSE),0),0)</f>
        <v>0</v>
      </c>
      <c r="H135" s="163"/>
      <c r="I135" s="68">
        <f>IF(F135="I",IFERROR(VLOOKUP(C135,'BG 2021'!A:D,4,FALSE),0),0)</f>
        <v>0</v>
      </c>
      <c r="J135" s="40"/>
      <c r="K135" s="47">
        <f>IF(F135="I",SUMIF('BG 2020'!B:B,Clasificaciones!C135,'BG 2020'!D:D),0)</f>
        <v>0</v>
      </c>
      <c r="L135" s="40"/>
      <c r="M135" s="68">
        <f>IF(F135="I",SUMIF('BG 2020'!B:B,Clasificaciones!C135,'BG 2020'!E:E),0)</f>
        <v>0</v>
      </c>
    </row>
    <row r="136" spans="1:13" s="166" customFormat="1" ht="12" customHeight="1">
      <c r="A136" s="163" t="s">
        <v>3</v>
      </c>
      <c r="B136" s="163"/>
      <c r="C136" s="164">
        <v>1120116121</v>
      </c>
      <c r="D136" s="164" t="s">
        <v>1025</v>
      </c>
      <c r="E136" s="165" t="s">
        <v>6</v>
      </c>
      <c r="F136" s="165" t="s">
        <v>344</v>
      </c>
      <c r="G136" s="47">
        <f>IF(F136="I",IFERROR(VLOOKUP(C136,'BG 2021'!A:C,3,FALSE),0),0)</f>
        <v>0</v>
      </c>
      <c r="H136" s="163"/>
      <c r="I136" s="68">
        <f>IF(F136="I",IFERROR(VLOOKUP(C136,'BG 2021'!A:D,4,FALSE),0),0)</f>
        <v>0</v>
      </c>
      <c r="J136" s="40"/>
      <c r="K136" s="47">
        <f>IF(F136="I",SUMIF('BG 2020'!B:B,Clasificaciones!C136,'BG 2020'!D:D),0)</f>
        <v>0</v>
      </c>
      <c r="L136" s="40"/>
      <c r="M136" s="68">
        <f>IF(F136="I",SUMIF('BG 2020'!B:B,Clasificaciones!C136,'BG 2020'!E:E),0)</f>
        <v>0</v>
      </c>
    </row>
    <row r="137" spans="1:13" s="166" customFormat="1" ht="12" customHeight="1">
      <c r="A137" s="163" t="s">
        <v>3</v>
      </c>
      <c r="B137" s="163"/>
      <c r="C137" s="164">
        <v>1120116122</v>
      </c>
      <c r="D137" s="164" t="s">
        <v>1026</v>
      </c>
      <c r="E137" s="165" t="s">
        <v>229</v>
      </c>
      <c r="F137" s="165" t="s">
        <v>344</v>
      </c>
      <c r="G137" s="47">
        <f>IF(F137="I",IFERROR(VLOOKUP(C137,'BG 2021'!A:C,3,FALSE),0),0)</f>
        <v>0</v>
      </c>
      <c r="H137" s="163"/>
      <c r="I137" s="68">
        <f>IF(F137="I",IFERROR(VLOOKUP(C137,'BG 2021'!A:D,4,FALSE),0),0)</f>
        <v>0</v>
      </c>
      <c r="J137" s="40"/>
      <c r="K137" s="47">
        <f>IF(F137="I",SUMIF('BG 2020'!B:B,Clasificaciones!C137,'BG 2020'!D:D),0)</f>
        <v>0</v>
      </c>
      <c r="L137" s="40"/>
      <c r="M137" s="68">
        <f>IF(F137="I",SUMIF('BG 2020'!B:B,Clasificaciones!C137,'BG 2020'!E:E),0)</f>
        <v>0</v>
      </c>
    </row>
    <row r="138" spans="1:13" s="166" customFormat="1" ht="12" customHeight="1">
      <c r="A138" s="163" t="s">
        <v>3</v>
      </c>
      <c r="B138" s="163"/>
      <c r="C138" s="164">
        <v>1120116123</v>
      </c>
      <c r="D138" s="164" t="s">
        <v>1020</v>
      </c>
      <c r="E138" s="165" t="s">
        <v>6</v>
      </c>
      <c r="F138" s="165" t="s">
        <v>344</v>
      </c>
      <c r="G138" s="47">
        <f>IF(F138="I",IFERROR(VLOOKUP(C138,'BG 2021'!A:C,3,FALSE),0),0)</f>
        <v>0</v>
      </c>
      <c r="H138" s="163"/>
      <c r="I138" s="68">
        <f>IF(F138="I",IFERROR(VLOOKUP(C138,'BG 2021'!A:D,4,FALSE),0),0)</f>
        <v>0</v>
      </c>
      <c r="J138" s="40"/>
      <c r="K138" s="47">
        <f>IF(F138="I",SUMIF('BG 2020'!B:B,Clasificaciones!C138,'BG 2020'!D:D),0)</f>
        <v>0</v>
      </c>
      <c r="L138" s="40"/>
      <c r="M138" s="68">
        <f>IF(F138="I",SUMIF('BG 2020'!B:B,Clasificaciones!C138,'BG 2020'!E:E),0)</f>
        <v>0</v>
      </c>
    </row>
    <row r="139" spans="1:13" s="166" customFormat="1" ht="12" customHeight="1">
      <c r="A139" s="163" t="s">
        <v>3</v>
      </c>
      <c r="B139" s="163"/>
      <c r="C139" s="164">
        <v>1120116124</v>
      </c>
      <c r="D139" s="164" t="s">
        <v>1021</v>
      </c>
      <c r="E139" s="165" t="s">
        <v>229</v>
      </c>
      <c r="F139" s="165" t="s">
        <v>344</v>
      </c>
      <c r="G139" s="47">
        <f>IF(F139="I",IFERROR(VLOOKUP(C139,'BG 2021'!A:C,3,FALSE),0),0)</f>
        <v>0</v>
      </c>
      <c r="H139" s="163"/>
      <c r="I139" s="68">
        <f>IF(F139="I",IFERROR(VLOOKUP(C139,'BG 2021'!A:D,4,FALSE),0),0)</f>
        <v>0</v>
      </c>
      <c r="J139" s="40"/>
      <c r="K139" s="47">
        <f>IF(F139="I",SUMIF('BG 2020'!B:B,Clasificaciones!C139,'BG 2020'!D:D),0)</f>
        <v>0</v>
      </c>
      <c r="L139" s="40"/>
      <c r="M139" s="68">
        <f>IF(F139="I",SUMIF('BG 2020'!B:B,Clasificaciones!C139,'BG 2020'!E:E),0)</f>
        <v>0</v>
      </c>
    </row>
    <row r="140" spans="1:13" s="166" customFormat="1" ht="12" customHeight="1">
      <c r="A140" s="163" t="s">
        <v>3</v>
      </c>
      <c r="B140" s="163"/>
      <c r="C140" s="164">
        <v>1120116125</v>
      </c>
      <c r="D140" s="164" t="s">
        <v>1027</v>
      </c>
      <c r="E140" s="165" t="s">
        <v>6</v>
      </c>
      <c r="F140" s="165" t="s">
        <v>344</v>
      </c>
      <c r="G140" s="47">
        <f>IF(F140="I",IFERROR(VLOOKUP(C140,'BG 2021'!A:C,3,FALSE),0),0)</f>
        <v>0</v>
      </c>
      <c r="H140" s="163"/>
      <c r="I140" s="68">
        <f>IF(F140="I",IFERROR(VLOOKUP(C140,'BG 2021'!A:D,4,FALSE),0),0)</f>
        <v>0</v>
      </c>
      <c r="J140" s="40"/>
      <c r="K140" s="47">
        <f>IF(F140="I",SUMIF('BG 2020'!B:B,Clasificaciones!C140,'BG 2020'!D:D),0)</f>
        <v>0</v>
      </c>
      <c r="L140" s="40"/>
      <c r="M140" s="68">
        <f>IF(F140="I",SUMIF('BG 2020'!B:B,Clasificaciones!C140,'BG 2020'!E:E),0)</f>
        <v>0</v>
      </c>
    </row>
    <row r="141" spans="1:13" s="166" customFormat="1" ht="12" customHeight="1">
      <c r="A141" s="163" t="s">
        <v>3</v>
      </c>
      <c r="B141" s="163"/>
      <c r="C141" s="164">
        <v>1120116126</v>
      </c>
      <c r="D141" s="164" t="s">
        <v>1027</v>
      </c>
      <c r="E141" s="165" t="s">
        <v>229</v>
      </c>
      <c r="F141" s="165" t="s">
        <v>344</v>
      </c>
      <c r="G141" s="47">
        <f>IF(F141="I",IFERROR(VLOOKUP(C141,'BG 2021'!A:C,3,FALSE),0),0)</f>
        <v>0</v>
      </c>
      <c r="H141" s="163"/>
      <c r="I141" s="68">
        <f>IF(F141="I",IFERROR(VLOOKUP(C141,'BG 2021'!A:D,4,FALSE),0),0)</f>
        <v>0</v>
      </c>
      <c r="J141" s="40"/>
      <c r="K141" s="47">
        <f>IF(F141="I",SUMIF('BG 2020'!B:B,Clasificaciones!C141,'BG 2020'!D:D),0)</f>
        <v>0</v>
      </c>
      <c r="L141" s="40"/>
      <c r="M141" s="68">
        <f>IF(F141="I",SUMIF('BG 2020'!B:B,Clasificaciones!C141,'BG 2020'!E:E),0)</f>
        <v>0</v>
      </c>
    </row>
    <row r="142" spans="1:13" s="166" customFormat="1" ht="12" customHeight="1">
      <c r="A142" s="163" t="s">
        <v>3</v>
      </c>
      <c r="B142" s="163"/>
      <c r="C142" s="164">
        <v>1120116127</v>
      </c>
      <c r="D142" s="164" t="s">
        <v>1028</v>
      </c>
      <c r="E142" s="165" t="s">
        <v>6</v>
      </c>
      <c r="F142" s="165" t="s">
        <v>344</v>
      </c>
      <c r="G142" s="47">
        <f>IF(F142="I",IFERROR(VLOOKUP(C142,'BG 2021'!A:C,3,FALSE),0),0)</f>
        <v>0</v>
      </c>
      <c r="H142" s="163"/>
      <c r="I142" s="68">
        <f>IF(F142="I",IFERROR(VLOOKUP(C142,'BG 2021'!A:D,4,FALSE),0),0)</f>
        <v>0</v>
      </c>
      <c r="J142" s="40"/>
      <c r="K142" s="47">
        <f>IF(F142="I",SUMIF('BG 2020'!B:B,Clasificaciones!C142,'BG 2020'!D:D),0)</f>
        <v>0</v>
      </c>
      <c r="L142" s="40"/>
      <c r="M142" s="68">
        <f>IF(F142="I",SUMIF('BG 2020'!B:B,Clasificaciones!C142,'BG 2020'!E:E),0)</f>
        <v>0</v>
      </c>
    </row>
    <row r="143" spans="1:13" s="166" customFormat="1" ht="12" customHeight="1">
      <c r="A143" s="163" t="s">
        <v>3</v>
      </c>
      <c r="B143" s="163"/>
      <c r="C143" s="164">
        <v>1120116128</v>
      </c>
      <c r="D143" s="164" t="s">
        <v>1028</v>
      </c>
      <c r="E143" s="165" t="s">
        <v>229</v>
      </c>
      <c r="F143" s="165" t="s">
        <v>344</v>
      </c>
      <c r="G143" s="47">
        <f>IF(F143="I",IFERROR(VLOOKUP(C143,'BG 2021'!A:C,3,FALSE),0),0)</f>
        <v>0</v>
      </c>
      <c r="H143" s="163"/>
      <c r="I143" s="68">
        <f>IF(F143="I",IFERROR(VLOOKUP(C143,'BG 2021'!A:D,4,FALSE),0),0)</f>
        <v>0</v>
      </c>
      <c r="J143" s="40"/>
      <c r="K143" s="47">
        <f>IF(F143="I",SUMIF('BG 2020'!B:B,Clasificaciones!C143,'BG 2020'!D:D),0)</f>
        <v>0</v>
      </c>
      <c r="L143" s="40"/>
      <c r="M143" s="68">
        <f>IF(F143="I",SUMIF('BG 2020'!B:B,Clasificaciones!C143,'BG 2020'!E:E),0)</f>
        <v>0</v>
      </c>
    </row>
    <row r="144" spans="1:13" s="173" customFormat="1" ht="12" customHeight="1">
      <c r="A144" s="168" t="s">
        <v>3</v>
      </c>
      <c r="B144" s="168" t="s">
        <v>85</v>
      </c>
      <c r="C144" s="169">
        <v>1120116129</v>
      </c>
      <c r="D144" s="169" t="s">
        <v>790</v>
      </c>
      <c r="E144" s="170" t="s">
        <v>6</v>
      </c>
      <c r="F144" s="170" t="s">
        <v>344</v>
      </c>
      <c r="G144" s="157">
        <f>IF(F144="I",IFERROR(VLOOKUP(C144,'BG 2021'!A:C,3,FALSE),0),0)</f>
        <v>41475000</v>
      </c>
      <c r="H144" s="168" t="s">
        <v>85</v>
      </c>
      <c r="I144" s="172">
        <f>IF(F144="I",IFERROR(VLOOKUP(C144,'BG 2021'!A:D,4,FALSE),0),0)</f>
        <v>6036.4100000000317</v>
      </c>
      <c r="J144" s="171"/>
      <c r="K144" s="157">
        <f>IF(F144="I",SUMIF('BG 2020'!B:B,Clasificaciones!C144,'BG 2020'!D:D),0)</f>
        <v>47400000</v>
      </c>
      <c r="L144" s="171"/>
      <c r="M144" s="172">
        <f>IF(F144="I",SUMIF('BG 2020'!B:B,Clasificaciones!C144,'BG 2020'!E:E),0)</f>
        <v>6877.58</v>
      </c>
    </row>
    <row r="145" spans="1:13" s="166" customFormat="1" ht="12" customHeight="1">
      <c r="A145" s="163" t="s">
        <v>3</v>
      </c>
      <c r="B145" s="163"/>
      <c r="C145" s="164">
        <v>1120116130</v>
      </c>
      <c r="D145" s="164" t="s">
        <v>1029</v>
      </c>
      <c r="E145" s="165" t="s">
        <v>229</v>
      </c>
      <c r="F145" s="165" t="s">
        <v>344</v>
      </c>
      <c r="G145" s="47">
        <f>IF(F145="I",IFERROR(VLOOKUP(C145,'BG 2021'!A:C,3,FALSE),0),0)</f>
        <v>0</v>
      </c>
      <c r="H145" s="163"/>
      <c r="I145" s="68">
        <f>IF(F145="I",IFERROR(VLOOKUP(C145,'BG 2021'!A:D,4,FALSE),0),0)</f>
        <v>0</v>
      </c>
      <c r="J145" s="40"/>
      <c r="K145" s="47">
        <f>IF(F145="I",SUMIF('BG 2020'!B:B,Clasificaciones!C145,'BG 2020'!D:D),0)</f>
        <v>0</v>
      </c>
      <c r="L145" s="40"/>
      <c r="M145" s="68">
        <f>IF(F145="I",SUMIF('BG 2020'!B:B,Clasificaciones!C145,'BG 2020'!E:E),0)</f>
        <v>0</v>
      </c>
    </row>
    <row r="146" spans="1:13" s="166" customFormat="1" ht="12" customHeight="1">
      <c r="A146" s="163" t="s">
        <v>3</v>
      </c>
      <c r="B146" s="163"/>
      <c r="C146" s="164">
        <v>1120116131</v>
      </c>
      <c r="D146" s="164" t="s">
        <v>1030</v>
      </c>
      <c r="E146" s="165" t="s">
        <v>6</v>
      </c>
      <c r="F146" s="165" t="s">
        <v>344</v>
      </c>
      <c r="G146" s="47">
        <f>IF(F146="I",IFERROR(VLOOKUP(C146,'BG 2021'!A:C,3,FALSE),0),0)</f>
        <v>0</v>
      </c>
      <c r="H146" s="163"/>
      <c r="I146" s="68">
        <f>IF(F146="I",IFERROR(VLOOKUP(C146,'BG 2021'!A:D,4,FALSE),0),0)</f>
        <v>0</v>
      </c>
      <c r="J146" s="40"/>
      <c r="K146" s="47">
        <f>IF(F146="I",SUMIF('BG 2020'!B:B,Clasificaciones!C146,'BG 2020'!D:D),0)</f>
        <v>0</v>
      </c>
      <c r="L146" s="40"/>
      <c r="M146" s="68">
        <f>IF(F146="I",SUMIF('BG 2020'!B:B,Clasificaciones!C146,'BG 2020'!E:E),0)</f>
        <v>0</v>
      </c>
    </row>
    <row r="147" spans="1:13" s="166" customFormat="1" ht="12" customHeight="1">
      <c r="A147" s="163" t="s">
        <v>3</v>
      </c>
      <c r="B147" s="163" t="s">
        <v>635</v>
      </c>
      <c r="C147" s="164">
        <v>1120116132</v>
      </c>
      <c r="D147" s="164" t="s">
        <v>1031</v>
      </c>
      <c r="E147" s="165" t="s">
        <v>229</v>
      </c>
      <c r="F147" s="165" t="s">
        <v>344</v>
      </c>
      <c r="G147" s="47">
        <f>IF(F147="I",IFERROR(VLOOKUP(C147,'BG 2021'!A:C,3,FALSE),0),0)</f>
        <v>0</v>
      </c>
      <c r="H147" s="163" t="s">
        <v>635</v>
      </c>
      <c r="I147" s="68">
        <f>IF(F147="I",IFERROR(VLOOKUP(C147,'BG 2021'!A:D,4,FALSE),0),0)</f>
        <v>0</v>
      </c>
      <c r="J147" s="40"/>
      <c r="K147" s="47">
        <f>IF(F147="I",SUMIF('BG 2020'!B:B,Clasificaciones!C147,'BG 2020'!D:D),0)</f>
        <v>0</v>
      </c>
      <c r="L147" s="40"/>
      <c r="M147" s="68">
        <f>IF(F147="I",SUMIF('BG 2020'!B:B,Clasificaciones!C147,'BG 2020'!E:E),0)</f>
        <v>0</v>
      </c>
    </row>
    <row r="148" spans="1:13" s="166" customFormat="1" ht="12" customHeight="1">
      <c r="A148" s="163" t="s">
        <v>3</v>
      </c>
      <c r="B148" s="163"/>
      <c r="C148" s="164">
        <v>11201162</v>
      </c>
      <c r="D148" s="164" t="s">
        <v>791</v>
      </c>
      <c r="E148" s="165" t="s">
        <v>6</v>
      </c>
      <c r="F148" s="165" t="s">
        <v>343</v>
      </c>
      <c r="G148" s="47">
        <f>IF(F148="I",IFERROR(VLOOKUP(C148,'BG 2021'!A:C,3,FALSE),0),0)</f>
        <v>0</v>
      </c>
      <c r="H148" s="163"/>
      <c r="I148" s="68">
        <f>IF(F148="I",IFERROR(VLOOKUP(C148,'BG 2021'!A:D,4,FALSE),0),0)</f>
        <v>0</v>
      </c>
      <c r="J148" s="40"/>
      <c r="K148" s="47">
        <f>IF(F148="I",SUMIF('BG 2020'!B:B,Clasificaciones!C148,'BG 2020'!D:D),0)</f>
        <v>0</v>
      </c>
      <c r="L148" s="40"/>
      <c r="M148" s="68">
        <f>IF(F148="I",SUMIF('BG 2020'!B:B,Clasificaciones!C148,'BG 2020'!E:E),0)</f>
        <v>0</v>
      </c>
    </row>
    <row r="149" spans="1:13" s="173" customFormat="1" ht="12" customHeight="1">
      <c r="A149" s="168" t="s">
        <v>3</v>
      </c>
      <c r="B149" s="168" t="s">
        <v>85</v>
      </c>
      <c r="C149" s="169">
        <v>1120116201</v>
      </c>
      <c r="D149" s="169" t="s">
        <v>792</v>
      </c>
      <c r="E149" s="170" t="s">
        <v>6</v>
      </c>
      <c r="F149" s="170" t="s">
        <v>344</v>
      </c>
      <c r="G149" s="157">
        <f>IF(F149="I",IFERROR(VLOOKUP(C149,'BG 2021'!A:C,3,FALSE),0),0)</f>
        <v>-3649070137</v>
      </c>
      <c r="H149" s="168" t="s">
        <v>85</v>
      </c>
      <c r="I149" s="172">
        <f>IF(F149="I",IFERROR(VLOOKUP(C149,'BG 2021'!A:D,4,FALSE),0),0)</f>
        <v>-531097.52</v>
      </c>
      <c r="J149" s="171"/>
      <c r="K149" s="157">
        <f>IF(F149="I",SUMIF('BG 2020'!B:B,Clasificaciones!C149,'BG 2020'!D:D),0)</f>
        <v>-29526171</v>
      </c>
      <c r="L149" s="171"/>
      <c r="M149" s="172">
        <f>IF(F149="I",SUMIF('BG 2020'!B:B,Clasificaciones!C149,'BG 2020'!E:E),0)</f>
        <v>-4253.4799999999996</v>
      </c>
    </row>
    <row r="150" spans="1:13" s="166" customFormat="1" ht="12" customHeight="1">
      <c r="A150" s="163" t="s">
        <v>3</v>
      </c>
      <c r="B150" s="163"/>
      <c r="C150" s="164">
        <v>1120116202</v>
      </c>
      <c r="D150" s="164" t="s">
        <v>1032</v>
      </c>
      <c r="E150" s="165" t="s">
        <v>229</v>
      </c>
      <c r="F150" s="165" t="s">
        <v>344</v>
      </c>
      <c r="G150" s="47">
        <f>IF(F150="I",IFERROR(VLOOKUP(C150,'BG 2021'!A:C,3,FALSE),0),0)</f>
        <v>0</v>
      </c>
      <c r="H150" s="163"/>
      <c r="I150" s="68">
        <f>IF(F150="I",IFERROR(VLOOKUP(C150,'BG 2021'!A:D,4,FALSE),0),0)</f>
        <v>0</v>
      </c>
      <c r="J150" s="40"/>
      <c r="K150" s="47">
        <f>IF(F150="I",SUMIF('BG 2020'!B:B,Clasificaciones!C150,'BG 2020'!D:D),0)</f>
        <v>0</v>
      </c>
      <c r="L150" s="40"/>
      <c r="M150" s="68">
        <f>IF(F150="I",SUMIF('BG 2020'!B:B,Clasificaciones!C150,'BG 2020'!E:E),0)</f>
        <v>0</v>
      </c>
    </row>
    <row r="151" spans="1:13" s="166" customFormat="1" ht="12" customHeight="1">
      <c r="A151" s="163" t="s">
        <v>3</v>
      </c>
      <c r="B151" s="163" t="s">
        <v>635</v>
      </c>
      <c r="C151" s="164">
        <v>1120116203</v>
      </c>
      <c r="D151" s="164" t="s">
        <v>1033</v>
      </c>
      <c r="E151" s="165" t="s">
        <v>6</v>
      </c>
      <c r="F151" s="165" t="s">
        <v>344</v>
      </c>
      <c r="G151" s="47">
        <f>IF(F151="I",IFERROR(VLOOKUP(C151,'BG 2021'!A:C,3,FALSE),0),0)</f>
        <v>0</v>
      </c>
      <c r="H151" s="163" t="s">
        <v>635</v>
      </c>
      <c r="I151" s="68">
        <f>IF(F151="I",IFERROR(VLOOKUP(C151,'BG 2021'!A:D,4,FALSE),0),0)</f>
        <v>0</v>
      </c>
      <c r="J151" s="40"/>
      <c r="K151" s="47">
        <f>IF(F151="I",SUMIF('BG 2020'!B:B,Clasificaciones!C151,'BG 2020'!D:D),0)</f>
        <v>0</v>
      </c>
      <c r="L151" s="40"/>
      <c r="M151" s="68">
        <f>IF(F151="I",SUMIF('BG 2020'!B:B,Clasificaciones!C151,'BG 2020'!E:E),0)</f>
        <v>0</v>
      </c>
    </row>
    <row r="152" spans="1:13" s="173" customFormat="1" ht="12" customHeight="1">
      <c r="A152" s="168" t="s">
        <v>3</v>
      </c>
      <c r="B152" s="168" t="s">
        <v>85</v>
      </c>
      <c r="C152" s="169">
        <v>1120116204</v>
      </c>
      <c r="D152" s="169" t="s">
        <v>1618</v>
      </c>
      <c r="E152" s="170" t="s">
        <v>229</v>
      </c>
      <c r="F152" s="170" t="s">
        <v>344</v>
      </c>
      <c r="G152" s="157">
        <f>IF(F152="I",IFERROR(VLOOKUP(C152,'BG 2021'!A:C,3,FALSE),0),0)</f>
        <v>-876158271</v>
      </c>
      <c r="H152" s="168" t="s">
        <v>85</v>
      </c>
      <c r="I152" s="172">
        <f>IF(F152="I",IFERROR(VLOOKUP(C152,'BG 2021'!A:D,4,FALSE),0),0)</f>
        <v>-127518.92000000004</v>
      </c>
      <c r="J152" s="171"/>
      <c r="K152" s="157">
        <f>IF(F152="I",SUMIF('BG 2020'!B:B,Clasificaciones!C152,'BG 2020'!D:D),0)</f>
        <v>-304680406</v>
      </c>
      <c r="L152" s="171"/>
      <c r="M152" s="172">
        <f>IF(F152="I",SUMIF('BG 2020'!B:B,Clasificaciones!C152,'BG 2020'!E:E),0)</f>
        <v>-43891.64</v>
      </c>
    </row>
    <row r="153" spans="1:13" s="173" customFormat="1" ht="12" customHeight="1">
      <c r="A153" s="168" t="s">
        <v>3</v>
      </c>
      <c r="B153" s="168" t="s">
        <v>85</v>
      </c>
      <c r="C153" s="169">
        <v>1120116205</v>
      </c>
      <c r="D153" s="169" t="s">
        <v>793</v>
      </c>
      <c r="E153" s="170" t="s">
        <v>6</v>
      </c>
      <c r="F153" s="170" t="s">
        <v>344</v>
      </c>
      <c r="G153" s="157">
        <f>IF(F153="I",IFERROR(VLOOKUP(C153,'BG 2021'!A:C,3,FALSE),0),0)</f>
        <v>-1156671548</v>
      </c>
      <c r="H153" s="168" t="s">
        <v>85</v>
      </c>
      <c r="I153" s="172">
        <f>IF(F153="I",IFERROR(VLOOKUP(C153,'BG 2021'!A:D,4,FALSE),0),0)</f>
        <v>-168345.73000000045</v>
      </c>
      <c r="J153" s="171"/>
      <c r="K153" s="157">
        <f>IF(F153="I",SUMIF('BG 2020'!B:B,Clasificaciones!C153,'BG 2020'!D:D),0)</f>
        <v>-34135274</v>
      </c>
      <c r="L153" s="171"/>
      <c r="M153" s="172">
        <f>IF(F153="I",SUMIF('BG 2020'!B:B,Clasificaciones!C153,'BG 2020'!E:E),0)</f>
        <v>-4917.46</v>
      </c>
    </row>
    <row r="154" spans="1:13" s="173" customFormat="1" ht="12" customHeight="1">
      <c r="A154" s="168" t="s">
        <v>3</v>
      </c>
      <c r="B154" s="168" t="s">
        <v>85</v>
      </c>
      <c r="C154" s="169">
        <v>1120116206</v>
      </c>
      <c r="D154" s="169" t="s">
        <v>1619</v>
      </c>
      <c r="E154" s="170" t="s">
        <v>229</v>
      </c>
      <c r="F154" s="170" t="s">
        <v>344</v>
      </c>
      <c r="G154" s="157">
        <f>IF(F154="I",IFERROR(VLOOKUP(C154,'BG 2021'!A:C,3,FALSE),0),0)</f>
        <v>-363487836</v>
      </c>
      <c r="H154" s="168" t="s">
        <v>85</v>
      </c>
      <c r="I154" s="172">
        <f>IF(F154="I",IFERROR(VLOOKUP(C154,'BG 2021'!A:D,4,FALSE),0),0)</f>
        <v>-52903.200000000186</v>
      </c>
      <c r="J154" s="171"/>
      <c r="K154" s="157">
        <f>IF(F154="I",SUMIF('BG 2020'!B:B,Clasificaciones!C154,'BG 2020'!D:D),0)</f>
        <v>-92732838</v>
      </c>
      <c r="L154" s="171"/>
      <c r="M154" s="172">
        <f>IF(F154="I",SUMIF('BG 2020'!B:B,Clasificaciones!C154,'BG 2020'!E:E),0)</f>
        <v>-13358.9</v>
      </c>
    </row>
    <row r="155" spans="1:13" s="173" customFormat="1" ht="12" customHeight="1">
      <c r="A155" s="168" t="s">
        <v>3</v>
      </c>
      <c r="B155" s="168" t="s">
        <v>85</v>
      </c>
      <c r="C155" s="169">
        <v>1120116207</v>
      </c>
      <c r="D155" s="169" t="s">
        <v>795</v>
      </c>
      <c r="E155" s="170" t="s">
        <v>6</v>
      </c>
      <c r="F155" s="170" t="s">
        <v>344</v>
      </c>
      <c r="G155" s="157">
        <f>IF(F155="I",IFERROR(VLOOKUP(C155,'BG 2021'!A:C,3,FALSE),0),0)</f>
        <v>-13256785621</v>
      </c>
      <c r="H155" s="168" t="s">
        <v>85</v>
      </c>
      <c r="I155" s="172">
        <f>IF(F155="I",IFERROR(VLOOKUP(C155,'BG 2021'!A:D,4,FALSE),0),0)</f>
        <v>-1929435.629999999</v>
      </c>
      <c r="J155" s="171"/>
      <c r="K155" s="157">
        <f>IF(F155="I",SUMIF('BG 2020'!B:B,Clasificaciones!C155,'BG 2020'!D:D),0)</f>
        <v>-2206333580</v>
      </c>
      <c r="L155" s="171"/>
      <c r="M155" s="172">
        <f>IF(F155="I",SUMIF('BG 2020'!B:B,Clasificaciones!C155,'BG 2020'!E:E),0)</f>
        <v>-317839.94</v>
      </c>
    </row>
    <row r="156" spans="1:13" s="173" customFormat="1" ht="12" customHeight="1">
      <c r="A156" s="168" t="s">
        <v>3</v>
      </c>
      <c r="B156" s="168" t="s">
        <v>85</v>
      </c>
      <c r="C156" s="169">
        <v>1120116208</v>
      </c>
      <c r="D156" s="169" t="s">
        <v>1620</v>
      </c>
      <c r="E156" s="170" t="s">
        <v>229</v>
      </c>
      <c r="F156" s="170" t="s">
        <v>344</v>
      </c>
      <c r="G156" s="157">
        <f>IF(F156="I",IFERROR(VLOOKUP(C156,'BG 2021'!A:C,3,FALSE),0),0)</f>
        <v>69</v>
      </c>
      <c r="H156" s="168" t="s">
        <v>85</v>
      </c>
      <c r="I156" s="172">
        <f>IF(F156="I",IFERROR(VLOOKUP(C156,'BG 2021'!A:D,4,FALSE),0),0)</f>
        <v>1.0000000009313226E-2</v>
      </c>
      <c r="J156" s="171"/>
      <c r="K156" s="157">
        <f>IF(F156="I",SUMIF('BG 2020'!B:B,Clasificaciones!C156,'BG 2020'!D:D),0)</f>
        <v>0</v>
      </c>
      <c r="L156" s="171"/>
      <c r="M156" s="172">
        <f>IF(F156="I",SUMIF('BG 2020'!B:B,Clasificaciones!C156,'BG 2020'!E:E),0)</f>
        <v>0</v>
      </c>
    </row>
    <row r="157" spans="1:13" s="166" customFormat="1" ht="12" customHeight="1">
      <c r="A157" s="163" t="s">
        <v>3</v>
      </c>
      <c r="B157" s="168" t="s">
        <v>85</v>
      </c>
      <c r="C157" s="164">
        <v>1120116209</v>
      </c>
      <c r="D157" s="164" t="s">
        <v>796</v>
      </c>
      <c r="E157" s="165" t="s">
        <v>6</v>
      </c>
      <c r="F157" s="165" t="s">
        <v>344</v>
      </c>
      <c r="G157" s="47">
        <f>IF(F157="I",IFERROR(VLOOKUP(C157,'BG 2021'!A:C,3,FALSE),0),0)</f>
        <v>0</v>
      </c>
      <c r="H157" s="168" t="s">
        <v>85</v>
      </c>
      <c r="I157" s="68">
        <f>IF(F157="I",IFERROR(VLOOKUP(C157,'BG 2021'!A:D,4,FALSE),0),0)</f>
        <v>0</v>
      </c>
      <c r="J157" s="40"/>
      <c r="K157" s="47">
        <f>IF(F157="I",SUMIF('BG 2020'!B:B,Clasificaciones!C157,'BG 2020'!D:D),0)</f>
        <v>-533918</v>
      </c>
      <c r="L157" s="40"/>
      <c r="M157" s="68">
        <f>IF(F157="I",SUMIF('BG 2020'!B:B,Clasificaciones!C157,'BG 2020'!E:E),0)</f>
        <v>-76.92</v>
      </c>
    </row>
    <row r="158" spans="1:13" s="166" customFormat="1" ht="12" customHeight="1">
      <c r="A158" s="163" t="s">
        <v>3</v>
      </c>
      <c r="B158" s="163"/>
      <c r="C158" s="164">
        <v>1120116210</v>
      </c>
      <c r="D158" s="164" t="s">
        <v>1035</v>
      </c>
      <c r="E158" s="165" t="s">
        <v>229</v>
      </c>
      <c r="F158" s="165" t="s">
        <v>344</v>
      </c>
      <c r="G158" s="47">
        <f>IF(F158="I",IFERROR(VLOOKUP(C158,'BG 2021'!A:C,3,FALSE),0),0)</f>
        <v>0</v>
      </c>
      <c r="H158" s="163"/>
      <c r="I158" s="68">
        <f>IF(F158="I",IFERROR(VLOOKUP(C158,'BG 2021'!A:D,4,FALSE),0),0)</f>
        <v>0</v>
      </c>
      <c r="J158" s="40"/>
      <c r="K158" s="47">
        <f>IF(F158="I",SUMIF('BG 2020'!B:B,Clasificaciones!C158,'BG 2020'!D:D),0)</f>
        <v>0</v>
      </c>
      <c r="L158" s="40"/>
      <c r="M158" s="68">
        <f>IF(F158="I",SUMIF('BG 2020'!B:B,Clasificaciones!C158,'BG 2020'!E:E),0)</f>
        <v>0</v>
      </c>
    </row>
    <row r="159" spans="1:13" s="166" customFormat="1" ht="12" customHeight="1">
      <c r="A159" s="163" t="s">
        <v>3</v>
      </c>
      <c r="B159" s="163"/>
      <c r="C159" s="164">
        <v>1120116211</v>
      </c>
      <c r="D159" s="164" t="s">
        <v>1036</v>
      </c>
      <c r="E159" s="165" t="s">
        <v>6</v>
      </c>
      <c r="F159" s="165" t="s">
        <v>344</v>
      </c>
      <c r="G159" s="47">
        <f>IF(F159="I",IFERROR(VLOOKUP(C159,'BG 2021'!A:C,3,FALSE),0),0)</f>
        <v>0</v>
      </c>
      <c r="H159" s="163"/>
      <c r="I159" s="68">
        <f>IF(F159="I",IFERROR(VLOOKUP(C159,'BG 2021'!A:D,4,FALSE),0),0)</f>
        <v>0</v>
      </c>
      <c r="J159" s="40"/>
      <c r="K159" s="47">
        <f>IF(F159="I",SUMIF('BG 2020'!B:B,Clasificaciones!C159,'BG 2020'!D:D),0)</f>
        <v>0</v>
      </c>
      <c r="L159" s="40"/>
      <c r="M159" s="68">
        <f>IF(F159="I",SUMIF('BG 2020'!B:B,Clasificaciones!C159,'BG 2020'!E:E),0)</f>
        <v>0</v>
      </c>
    </row>
    <row r="160" spans="1:13" s="166" customFormat="1" ht="12" customHeight="1">
      <c r="A160" s="163" t="s">
        <v>3</v>
      </c>
      <c r="B160" s="163"/>
      <c r="C160" s="164">
        <v>1120116212</v>
      </c>
      <c r="D160" s="164" t="s">
        <v>1037</v>
      </c>
      <c r="E160" s="165" t="s">
        <v>229</v>
      </c>
      <c r="F160" s="165" t="s">
        <v>344</v>
      </c>
      <c r="G160" s="47">
        <f>IF(F160="I",IFERROR(VLOOKUP(C160,'BG 2021'!A:C,3,FALSE),0),0)</f>
        <v>0</v>
      </c>
      <c r="H160" s="163"/>
      <c r="I160" s="68">
        <f>IF(F160="I",IFERROR(VLOOKUP(C160,'BG 2021'!A:D,4,FALSE),0),0)</f>
        <v>0</v>
      </c>
      <c r="J160" s="40"/>
      <c r="K160" s="47">
        <f>IF(F160="I",SUMIF('BG 2020'!B:B,Clasificaciones!C160,'BG 2020'!D:D),0)</f>
        <v>0</v>
      </c>
      <c r="L160" s="40"/>
      <c r="M160" s="68">
        <f>IF(F160="I",SUMIF('BG 2020'!B:B,Clasificaciones!C160,'BG 2020'!E:E),0)</f>
        <v>0</v>
      </c>
    </row>
    <row r="161" spans="1:13" s="166" customFormat="1" ht="12" customHeight="1">
      <c r="A161" s="163" t="s">
        <v>3</v>
      </c>
      <c r="B161" s="163"/>
      <c r="C161" s="164">
        <v>1120116213</v>
      </c>
      <c r="D161" s="164" t="s">
        <v>1038</v>
      </c>
      <c r="E161" s="165" t="s">
        <v>6</v>
      </c>
      <c r="F161" s="165" t="s">
        <v>344</v>
      </c>
      <c r="G161" s="47">
        <f>IF(F161="I",IFERROR(VLOOKUP(C161,'BG 2021'!A:C,3,FALSE),0),0)</f>
        <v>0</v>
      </c>
      <c r="H161" s="163"/>
      <c r="I161" s="68">
        <f>IF(F161="I",IFERROR(VLOOKUP(C161,'BG 2021'!A:D,4,FALSE),0),0)</f>
        <v>0</v>
      </c>
      <c r="J161" s="40"/>
      <c r="K161" s="47">
        <f>IF(F161="I",SUMIF('BG 2020'!B:B,Clasificaciones!C161,'BG 2020'!D:D),0)</f>
        <v>0</v>
      </c>
      <c r="L161" s="40"/>
      <c r="M161" s="68">
        <f>IF(F161="I",SUMIF('BG 2020'!B:B,Clasificaciones!C161,'BG 2020'!E:E),0)</f>
        <v>0</v>
      </c>
    </row>
    <row r="162" spans="1:13" s="166" customFormat="1" ht="12" customHeight="1">
      <c r="A162" s="163" t="s">
        <v>3</v>
      </c>
      <c r="B162" s="163"/>
      <c r="C162" s="164">
        <v>1120116214</v>
      </c>
      <c r="D162" s="164" t="s">
        <v>1039</v>
      </c>
      <c r="E162" s="165" t="s">
        <v>229</v>
      </c>
      <c r="F162" s="165" t="s">
        <v>344</v>
      </c>
      <c r="G162" s="47">
        <f>IF(F162="I",IFERROR(VLOOKUP(C162,'BG 2021'!A:C,3,FALSE),0),0)</f>
        <v>0</v>
      </c>
      <c r="H162" s="163"/>
      <c r="I162" s="68">
        <f>IF(F162="I",IFERROR(VLOOKUP(C162,'BG 2021'!A:D,4,FALSE),0),0)</f>
        <v>0</v>
      </c>
      <c r="J162" s="40"/>
      <c r="K162" s="47">
        <f>IF(F162="I",SUMIF('BG 2020'!B:B,Clasificaciones!C162,'BG 2020'!D:D),0)</f>
        <v>0</v>
      </c>
      <c r="L162" s="40"/>
      <c r="M162" s="68">
        <f>IF(F162="I",SUMIF('BG 2020'!B:B,Clasificaciones!C162,'BG 2020'!E:E),0)</f>
        <v>0</v>
      </c>
    </row>
    <row r="163" spans="1:13" s="166" customFormat="1" ht="12" customHeight="1">
      <c r="A163" s="163" t="s">
        <v>3</v>
      </c>
      <c r="B163" s="163"/>
      <c r="C163" s="164">
        <v>1120116215</v>
      </c>
      <c r="D163" s="164" t="s">
        <v>1040</v>
      </c>
      <c r="E163" s="165" t="s">
        <v>6</v>
      </c>
      <c r="F163" s="165" t="s">
        <v>344</v>
      </c>
      <c r="G163" s="47">
        <f>IF(F163="I",IFERROR(VLOOKUP(C163,'BG 2021'!A:C,3,FALSE),0),0)</f>
        <v>0</v>
      </c>
      <c r="H163" s="163"/>
      <c r="I163" s="68">
        <f>IF(F163="I",IFERROR(VLOOKUP(C163,'BG 2021'!A:D,4,FALSE),0),0)</f>
        <v>0</v>
      </c>
      <c r="J163" s="40"/>
      <c r="K163" s="47">
        <f>IF(F163="I",SUMIF('BG 2020'!B:B,Clasificaciones!C163,'BG 2020'!D:D),0)</f>
        <v>0</v>
      </c>
      <c r="L163" s="40"/>
      <c r="M163" s="68">
        <f>IF(F163="I",SUMIF('BG 2020'!B:B,Clasificaciones!C163,'BG 2020'!E:E),0)</f>
        <v>0</v>
      </c>
    </row>
    <row r="164" spans="1:13" s="166" customFormat="1" ht="12" customHeight="1">
      <c r="A164" s="163" t="s">
        <v>3</v>
      </c>
      <c r="B164" s="163"/>
      <c r="C164" s="164">
        <v>1120116216</v>
      </c>
      <c r="D164" s="164" t="s">
        <v>1041</v>
      </c>
      <c r="E164" s="165" t="s">
        <v>229</v>
      </c>
      <c r="F164" s="165" t="s">
        <v>344</v>
      </c>
      <c r="G164" s="47">
        <f>IF(F164="I",IFERROR(VLOOKUP(C164,'BG 2021'!A:C,3,FALSE),0),0)</f>
        <v>0</v>
      </c>
      <c r="H164" s="163"/>
      <c r="I164" s="68">
        <f>IF(F164="I",IFERROR(VLOOKUP(C164,'BG 2021'!A:D,4,FALSE),0),0)</f>
        <v>0</v>
      </c>
      <c r="J164" s="40"/>
      <c r="K164" s="47">
        <f>IF(F164="I",SUMIF('BG 2020'!B:B,Clasificaciones!C164,'BG 2020'!D:D),0)</f>
        <v>0</v>
      </c>
      <c r="L164" s="40"/>
      <c r="M164" s="68">
        <f>IF(F164="I",SUMIF('BG 2020'!B:B,Clasificaciones!C164,'BG 2020'!E:E),0)</f>
        <v>0</v>
      </c>
    </row>
    <row r="165" spans="1:13" s="173" customFormat="1" ht="12" customHeight="1">
      <c r="A165" s="168" t="s">
        <v>3</v>
      </c>
      <c r="B165" s="168" t="s">
        <v>85</v>
      </c>
      <c r="C165" s="169">
        <v>1120116217</v>
      </c>
      <c r="D165" s="169" t="s">
        <v>797</v>
      </c>
      <c r="E165" s="170" t="s">
        <v>6</v>
      </c>
      <c r="F165" s="170" t="s">
        <v>344</v>
      </c>
      <c r="G165" s="157">
        <f>IF(F165="I",IFERROR(VLOOKUP(C165,'BG 2021'!A:C,3,FALSE),0),0)</f>
        <v>-1495389292</v>
      </c>
      <c r="H165" s="168" t="s">
        <v>85</v>
      </c>
      <c r="I165" s="172">
        <f>IF(F165="I",IFERROR(VLOOKUP(C165,'BG 2021'!A:D,4,FALSE),0),0)</f>
        <v>-217643.81000000006</v>
      </c>
      <c r="J165" s="171"/>
      <c r="K165" s="157">
        <f>IF(F165="I",SUMIF('BG 2020'!B:B,Clasificaciones!C165,'BG 2020'!D:D),0)</f>
        <v>-146239726</v>
      </c>
      <c r="L165" s="171"/>
      <c r="M165" s="172">
        <f>IF(F165="I",SUMIF('BG 2020'!B:B,Clasificaciones!C165,'BG 2020'!E:E),0)</f>
        <v>-21067</v>
      </c>
    </row>
    <row r="166" spans="1:13" s="173" customFormat="1" ht="12" customHeight="1">
      <c r="A166" s="168" t="s">
        <v>3</v>
      </c>
      <c r="B166" s="168" t="s">
        <v>85</v>
      </c>
      <c r="C166" s="169">
        <v>1120116218</v>
      </c>
      <c r="D166" s="169" t="s">
        <v>1621</v>
      </c>
      <c r="E166" s="170" t="s">
        <v>229</v>
      </c>
      <c r="F166" s="170" t="s">
        <v>344</v>
      </c>
      <c r="G166" s="157">
        <f>IF(F166="I",IFERROR(VLOOKUP(C166,'BG 2021'!A:C,3,FALSE),0),0)</f>
        <v>-1343245691</v>
      </c>
      <c r="H166" s="168" t="s">
        <v>85</v>
      </c>
      <c r="I166" s="172">
        <f>IF(F166="I",IFERROR(VLOOKUP(C166,'BG 2021'!A:D,4,FALSE),0),0)</f>
        <v>-195500.33999999997</v>
      </c>
      <c r="J166" s="171"/>
      <c r="K166" s="157">
        <f>IF(F166="I",SUMIF('BG 2020'!B:B,Clasificaciones!C166,'BG 2020'!D:D),0)</f>
        <v>-25107776</v>
      </c>
      <c r="L166" s="171"/>
      <c r="M166" s="172">
        <f>IF(F166="I",SUMIF('BG 2020'!B:B,Clasificaciones!C166,'BG 2020'!E:E),0)</f>
        <v>-3616.98</v>
      </c>
    </row>
    <row r="167" spans="1:13" s="166" customFormat="1" ht="12" customHeight="1">
      <c r="A167" s="163" t="s">
        <v>3</v>
      </c>
      <c r="B167" s="163"/>
      <c r="C167" s="164">
        <v>1120116219</v>
      </c>
      <c r="D167" s="164" t="s">
        <v>1042</v>
      </c>
      <c r="E167" s="165" t="s">
        <v>6</v>
      </c>
      <c r="F167" s="165" t="s">
        <v>344</v>
      </c>
      <c r="G167" s="47">
        <f>IF(F167="I",IFERROR(VLOOKUP(C167,'BG 2021'!A:C,3,FALSE),0),0)</f>
        <v>0</v>
      </c>
      <c r="H167" s="163"/>
      <c r="I167" s="68">
        <f>IF(F167="I",IFERROR(VLOOKUP(C167,'BG 2021'!A:D,4,FALSE),0),0)</f>
        <v>0</v>
      </c>
      <c r="J167" s="40"/>
      <c r="K167" s="47">
        <f>IF(F167="I",SUMIF('BG 2020'!B:B,Clasificaciones!C167,'BG 2020'!D:D),0)</f>
        <v>0</v>
      </c>
      <c r="L167" s="40"/>
      <c r="M167" s="68">
        <f>IF(F167="I",SUMIF('BG 2020'!B:B,Clasificaciones!C167,'BG 2020'!E:E),0)</f>
        <v>0</v>
      </c>
    </row>
    <row r="168" spans="1:13" s="166" customFormat="1" ht="12" customHeight="1">
      <c r="A168" s="163" t="s">
        <v>3</v>
      </c>
      <c r="B168" s="163"/>
      <c r="C168" s="164">
        <v>1120116220</v>
      </c>
      <c r="D168" s="164" t="s">
        <v>1043</v>
      </c>
      <c r="E168" s="165" t="s">
        <v>229</v>
      </c>
      <c r="F168" s="165" t="s">
        <v>344</v>
      </c>
      <c r="G168" s="47">
        <f>IF(F168="I",IFERROR(VLOOKUP(C168,'BG 2021'!A:C,3,FALSE),0),0)</f>
        <v>0</v>
      </c>
      <c r="H168" s="163"/>
      <c r="I168" s="68">
        <f>IF(F168="I",IFERROR(VLOOKUP(C168,'BG 2021'!A:D,4,FALSE),0),0)</f>
        <v>0</v>
      </c>
      <c r="J168" s="40"/>
      <c r="K168" s="47">
        <f>IF(F168="I",SUMIF('BG 2020'!B:B,Clasificaciones!C168,'BG 2020'!D:D),0)</f>
        <v>0</v>
      </c>
      <c r="L168" s="40"/>
      <c r="M168" s="68">
        <f>IF(F168="I",SUMIF('BG 2020'!B:B,Clasificaciones!C168,'BG 2020'!E:E),0)</f>
        <v>0</v>
      </c>
    </row>
    <row r="169" spans="1:13" s="166" customFormat="1" ht="12" customHeight="1">
      <c r="A169" s="163" t="s">
        <v>3</v>
      </c>
      <c r="B169" s="163"/>
      <c r="C169" s="164">
        <v>1120116221</v>
      </c>
      <c r="D169" s="164" t="s">
        <v>1044</v>
      </c>
      <c r="E169" s="165" t="s">
        <v>6</v>
      </c>
      <c r="F169" s="165" t="s">
        <v>344</v>
      </c>
      <c r="G169" s="47">
        <f>IF(F169="I",IFERROR(VLOOKUP(C169,'BG 2021'!A:C,3,FALSE),0),0)</f>
        <v>0</v>
      </c>
      <c r="H169" s="163"/>
      <c r="I169" s="68">
        <f>IF(F169="I",IFERROR(VLOOKUP(C169,'BG 2021'!A:D,4,FALSE),0),0)</f>
        <v>0</v>
      </c>
      <c r="J169" s="40"/>
      <c r="K169" s="47">
        <f>IF(F169="I",SUMIF('BG 2020'!B:B,Clasificaciones!C169,'BG 2020'!D:D),0)</f>
        <v>0</v>
      </c>
      <c r="L169" s="40"/>
      <c r="M169" s="68">
        <f>IF(F169="I",SUMIF('BG 2020'!B:B,Clasificaciones!C169,'BG 2020'!E:E),0)</f>
        <v>0</v>
      </c>
    </row>
    <row r="170" spans="1:13" s="166" customFormat="1" ht="12" customHeight="1">
      <c r="A170" s="163" t="s">
        <v>3</v>
      </c>
      <c r="B170" s="163"/>
      <c r="C170" s="164">
        <v>1120116222</v>
      </c>
      <c r="D170" s="164" t="s">
        <v>1045</v>
      </c>
      <c r="E170" s="165" t="s">
        <v>229</v>
      </c>
      <c r="F170" s="165" t="s">
        <v>344</v>
      </c>
      <c r="G170" s="47">
        <f>IF(F170="I",IFERROR(VLOOKUP(C170,'BG 2021'!A:C,3,FALSE),0),0)</f>
        <v>0</v>
      </c>
      <c r="H170" s="163"/>
      <c r="I170" s="68">
        <f>IF(F170="I",IFERROR(VLOOKUP(C170,'BG 2021'!A:D,4,FALSE),0),0)</f>
        <v>0</v>
      </c>
      <c r="J170" s="40"/>
      <c r="K170" s="47">
        <f>IF(F170="I",SUMIF('BG 2020'!B:B,Clasificaciones!C170,'BG 2020'!D:D),0)</f>
        <v>0</v>
      </c>
      <c r="L170" s="40"/>
      <c r="M170" s="68">
        <f>IF(F170="I",SUMIF('BG 2020'!B:B,Clasificaciones!C170,'BG 2020'!E:E),0)</f>
        <v>0</v>
      </c>
    </row>
    <row r="171" spans="1:13" s="166" customFormat="1" ht="12" customHeight="1">
      <c r="A171" s="163" t="s">
        <v>3</v>
      </c>
      <c r="B171" s="163"/>
      <c r="C171" s="164">
        <v>1120116223</v>
      </c>
      <c r="D171" s="164" t="s">
        <v>1046</v>
      </c>
      <c r="E171" s="165" t="s">
        <v>6</v>
      </c>
      <c r="F171" s="165" t="s">
        <v>344</v>
      </c>
      <c r="G171" s="47">
        <f>IF(F171="I",IFERROR(VLOOKUP(C171,'BG 2021'!A:C,3,FALSE),0),0)</f>
        <v>0</v>
      </c>
      <c r="H171" s="163"/>
      <c r="I171" s="68">
        <f>IF(F171="I",IFERROR(VLOOKUP(C171,'BG 2021'!A:D,4,FALSE),0),0)</f>
        <v>0</v>
      </c>
      <c r="J171" s="40"/>
      <c r="K171" s="47">
        <f>IF(F171="I",SUMIF('BG 2020'!B:B,Clasificaciones!C171,'BG 2020'!D:D),0)</f>
        <v>0</v>
      </c>
      <c r="L171" s="40"/>
      <c r="M171" s="68">
        <f>IF(F171="I",SUMIF('BG 2020'!B:B,Clasificaciones!C171,'BG 2020'!E:E),0)</f>
        <v>0</v>
      </c>
    </row>
    <row r="172" spans="1:13" s="166" customFormat="1" ht="12" customHeight="1">
      <c r="A172" s="163" t="s">
        <v>3</v>
      </c>
      <c r="B172" s="163"/>
      <c r="C172" s="164">
        <v>1120116224</v>
      </c>
      <c r="D172" s="164" t="s">
        <v>1047</v>
      </c>
      <c r="E172" s="165" t="s">
        <v>229</v>
      </c>
      <c r="F172" s="165" t="s">
        <v>344</v>
      </c>
      <c r="G172" s="47">
        <f>IF(F172="I",IFERROR(VLOOKUP(C172,'BG 2021'!A:C,3,FALSE),0),0)</f>
        <v>0</v>
      </c>
      <c r="H172" s="163"/>
      <c r="I172" s="68">
        <f>IF(F172="I",IFERROR(VLOOKUP(C172,'BG 2021'!A:D,4,FALSE),0),0)</f>
        <v>0</v>
      </c>
      <c r="J172" s="40"/>
      <c r="K172" s="47">
        <f>IF(F172="I",SUMIF('BG 2020'!B:B,Clasificaciones!C172,'BG 2020'!D:D),0)</f>
        <v>0</v>
      </c>
      <c r="L172" s="40"/>
      <c r="M172" s="68">
        <f>IF(F172="I",SUMIF('BG 2020'!B:B,Clasificaciones!C172,'BG 2020'!E:E),0)</f>
        <v>0</v>
      </c>
    </row>
    <row r="173" spans="1:13" s="166" customFormat="1" ht="12" customHeight="1">
      <c r="A173" s="163" t="s">
        <v>3</v>
      </c>
      <c r="B173" s="163"/>
      <c r="C173" s="164">
        <v>1120116225</v>
      </c>
      <c r="D173" s="164" t="s">
        <v>1048</v>
      </c>
      <c r="E173" s="165" t="s">
        <v>6</v>
      </c>
      <c r="F173" s="165" t="s">
        <v>344</v>
      </c>
      <c r="G173" s="47">
        <f>IF(F173="I",IFERROR(VLOOKUP(C173,'BG 2021'!A:C,3,FALSE),0),0)</f>
        <v>0</v>
      </c>
      <c r="H173" s="163"/>
      <c r="I173" s="68">
        <f>IF(F173="I",IFERROR(VLOOKUP(C173,'BG 2021'!A:D,4,FALSE),0),0)</f>
        <v>0</v>
      </c>
      <c r="J173" s="40"/>
      <c r="K173" s="47">
        <f>IF(F173="I",SUMIF('BG 2020'!B:B,Clasificaciones!C173,'BG 2020'!D:D),0)</f>
        <v>0</v>
      </c>
      <c r="L173" s="40"/>
      <c r="M173" s="68">
        <f>IF(F173="I",SUMIF('BG 2020'!B:B,Clasificaciones!C173,'BG 2020'!E:E),0)</f>
        <v>0</v>
      </c>
    </row>
    <row r="174" spans="1:13" s="166" customFormat="1" ht="12" customHeight="1">
      <c r="A174" s="163" t="s">
        <v>3</v>
      </c>
      <c r="B174" s="163"/>
      <c r="C174" s="164">
        <v>1120116226</v>
      </c>
      <c r="D174" s="164" t="s">
        <v>1049</v>
      </c>
      <c r="E174" s="165" t="s">
        <v>229</v>
      </c>
      <c r="F174" s="165" t="s">
        <v>344</v>
      </c>
      <c r="G174" s="47">
        <f>IF(F174="I",IFERROR(VLOOKUP(C174,'BG 2021'!A:C,3,FALSE),0),0)</f>
        <v>0</v>
      </c>
      <c r="H174" s="163"/>
      <c r="I174" s="68">
        <f>IF(F174="I",IFERROR(VLOOKUP(C174,'BG 2021'!A:D,4,FALSE),0),0)</f>
        <v>0</v>
      </c>
      <c r="J174" s="40"/>
      <c r="K174" s="47">
        <f>IF(F174="I",SUMIF('BG 2020'!B:B,Clasificaciones!C174,'BG 2020'!D:D),0)</f>
        <v>0</v>
      </c>
      <c r="L174" s="40"/>
      <c r="M174" s="68">
        <f>IF(F174="I",SUMIF('BG 2020'!B:B,Clasificaciones!C174,'BG 2020'!E:E),0)</f>
        <v>0</v>
      </c>
    </row>
    <row r="175" spans="1:13" s="166" customFormat="1" ht="12" customHeight="1">
      <c r="A175" s="163" t="s">
        <v>3</v>
      </c>
      <c r="B175" s="163"/>
      <c r="C175" s="164">
        <v>1120116227</v>
      </c>
      <c r="D175" s="164" t="s">
        <v>1050</v>
      </c>
      <c r="E175" s="165" t="s">
        <v>6</v>
      </c>
      <c r="F175" s="165" t="s">
        <v>344</v>
      </c>
      <c r="G175" s="47">
        <f>IF(F175="I",IFERROR(VLOOKUP(C175,'BG 2021'!A:C,3,FALSE),0),0)</f>
        <v>0</v>
      </c>
      <c r="H175" s="163"/>
      <c r="I175" s="68">
        <f>IF(F175="I",IFERROR(VLOOKUP(C175,'BG 2021'!A:D,4,FALSE),0),0)</f>
        <v>0</v>
      </c>
      <c r="J175" s="40"/>
      <c r="K175" s="47">
        <f>IF(F175="I",SUMIF('BG 2020'!B:B,Clasificaciones!C175,'BG 2020'!D:D),0)</f>
        <v>0</v>
      </c>
      <c r="L175" s="40"/>
      <c r="M175" s="68">
        <f>IF(F175="I",SUMIF('BG 2020'!B:B,Clasificaciones!C175,'BG 2020'!E:E),0)</f>
        <v>0</v>
      </c>
    </row>
    <row r="176" spans="1:13" s="166" customFormat="1" ht="12" customHeight="1">
      <c r="A176" s="163" t="s">
        <v>3</v>
      </c>
      <c r="B176" s="163"/>
      <c r="C176" s="164">
        <v>1120116228</v>
      </c>
      <c r="D176" s="164" t="s">
        <v>1051</v>
      </c>
      <c r="E176" s="165" t="s">
        <v>229</v>
      </c>
      <c r="F176" s="165" t="s">
        <v>344</v>
      </c>
      <c r="G176" s="47">
        <f>IF(F176="I",IFERROR(VLOOKUP(C176,'BG 2021'!A:C,3,FALSE),0),0)</f>
        <v>0</v>
      </c>
      <c r="H176" s="163"/>
      <c r="I176" s="68">
        <f>IF(F176="I",IFERROR(VLOOKUP(C176,'BG 2021'!A:D,4,FALSE),0),0)</f>
        <v>0</v>
      </c>
      <c r="J176" s="40"/>
      <c r="K176" s="47">
        <f>IF(F176="I",SUMIF('BG 2020'!B:B,Clasificaciones!C176,'BG 2020'!D:D),0)</f>
        <v>0</v>
      </c>
      <c r="L176" s="40"/>
      <c r="M176" s="68">
        <f>IF(F176="I",SUMIF('BG 2020'!B:B,Clasificaciones!C176,'BG 2020'!E:E),0)</f>
        <v>0</v>
      </c>
    </row>
    <row r="177" spans="1:13" s="173" customFormat="1" ht="12" customHeight="1">
      <c r="A177" s="168" t="s">
        <v>3</v>
      </c>
      <c r="B177" s="168" t="s">
        <v>85</v>
      </c>
      <c r="C177" s="169">
        <v>1120116229</v>
      </c>
      <c r="D177" s="168" t="s">
        <v>799</v>
      </c>
      <c r="E177" s="170" t="s">
        <v>6</v>
      </c>
      <c r="F177" s="170" t="s">
        <v>344</v>
      </c>
      <c r="G177" s="157">
        <f>IF(F177="I",IFERROR(VLOOKUP(C177,'BG 2021'!A:C,3,FALSE),0),0)</f>
        <v>-40144890</v>
      </c>
      <c r="H177" s="168" t="s">
        <v>85</v>
      </c>
      <c r="I177" s="172">
        <f>IF(F177="I",IFERROR(VLOOKUP(C177,'BG 2021'!A:D,4,FALSE),0),0)</f>
        <v>-5842.8199999999488</v>
      </c>
      <c r="J177" s="171"/>
      <c r="K177" s="157">
        <f>IF(F177="I",SUMIF('BG 2020'!B:B,Clasificaciones!C177,'BG 2020'!D:D),0)</f>
        <v>-46298740</v>
      </c>
      <c r="L177" s="171"/>
      <c r="M177" s="172">
        <f>IF(F177="I",SUMIF('BG 2020'!B:B,Clasificaciones!C177,'BG 2020'!E:E),0)</f>
        <v>-6669.7</v>
      </c>
    </row>
    <row r="178" spans="1:13" s="166" customFormat="1" ht="12" customHeight="1">
      <c r="A178" s="163" t="s">
        <v>3</v>
      </c>
      <c r="B178" s="163"/>
      <c r="C178" s="164">
        <v>1120116230</v>
      </c>
      <c r="D178" s="164" t="s">
        <v>1052</v>
      </c>
      <c r="E178" s="165" t="s">
        <v>229</v>
      </c>
      <c r="F178" s="165" t="s">
        <v>344</v>
      </c>
      <c r="G178" s="47">
        <f>IF(F178="I",IFERROR(VLOOKUP(C178,'BG 2021'!A:C,3,FALSE),0),0)</f>
        <v>0</v>
      </c>
      <c r="H178" s="163"/>
      <c r="I178" s="68">
        <f>IF(F178="I",IFERROR(VLOOKUP(C178,'BG 2021'!A:D,4,FALSE),0),0)</f>
        <v>0</v>
      </c>
      <c r="J178" s="40"/>
      <c r="K178" s="47">
        <f>IF(F178="I",SUMIF('BG 2020'!B:B,Clasificaciones!C178,'BG 2020'!D:D),0)</f>
        <v>0</v>
      </c>
      <c r="L178" s="40"/>
      <c r="M178" s="68">
        <f>IF(F178="I",SUMIF('BG 2020'!B:B,Clasificaciones!C178,'BG 2020'!E:E),0)</f>
        <v>0</v>
      </c>
    </row>
    <row r="179" spans="1:13" s="166" customFormat="1" ht="12" customHeight="1">
      <c r="A179" s="163" t="s">
        <v>3</v>
      </c>
      <c r="B179" s="163"/>
      <c r="C179" s="164">
        <v>1120116231</v>
      </c>
      <c r="D179" s="164" t="s">
        <v>1053</v>
      </c>
      <c r="E179" s="165" t="s">
        <v>6</v>
      </c>
      <c r="F179" s="165" t="s">
        <v>344</v>
      </c>
      <c r="G179" s="47">
        <f>IF(F179="I",IFERROR(VLOOKUP(C179,'BG 2021'!A:C,3,FALSE),0),0)</f>
        <v>0</v>
      </c>
      <c r="H179" s="163"/>
      <c r="I179" s="68">
        <f>IF(F179="I",IFERROR(VLOOKUP(C179,'BG 2021'!A:D,4,FALSE),0),0)</f>
        <v>0</v>
      </c>
      <c r="J179" s="40"/>
      <c r="K179" s="47">
        <f>IF(F179="I",SUMIF('BG 2020'!B:B,Clasificaciones!C179,'BG 2020'!D:D),0)</f>
        <v>0</v>
      </c>
      <c r="L179" s="40"/>
      <c r="M179" s="68">
        <f>IF(F179="I",SUMIF('BG 2020'!B:B,Clasificaciones!C179,'BG 2020'!E:E),0)</f>
        <v>0</v>
      </c>
    </row>
    <row r="180" spans="1:13" s="166" customFormat="1" ht="12" customHeight="1">
      <c r="A180" s="163" t="s">
        <v>3</v>
      </c>
      <c r="B180" s="163" t="s">
        <v>635</v>
      </c>
      <c r="C180" s="164">
        <v>1120116232</v>
      </c>
      <c r="D180" s="164" t="s">
        <v>1054</v>
      </c>
      <c r="E180" s="165" t="s">
        <v>229</v>
      </c>
      <c r="F180" s="165" t="s">
        <v>344</v>
      </c>
      <c r="G180" s="47">
        <f>IF(F180="I",IFERROR(VLOOKUP(C180,'BG 2021'!A:C,3,FALSE),0),0)</f>
        <v>0</v>
      </c>
      <c r="H180" s="163" t="s">
        <v>635</v>
      </c>
      <c r="I180" s="68">
        <f>IF(F180="I",IFERROR(VLOOKUP(C180,'BG 2021'!A:D,4,FALSE),0),0)</f>
        <v>0</v>
      </c>
      <c r="J180" s="40"/>
      <c r="K180" s="47">
        <f>IF(F180="I",SUMIF('BG 2020'!B:B,Clasificaciones!C180,'BG 2020'!D:D),0)</f>
        <v>0</v>
      </c>
      <c r="L180" s="40"/>
      <c r="M180" s="68">
        <f>IF(F180="I",SUMIF('BG 2020'!B:B,Clasificaciones!C180,'BG 2020'!E:E),0)</f>
        <v>0</v>
      </c>
    </row>
    <row r="181" spans="1:13" s="166" customFormat="1" ht="12" customHeight="1">
      <c r="A181" s="163" t="s">
        <v>3</v>
      </c>
      <c r="B181" s="163"/>
      <c r="C181" s="164">
        <v>112012</v>
      </c>
      <c r="D181" s="164" t="s">
        <v>1055</v>
      </c>
      <c r="E181" s="165" t="s">
        <v>6</v>
      </c>
      <c r="F181" s="165" t="s">
        <v>343</v>
      </c>
      <c r="G181" s="47">
        <f>IF(F181="I",IFERROR(VLOOKUP(C181,'BG 2021'!A:C,3,FALSE),0),0)</f>
        <v>0</v>
      </c>
      <c r="H181" s="163"/>
      <c r="I181" s="68">
        <f>IF(F181="I",IFERROR(VLOOKUP(C181,'BG 2021'!A:D,4,FALSE),0),0)</f>
        <v>0</v>
      </c>
      <c r="J181" s="40"/>
      <c r="K181" s="47">
        <f>IF(F181="I",SUMIF('BG 2020'!B:B,Clasificaciones!C181,'BG 2020'!D:D),0)</f>
        <v>0</v>
      </c>
      <c r="L181" s="40"/>
      <c r="M181" s="68">
        <f>IF(F181="I",SUMIF('BG 2020'!B:B,Clasificaciones!C181,'BG 2020'!E:E),0)</f>
        <v>0</v>
      </c>
    </row>
    <row r="182" spans="1:13" s="166" customFormat="1" ht="12" customHeight="1">
      <c r="A182" s="163" t="s">
        <v>3</v>
      </c>
      <c r="B182" s="163"/>
      <c r="C182" s="164">
        <v>1120121</v>
      </c>
      <c r="D182" s="164" t="s">
        <v>1056</v>
      </c>
      <c r="E182" s="165" t="s">
        <v>6</v>
      </c>
      <c r="F182" s="165" t="s">
        <v>343</v>
      </c>
      <c r="G182" s="47">
        <f>IF(F182="I",IFERROR(VLOOKUP(C182,'BG 2021'!A:C,3,FALSE),0),0)</f>
        <v>0</v>
      </c>
      <c r="H182" s="163"/>
      <c r="I182" s="68">
        <f>IF(F182="I",IFERROR(VLOOKUP(C182,'BG 2021'!A:D,4,FALSE),0),0)</f>
        <v>0</v>
      </c>
      <c r="J182" s="40"/>
      <c r="K182" s="47">
        <f>IF(F182="I",SUMIF('BG 2020'!B:B,Clasificaciones!C182,'BG 2020'!D:D),0)</f>
        <v>0</v>
      </c>
      <c r="L182" s="40"/>
      <c r="M182" s="68">
        <f>IF(F182="I",SUMIF('BG 2020'!B:B,Clasificaciones!C182,'BG 2020'!E:E),0)</f>
        <v>0</v>
      </c>
    </row>
    <row r="183" spans="1:13" s="166" customFormat="1" ht="12" customHeight="1">
      <c r="A183" s="163" t="s">
        <v>3</v>
      </c>
      <c r="B183" s="163"/>
      <c r="C183" s="164">
        <v>11201211</v>
      </c>
      <c r="D183" s="164" t="s">
        <v>768</v>
      </c>
      <c r="E183" s="165" t="s">
        <v>6</v>
      </c>
      <c r="F183" s="165" t="s">
        <v>343</v>
      </c>
      <c r="G183" s="47">
        <f>IF(F183="I",IFERROR(VLOOKUP(C183,'BG 2021'!A:C,3,FALSE),0),0)</f>
        <v>0</v>
      </c>
      <c r="H183" s="163"/>
      <c r="I183" s="68">
        <f>IF(F183="I",IFERROR(VLOOKUP(C183,'BG 2021'!A:D,4,FALSE),0),0)</f>
        <v>0</v>
      </c>
      <c r="J183" s="40"/>
      <c r="K183" s="47">
        <f>IF(F183="I",SUMIF('BG 2020'!B:B,Clasificaciones!C183,'BG 2020'!D:D),0)</f>
        <v>0</v>
      </c>
      <c r="L183" s="40"/>
      <c r="M183" s="68">
        <f>IF(F183="I",SUMIF('BG 2020'!B:B,Clasificaciones!C183,'BG 2020'!E:E),0)</f>
        <v>0</v>
      </c>
    </row>
    <row r="184" spans="1:13" s="166" customFormat="1" ht="12" customHeight="1">
      <c r="A184" s="163" t="s">
        <v>3</v>
      </c>
      <c r="B184" s="163"/>
      <c r="C184" s="164">
        <v>1120121101</v>
      </c>
      <c r="D184" s="164" t="s">
        <v>895</v>
      </c>
      <c r="E184" s="165" t="s">
        <v>6</v>
      </c>
      <c r="F184" s="165" t="s">
        <v>344</v>
      </c>
      <c r="G184" s="47">
        <f>IF(F184="I",IFERROR(VLOOKUP(C184,'BG 2021'!A:C,3,FALSE),0),0)</f>
        <v>0</v>
      </c>
      <c r="H184" s="163"/>
      <c r="I184" s="68">
        <f>IF(F184="I",IFERROR(VLOOKUP(C184,'BG 2021'!A:D,4,FALSE),0),0)</f>
        <v>0</v>
      </c>
      <c r="J184" s="40"/>
      <c r="K184" s="47">
        <f>IF(F184="I",SUMIF('BG 2020'!B:B,Clasificaciones!C184,'BG 2020'!D:D),0)</f>
        <v>0</v>
      </c>
      <c r="L184" s="40"/>
      <c r="M184" s="68">
        <f>IF(F184="I",SUMIF('BG 2020'!B:B,Clasificaciones!C184,'BG 2020'!E:E),0)</f>
        <v>0</v>
      </c>
    </row>
    <row r="185" spans="1:13" s="166" customFormat="1" ht="12" customHeight="1">
      <c r="A185" s="163" t="s">
        <v>3</v>
      </c>
      <c r="B185" s="163"/>
      <c r="C185" s="164">
        <v>1120121102</v>
      </c>
      <c r="D185" s="164" t="s">
        <v>1000</v>
      </c>
      <c r="E185" s="165" t="s">
        <v>229</v>
      </c>
      <c r="F185" s="165" t="s">
        <v>344</v>
      </c>
      <c r="G185" s="47">
        <f>IF(F185="I",IFERROR(VLOOKUP(C185,'BG 2021'!A:C,3,FALSE),0),0)</f>
        <v>0</v>
      </c>
      <c r="H185" s="163"/>
      <c r="I185" s="68">
        <f>IF(F185="I",IFERROR(VLOOKUP(C185,'BG 2021'!A:D,4,FALSE),0),0)</f>
        <v>0</v>
      </c>
      <c r="J185" s="40"/>
      <c r="K185" s="47">
        <f>IF(F185="I",SUMIF('BG 2020'!B:B,Clasificaciones!C185,'BG 2020'!D:D),0)</f>
        <v>0</v>
      </c>
      <c r="L185" s="40"/>
      <c r="M185" s="68">
        <f>IF(F185="I",SUMIF('BG 2020'!B:B,Clasificaciones!C185,'BG 2020'!E:E),0)</f>
        <v>0</v>
      </c>
    </row>
    <row r="186" spans="1:13" s="166" customFormat="1" ht="12" customHeight="1">
      <c r="A186" s="163" t="s">
        <v>3</v>
      </c>
      <c r="B186" s="163"/>
      <c r="C186" s="164">
        <v>11201212</v>
      </c>
      <c r="D186" s="164" t="s">
        <v>574</v>
      </c>
      <c r="E186" s="165" t="s">
        <v>6</v>
      </c>
      <c r="F186" s="165" t="s">
        <v>343</v>
      </c>
      <c r="G186" s="47">
        <f>IF(F186="I",IFERROR(VLOOKUP(C186,'BG 2021'!A:C,3,FALSE),0),0)</f>
        <v>0</v>
      </c>
      <c r="H186" s="163"/>
      <c r="I186" s="68">
        <f>IF(F186="I",IFERROR(VLOOKUP(C186,'BG 2021'!A:D,4,FALSE),0),0)</f>
        <v>0</v>
      </c>
      <c r="J186" s="40"/>
      <c r="K186" s="47">
        <f>IF(F186="I",SUMIF('BG 2020'!B:B,Clasificaciones!C186,'BG 2020'!D:D),0)</f>
        <v>0</v>
      </c>
      <c r="L186" s="40"/>
      <c r="M186" s="68">
        <f>IF(F186="I",SUMIF('BG 2020'!B:B,Clasificaciones!C186,'BG 2020'!E:E),0)</f>
        <v>0</v>
      </c>
    </row>
    <row r="187" spans="1:13" s="166" customFormat="1" ht="12" customHeight="1">
      <c r="A187" s="163" t="s">
        <v>3</v>
      </c>
      <c r="B187" s="163"/>
      <c r="C187" s="164">
        <v>1120121201</v>
      </c>
      <c r="D187" s="164" t="s">
        <v>884</v>
      </c>
      <c r="E187" s="165" t="s">
        <v>6</v>
      </c>
      <c r="F187" s="165" t="s">
        <v>344</v>
      </c>
      <c r="G187" s="47">
        <f>IF(F187="I",IFERROR(VLOOKUP(C187,'BG 2021'!A:C,3,FALSE),0),0)</f>
        <v>0</v>
      </c>
      <c r="H187" s="163"/>
      <c r="I187" s="68">
        <f>IF(F187="I",IFERROR(VLOOKUP(C187,'BG 2021'!A:D,4,FALSE),0),0)</f>
        <v>0</v>
      </c>
      <c r="J187" s="40"/>
      <c r="K187" s="47">
        <f>IF(F187="I",SUMIF('BG 2020'!B:B,Clasificaciones!C187,'BG 2020'!D:D),0)</f>
        <v>0</v>
      </c>
      <c r="L187" s="40"/>
      <c r="M187" s="68">
        <f>IF(F187="I",SUMIF('BG 2020'!B:B,Clasificaciones!C187,'BG 2020'!E:E),0)</f>
        <v>0</v>
      </c>
    </row>
    <row r="188" spans="1:13" s="166" customFormat="1" ht="12" customHeight="1">
      <c r="A188" s="163" t="s">
        <v>3</v>
      </c>
      <c r="B188" s="163"/>
      <c r="C188" s="164">
        <v>1120121202</v>
      </c>
      <c r="D188" s="164" t="s">
        <v>899</v>
      </c>
      <c r="E188" s="165" t="s">
        <v>229</v>
      </c>
      <c r="F188" s="165" t="s">
        <v>344</v>
      </c>
      <c r="G188" s="47">
        <f>IF(F188="I",IFERROR(VLOOKUP(C188,'BG 2021'!A:C,3,FALSE),0),0)</f>
        <v>0</v>
      </c>
      <c r="H188" s="163"/>
      <c r="I188" s="68">
        <f>IF(F188="I",IFERROR(VLOOKUP(C188,'BG 2021'!A:D,4,FALSE),0),0)</f>
        <v>0</v>
      </c>
      <c r="J188" s="40"/>
      <c r="K188" s="47">
        <f>IF(F188="I",SUMIF('BG 2020'!B:B,Clasificaciones!C188,'BG 2020'!D:D),0)</f>
        <v>0</v>
      </c>
      <c r="L188" s="40"/>
      <c r="M188" s="68">
        <f>IF(F188="I",SUMIF('BG 2020'!B:B,Clasificaciones!C188,'BG 2020'!E:E),0)</f>
        <v>0</v>
      </c>
    </row>
    <row r="189" spans="1:13" s="166" customFormat="1" ht="12" customHeight="1">
      <c r="A189" s="163" t="s">
        <v>3</v>
      </c>
      <c r="B189" s="163"/>
      <c r="C189" s="164">
        <v>11201213</v>
      </c>
      <c r="D189" s="164" t="s">
        <v>1001</v>
      </c>
      <c r="E189" s="165" t="s">
        <v>6</v>
      </c>
      <c r="F189" s="165" t="s">
        <v>343</v>
      </c>
      <c r="G189" s="47">
        <f>IF(F189="I",IFERROR(VLOOKUP(C189,'BG 2021'!A:C,3,FALSE),0),0)</f>
        <v>0</v>
      </c>
      <c r="H189" s="163"/>
      <c r="I189" s="68">
        <f>IF(F189="I",IFERROR(VLOOKUP(C189,'BG 2021'!A:D,4,FALSE),0),0)</f>
        <v>0</v>
      </c>
      <c r="J189" s="40"/>
      <c r="K189" s="47">
        <f>IF(F189="I",SUMIF('BG 2020'!B:B,Clasificaciones!C189,'BG 2020'!D:D),0)</f>
        <v>0</v>
      </c>
      <c r="L189" s="40"/>
      <c r="M189" s="68">
        <f>IF(F189="I",SUMIF('BG 2020'!B:B,Clasificaciones!C189,'BG 2020'!E:E),0)</f>
        <v>0</v>
      </c>
    </row>
    <row r="190" spans="1:13" s="166" customFormat="1" ht="12" customHeight="1">
      <c r="A190" s="163" t="s">
        <v>3</v>
      </c>
      <c r="B190" s="163"/>
      <c r="C190" s="164">
        <v>1120121301</v>
      </c>
      <c r="D190" s="164" t="s">
        <v>885</v>
      </c>
      <c r="E190" s="165" t="s">
        <v>6</v>
      </c>
      <c r="F190" s="165" t="s">
        <v>344</v>
      </c>
      <c r="G190" s="47">
        <f>IF(F190="I",IFERROR(VLOOKUP(C190,'BG 2021'!A:C,3,FALSE),0),0)</f>
        <v>0</v>
      </c>
      <c r="H190" s="163"/>
      <c r="I190" s="68">
        <f>IF(F190="I",IFERROR(VLOOKUP(C190,'BG 2021'!A:D,4,FALSE),0),0)</f>
        <v>0</v>
      </c>
      <c r="J190" s="40"/>
      <c r="K190" s="47">
        <f>IF(F190="I",SUMIF('BG 2020'!B:B,Clasificaciones!C190,'BG 2020'!D:D),0)</f>
        <v>0</v>
      </c>
      <c r="L190" s="40"/>
      <c r="M190" s="68">
        <f>IF(F190="I",SUMIF('BG 2020'!B:B,Clasificaciones!C190,'BG 2020'!E:E),0)</f>
        <v>0</v>
      </c>
    </row>
    <row r="191" spans="1:13" s="166" customFormat="1" ht="12" customHeight="1">
      <c r="A191" s="163" t="s">
        <v>3</v>
      </c>
      <c r="B191" s="163"/>
      <c r="C191" s="164">
        <v>1120121302</v>
      </c>
      <c r="D191" s="164" t="s">
        <v>886</v>
      </c>
      <c r="E191" s="165" t="s">
        <v>229</v>
      </c>
      <c r="F191" s="165" t="s">
        <v>344</v>
      </c>
      <c r="G191" s="47">
        <f>IF(F191="I",IFERROR(VLOOKUP(C191,'BG 2021'!A:C,3,FALSE),0),0)</f>
        <v>0</v>
      </c>
      <c r="H191" s="163"/>
      <c r="I191" s="68">
        <f>IF(F191="I",IFERROR(VLOOKUP(C191,'BG 2021'!A:D,4,FALSE),0),0)</f>
        <v>0</v>
      </c>
      <c r="J191" s="40"/>
      <c r="K191" s="47">
        <f>IF(F191="I",SUMIF('BG 2020'!B:B,Clasificaciones!C191,'BG 2020'!D:D),0)</f>
        <v>0</v>
      </c>
      <c r="L191" s="40"/>
      <c r="M191" s="68">
        <f>IF(F191="I",SUMIF('BG 2020'!B:B,Clasificaciones!C191,'BG 2020'!E:E),0)</f>
        <v>0</v>
      </c>
    </row>
    <row r="192" spans="1:13" s="166" customFormat="1" ht="12" customHeight="1">
      <c r="A192" s="163" t="s">
        <v>3</v>
      </c>
      <c r="B192" s="163"/>
      <c r="C192" s="164">
        <v>11201214</v>
      </c>
      <c r="D192" s="164" t="s">
        <v>73</v>
      </c>
      <c r="E192" s="165" t="s">
        <v>6</v>
      </c>
      <c r="F192" s="165" t="s">
        <v>343</v>
      </c>
      <c r="G192" s="47">
        <f>IF(F192="I",IFERROR(VLOOKUP(C192,'BG 2021'!A:C,3,FALSE),0),0)</f>
        <v>0</v>
      </c>
      <c r="H192" s="163"/>
      <c r="I192" s="68">
        <f>IF(F192="I",IFERROR(VLOOKUP(C192,'BG 2021'!A:D,4,FALSE),0),0)</f>
        <v>0</v>
      </c>
      <c r="J192" s="40"/>
      <c r="K192" s="47">
        <f>IF(F192="I",SUMIF('BG 2020'!B:B,Clasificaciones!C192,'BG 2020'!D:D),0)</f>
        <v>0</v>
      </c>
      <c r="L192" s="40"/>
      <c r="M192" s="68">
        <f>IF(F192="I",SUMIF('BG 2020'!B:B,Clasificaciones!C192,'BG 2020'!E:E),0)</f>
        <v>0</v>
      </c>
    </row>
    <row r="193" spans="1:13" s="166" customFormat="1" ht="12" customHeight="1">
      <c r="A193" s="163" t="s">
        <v>3</v>
      </c>
      <c r="B193" s="163"/>
      <c r="C193" s="164">
        <v>1120121401</v>
      </c>
      <c r="D193" s="164" t="s">
        <v>887</v>
      </c>
      <c r="E193" s="165" t="s">
        <v>6</v>
      </c>
      <c r="F193" s="165" t="s">
        <v>344</v>
      </c>
      <c r="G193" s="47">
        <f>IF(F193="I",IFERROR(VLOOKUP(C193,'BG 2021'!A:C,3,FALSE),0),0)</f>
        <v>0</v>
      </c>
      <c r="H193" s="163"/>
      <c r="I193" s="68">
        <f>IF(F193="I",IFERROR(VLOOKUP(C193,'BG 2021'!A:D,4,FALSE),0),0)</f>
        <v>0</v>
      </c>
      <c r="J193" s="40"/>
      <c r="K193" s="47">
        <f>IF(F193="I",SUMIF('BG 2020'!B:B,Clasificaciones!C193,'BG 2020'!D:D),0)</f>
        <v>0</v>
      </c>
      <c r="L193" s="40"/>
      <c r="M193" s="68">
        <f>IF(F193="I",SUMIF('BG 2020'!B:B,Clasificaciones!C193,'BG 2020'!E:E),0)</f>
        <v>0</v>
      </c>
    </row>
    <row r="194" spans="1:13" s="166" customFormat="1" ht="12" customHeight="1">
      <c r="A194" s="163" t="s">
        <v>3</v>
      </c>
      <c r="B194" s="163"/>
      <c r="C194" s="164">
        <v>1120121402</v>
      </c>
      <c r="D194" s="164" t="s">
        <v>773</v>
      </c>
      <c r="E194" s="165" t="s">
        <v>229</v>
      </c>
      <c r="F194" s="165" t="s">
        <v>344</v>
      </c>
      <c r="G194" s="47">
        <f>IF(F194="I",IFERROR(VLOOKUP(C194,'BG 2021'!A:C,3,FALSE),0),0)</f>
        <v>0</v>
      </c>
      <c r="H194" s="163"/>
      <c r="I194" s="68">
        <f>IF(F194="I",IFERROR(VLOOKUP(C194,'BG 2021'!A:D,4,FALSE),0),0)</f>
        <v>0</v>
      </c>
      <c r="J194" s="40"/>
      <c r="K194" s="47">
        <f>IF(F194="I",SUMIF('BG 2020'!B:B,Clasificaciones!C194,'BG 2020'!D:D),0)</f>
        <v>0</v>
      </c>
      <c r="L194" s="40"/>
      <c r="M194" s="68">
        <f>IF(F194="I",SUMIF('BG 2020'!B:B,Clasificaciones!C194,'BG 2020'!E:E),0)</f>
        <v>0</v>
      </c>
    </row>
    <row r="195" spans="1:13" s="166" customFormat="1" ht="12" customHeight="1">
      <c r="A195" s="163" t="s">
        <v>3</v>
      </c>
      <c r="B195" s="163"/>
      <c r="C195" s="164">
        <v>11202</v>
      </c>
      <c r="D195" s="164" t="s">
        <v>1057</v>
      </c>
      <c r="E195" s="165" t="s">
        <v>6</v>
      </c>
      <c r="F195" s="165" t="s">
        <v>343</v>
      </c>
      <c r="G195" s="47">
        <f>IF(F195="I",IFERROR(VLOOKUP(C195,'BG 2021'!A:C,3,FALSE),0),0)</f>
        <v>0</v>
      </c>
      <c r="H195" s="163"/>
      <c r="I195" s="68">
        <f>IF(F195="I",IFERROR(VLOOKUP(C195,'BG 2021'!A:D,4,FALSE),0),0)</f>
        <v>0</v>
      </c>
      <c r="J195" s="40"/>
      <c r="K195" s="47">
        <f>IF(F195="I",SUMIF('BG 2020'!B:B,Clasificaciones!C195,'BG 2020'!D:D),0)</f>
        <v>0</v>
      </c>
      <c r="L195" s="40"/>
      <c r="M195" s="68">
        <f>IF(F195="I",SUMIF('BG 2020'!B:B,Clasificaciones!C195,'BG 2020'!E:E),0)</f>
        <v>0</v>
      </c>
    </row>
    <row r="196" spans="1:13" s="166" customFormat="1" ht="12" customHeight="1">
      <c r="A196" s="163" t="s">
        <v>3</v>
      </c>
      <c r="B196" s="163"/>
      <c r="C196" s="164">
        <v>112021</v>
      </c>
      <c r="D196" s="164" t="s">
        <v>826</v>
      </c>
      <c r="E196" s="165" t="s">
        <v>6</v>
      </c>
      <c r="F196" s="165" t="s">
        <v>343</v>
      </c>
      <c r="G196" s="47">
        <f>IF(F196="I",IFERROR(VLOOKUP(C196,'BG 2021'!A:C,3,FALSE),0),0)</f>
        <v>0</v>
      </c>
      <c r="H196" s="163"/>
      <c r="I196" s="68">
        <f>IF(F196="I",IFERROR(VLOOKUP(C196,'BG 2021'!A:D,4,FALSE),0),0)</f>
        <v>0</v>
      </c>
      <c r="J196" s="40"/>
      <c r="K196" s="47">
        <f>IF(F196="I",SUMIF('BG 2020'!B:B,Clasificaciones!C196,'BG 2020'!D:D),0)</f>
        <v>0</v>
      </c>
      <c r="L196" s="40"/>
      <c r="M196" s="68">
        <f>IF(F196="I",SUMIF('BG 2020'!B:B,Clasificaciones!C196,'BG 2020'!E:E),0)</f>
        <v>0</v>
      </c>
    </row>
    <row r="197" spans="1:13" s="166" customFormat="1" ht="12" customHeight="1">
      <c r="A197" s="163" t="s">
        <v>3</v>
      </c>
      <c r="B197" s="163"/>
      <c r="C197" s="164">
        <v>1120211</v>
      </c>
      <c r="D197" s="164" t="s">
        <v>770</v>
      </c>
      <c r="E197" s="165" t="s">
        <v>6</v>
      </c>
      <c r="F197" s="165" t="s">
        <v>343</v>
      </c>
      <c r="G197" s="47">
        <f>IF(F197="I",IFERROR(VLOOKUP(C197,'BG 2021'!A:C,3,FALSE),0),0)</f>
        <v>0</v>
      </c>
      <c r="H197" s="163"/>
      <c r="I197" s="68">
        <f>IF(F197="I",IFERROR(VLOOKUP(C197,'BG 2021'!A:D,4,FALSE),0),0)</f>
        <v>0</v>
      </c>
      <c r="J197" s="40"/>
      <c r="K197" s="47">
        <f>IF(F197="I",SUMIF('BG 2020'!B:B,Clasificaciones!C197,'BG 2020'!D:D),0)</f>
        <v>0</v>
      </c>
      <c r="L197" s="40"/>
      <c r="M197" s="68">
        <f>IF(F197="I",SUMIF('BG 2020'!B:B,Clasificaciones!C197,'BG 2020'!E:E),0)</f>
        <v>0</v>
      </c>
    </row>
    <row r="198" spans="1:13" s="166" customFormat="1" ht="12" customHeight="1">
      <c r="A198" s="163" t="s">
        <v>3</v>
      </c>
      <c r="B198" s="163"/>
      <c r="C198" s="164">
        <v>11202111</v>
      </c>
      <c r="D198" s="164" t="s">
        <v>1058</v>
      </c>
      <c r="E198" s="165" t="s">
        <v>6</v>
      </c>
      <c r="F198" s="165" t="s">
        <v>343</v>
      </c>
      <c r="G198" s="47">
        <f>IF(F198="I",IFERROR(VLOOKUP(C198,'BG 2021'!A:C,3,FALSE),0),0)</f>
        <v>0</v>
      </c>
      <c r="H198" s="163"/>
      <c r="I198" s="68">
        <f>IF(F198="I",IFERROR(VLOOKUP(C198,'BG 2021'!A:D,4,FALSE),0),0)</f>
        <v>0</v>
      </c>
      <c r="J198" s="40"/>
      <c r="K198" s="47">
        <f>IF(F198="I",SUMIF('BG 2020'!B:B,Clasificaciones!C198,'BG 2020'!D:D),0)</f>
        <v>0</v>
      </c>
      <c r="L198" s="40"/>
      <c r="M198" s="68">
        <f>IF(F198="I",SUMIF('BG 2020'!B:B,Clasificaciones!C198,'BG 2020'!E:E),0)</f>
        <v>0</v>
      </c>
    </row>
    <row r="199" spans="1:13" s="166" customFormat="1" ht="12" customHeight="1">
      <c r="A199" s="163" t="s">
        <v>3</v>
      </c>
      <c r="B199" s="163" t="s">
        <v>589</v>
      </c>
      <c r="C199" s="164">
        <v>1120211101</v>
      </c>
      <c r="D199" s="164" t="s">
        <v>1059</v>
      </c>
      <c r="E199" s="165" t="s">
        <v>6</v>
      </c>
      <c r="F199" s="165" t="s">
        <v>344</v>
      </c>
      <c r="G199" s="47">
        <f>IF(F199="I",IFERROR(VLOOKUP(C199,'BG 2021'!A:C,3,FALSE),0),0)</f>
        <v>0</v>
      </c>
      <c r="H199" s="163" t="s">
        <v>589</v>
      </c>
      <c r="I199" s="68">
        <f>IF(F199="I",IFERROR(VLOOKUP(C199,'BG 2021'!A:D,4,FALSE),0),0)</f>
        <v>0</v>
      </c>
      <c r="J199" s="40"/>
      <c r="K199" s="47">
        <f>IF(F199="I",SUMIF('BG 2020'!B:B,Clasificaciones!C199,'BG 2020'!D:D),0)</f>
        <v>170000000</v>
      </c>
      <c r="L199" s="40"/>
      <c r="M199" s="68">
        <f>IF(F199="I",SUMIF('BG 2020'!B:B,Clasificaciones!C199,'BG 2020'!E:E),0)</f>
        <v>24666.420000000013</v>
      </c>
    </row>
    <row r="200" spans="1:13" s="166" customFormat="1" ht="12" customHeight="1">
      <c r="A200" s="163" t="s">
        <v>3</v>
      </c>
      <c r="B200" s="163"/>
      <c r="C200" s="164">
        <v>1120212</v>
      </c>
      <c r="D200" s="164" t="s">
        <v>774</v>
      </c>
      <c r="E200" s="165" t="s">
        <v>6</v>
      </c>
      <c r="F200" s="165" t="s">
        <v>343</v>
      </c>
      <c r="G200" s="47">
        <f>IF(F200="I",IFERROR(VLOOKUP(C200,'BG 2021'!A:C,3,FALSE),0),0)</f>
        <v>0</v>
      </c>
      <c r="H200" s="163"/>
      <c r="I200" s="68">
        <f>IF(F200="I",IFERROR(VLOOKUP(C200,'BG 2021'!A:D,4,FALSE),0),0)</f>
        <v>0</v>
      </c>
      <c r="J200" s="40"/>
      <c r="K200" s="47">
        <f>IF(F200="I",SUMIF('BG 2020'!B:B,Clasificaciones!C200,'BG 2020'!D:D),0)</f>
        <v>0</v>
      </c>
      <c r="L200" s="40"/>
      <c r="M200" s="68">
        <f>IF(F200="I",SUMIF('BG 2020'!B:B,Clasificaciones!C200,'BG 2020'!E:E),0)</f>
        <v>0</v>
      </c>
    </row>
    <row r="201" spans="1:13" s="166" customFormat="1" ht="12" customHeight="1">
      <c r="A201" s="163" t="s">
        <v>3</v>
      </c>
      <c r="B201" s="163"/>
      <c r="C201" s="164">
        <v>1120213</v>
      </c>
      <c r="D201" s="164" t="s">
        <v>779</v>
      </c>
      <c r="E201" s="165" t="s">
        <v>6</v>
      </c>
      <c r="F201" s="165" t="s">
        <v>343</v>
      </c>
      <c r="G201" s="47">
        <f>IF(F201="I",IFERROR(VLOOKUP(C201,'BG 2021'!A:C,3,FALSE),0),0)</f>
        <v>0</v>
      </c>
      <c r="H201" s="163"/>
      <c r="I201" s="68">
        <f>IF(F201="I",IFERROR(VLOOKUP(C201,'BG 2021'!A:D,4,FALSE),0),0)</f>
        <v>0</v>
      </c>
      <c r="J201" s="40"/>
      <c r="K201" s="47">
        <f>IF(F201="I",SUMIF('BG 2020'!B:B,Clasificaciones!C201,'BG 2020'!D:D),0)</f>
        <v>0</v>
      </c>
      <c r="L201" s="40"/>
      <c r="M201" s="68">
        <f>IF(F201="I",SUMIF('BG 2020'!B:B,Clasificaciones!C201,'BG 2020'!E:E),0)</f>
        <v>0</v>
      </c>
    </row>
    <row r="202" spans="1:13" s="166" customFormat="1" ht="12" customHeight="1">
      <c r="A202" s="163" t="s">
        <v>3</v>
      </c>
      <c r="B202" s="163"/>
      <c r="C202" s="164">
        <v>1120214</v>
      </c>
      <c r="D202" s="164" t="s">
        <v>1013</v>
      </c>
      <c r="E202" s="165" t="s">
        <v>6</v>
      </c>
      <c r="F202" s="165" t="s">
        <v>343</v>
      </c>
      <c r="G202" s="47">
        <f>IF(F202="I",IFERROR(VLOOKUP(C202,'BG 2021'!A:C,3,FALSE),0),0)</f>
        <v>0</v>
      </c>
      <c r="H202" s="163"/>
      <c r="I202" s="68">
        <f>IF(F202="I",IFERROR(VLOOKUP(C202,'BG 2021'!A:D,4,FALSE),0),0)</f>
        <v>0</v>
      </c>
      <c r="J202" s="40"/>
      <c r="K202" s="47">
        <f>IF(F202="I",SUMIF('BG 2020'!B:B,Clasificaciones!C202,'BG 2020'!D:D),0)</f>
        <v>0</v>
      </c>
      <c r="L202" s="40"/>
      <c r="M202" s="68">
        <f>IF(F202="I",SUMIF('BG 2020'!B:B,Clasificaciones!C202,'BG 2020'!E:E),0)</f>
        <v>0</v>
      </c>
    </row>
    <row r="203" spans="1:13" s="166" customFormat="1" ht="12" customHeight="1">
      <c r="A203" s="163" t="s">
        <v>3</v>
      </c>
      <c r="B203" s="163"/>
      <c r="C203" s="164">
        <v>1120215</v>
      </c>
      <c r="D203" s="164" t="s">
        <v>1060</v>
      </c>
      <c r="E203" s="165" t="s">
        <v>6</v>
      </c>
      <c r="F203" s="165" t="s">
        <v>343</v>
      </c>
      <c r="G203" s="47">
        <f>IF(F203="I",IFERROR(VLOOKUP(C203,'BG 2021'!A:C,3,FALSE),0),0)</f>
        <v>0</v>
      </c>
      <c r="H203" s="163"/>
      <c r="I203" s="68">
        <f>IF(F203="I",IFERROR(VLOOKUP(C203,'BG 2021'!A:D,4,FALSE),0),0)</f>
        <v>0</v>
      </c>
      <c r="J203" s="40"/>
      <c r="K203" s="47">
        <f>IF(F203="I",SUMIF('BG 2020'!B:B,Clasificaciones!C203,'BG 2020'!D:D),0)</f>
        <v>0</v>
      </c>
      <c r="L203" s="40"/>
      <c r="M203" s="68">
        <f>IF(F203="I",SUMIF('BG 2020'!B:B,Clasificaciones!C203,'BG 2020'!E:E),0)</f>
        <v>0</v>
      </c>
    </row>
    <row r="204" spans="1:13" s="166" customFormat="1" ht="12" customHeight="1">
      <c r="A204" s="163" t="s">
        <v>3</v>
      </c>
      <c r="B204" s="163" t="s">
        <v>589</v>
      </c>
      <c r="C204" s="164">
        <v>112021501</v>
      </c>
      <c r="D204" s="164" t="s">
        <v>1061</v>
      </c>
      <c r="E204" s="165" t="s">
        <v>6</v>
      </c>
      <c r="F204" s="165" t="s">
        <v>344</v>
      </c>
      <c r="G204" s="47">
        <f>IF(F204="I",IFERROR(VLOOKUP(C204,'BG 2021'!A:C,3,FALSE),0),0)</f>
        <v>0</v>
      </c>
      <c r="H204" s="163" t="s">
        <v>589</v>
      </c>
      <c r="I204" s="68">
        <f>IF(F204="I",IFERROR(VLOOKUP(C204,'BG 2021'!A:D,4,FALSE),0),0)</f>
        <v>0</v>
      </c>
      <c r="J204" s="40"/>
      <c r="K204" s="47">
        <f>IF(F204="I",SUMIF('BG 2020'!B:B,Clasificaciones!C204,'BG 2020'!D:D),0)</f>
        <v>72622603</v>
      </c>
      <c r="L204" s="40"/>
      <c r="M204" s="68">
        <f>IF(F204="I",SUMIF('BG 2020'!B:B,Clasificaciones!C204,'BG 2020'!E:E),0)</f>
        <v>10537.29</v>
      </c>
    </row>
    <row r="205" spans="1:13" s="166" customFormat="1" ht="12" customHeight="1">
      <c r="A205" s="163" t="s">
        <v>3</v>
      </c>
      <c r="B205" s="163" t="s">
        <v>589</v>
      </c>
      <c r="C205" s="164">
        <v>112021502</v>
      </c>
      <c r="D205" s="164" t="s">
        <v>1062</v>
      </c>
      <c r="E205" s="165" t="s">
        <v>6</v>
      </c>
      <c r="F205" s="165" t="s">
        <v>344</v>
      </c>
      <c r="G205" s="47">
        <f>IF(F205="I",IFERROR(VLOOKUP(C205,'BG 2021'!A:C,3,FALSE),0),0)</f>
        <v>0</v>
      </c>
      <c r="H205" s="163" t="s">
        <v>589</v>
      </c>
      <c r="I205" s="68">
        <f>IF(F205="I",IFERROR(VLOOKUP(C205,'BG 2021'!A:D,4,FALSE),0),0)</f>
        <v>0</v>
      </c>
      <c r="J205" s="40"/>
      <c r="K205" s="47">
        <f>IF(F205="I",SUMIF('BG 2020'!B:B,Clasificaciones!C205,'BG 2020'!D:D),0)</f>
        <v>-71448904</v>
      </c>
      <c r="L205" s="40"/>
      <c r="M205" s="68">
        <f>IF(F205="I",SUMIF('BG 2020'!B:B,Clasificaciones!C205,'BG 2020'!E:E),0)</f>
        <v>-10366.990000000002</v>
      </c>
    </row>
    <row r="206" spans="1:13" s="166" customFormat="1" ht="12" customHeight="1">
      <c r="A206" s="163" t="s">
        <v>3</v>
      </c>
      <c r="B206" s="163"/>
      <c r="C206" s="164">
        <v>1120216</v>
      </c>
      <c r="D206" s="164" t="s">
        <v>1063</v>
      </c>
      <c r="E206" s="165" t="s">
        <v>6</v>
      </c>
      <c r="F206" s="165" t="s">
        <v>344</v>
      </c>
      <c r="G206" s="47">
        <f>IF(F206="I",IFERROR(VLOOKUP(C206,'BG 2021'!A:C,3,FALSE),0),0)</f>
        <v>0</v>
      </c>
      <c r="H206" s="163"/>
      <c r="I206" s="68">
        <f>IF(F206="I",IFERROR(VLOOKUP(C206,'BG 2021'!A:D,4,FALSE),0),0)</f>
        <v>0</v>
      </c>
      <c r="J206" s="40"/>
      <c r="K206" s="47">
        <f>IF(F206="I",SUMIF('BG 2020'!B:B,Clasificaciones!C206,'BG 2020'!D:D),0)</f>
        <v>0</v>
      </c>
      <c r="L206" s="40"/>
      <c r="M206" s="68">
        <f>IF(F206="I",SUMIF('BG 2020'!B:B,Clasificaciones!C206,'BG 2020'!E:E),0)</f>
        <v>0</v>
      </c>
    </row>
    <row r="207" spans="1:13" s="166" customFormat="1" ht="12" customHeight="1">
      <c r="A207" s="163" t="s">
        <v>3</v>
      </c>
      <c r="B207" s="163"/>
      <c r="C207" s="164">
        <v>11203</v>
      </c>
      <c r="D207" s="164" t="s">
        <v>158</v>
      </c>
      <c r="E207" s="165" t="s">
        <v>6</v>
      </c>
      <c r="F207" s="165" t="s">
        <v>343</v>
      </c>
      <c r="G207" s="47">
        <f>IF(F207="I",IFERROR(VLOOKUP(C207,'BG 2021'!A:C,3,FALSE),0),0)</f>
        <v>0</v>
      </c>
      <c r="H207" s="163"/>
      <c r="I207" s="68">
        <f>IF(F207="I",IFERROR(VLOOKUP(C207,'BG 2021'!A:D,4,FALSE),0),0)</f>
        <v>0</v>
      </c>
      <c r="J207" s="40"/>
      <c r="K207" s="47">
        <f>IF(F207="I",SUMIF('BG 2020'!B:B,Clasificaciones!C207,'BG 2020'!D:D),0)</f>
        <v>0</v>
      </c>
      <c r="L207" s="40"/>
      <c r="M207" s="68">
        <f>IF(F207="I",SUMIF('BG 2020'!B:B,Clasificaciones!C207,'BG 2020'!E:E),0)</f>
        <v>0</v>
      </c>
    </row>
    <row r="208" spans="1:13" s="166" customFormat="1" ht="12" customHeight="1">
      <c r="A208" s="163" t="s">
        <v>3</v>
      </c>
      <c r="B208" s="163"/>
      <c r="C208" s="164">
        <v>112031</v>
      </c>
      <c r="D208" s="164" t="s">
        <v>800</v>
      </c>
      <c r="E208" s="165" t="s">
        <v>6</v>
      </c>
      <c r="F208" s="165" t="s">
        <v>343</v>
      </c>
      <c r="G208" s="47">
        <f>IF(F208="I",IFERROR(VLOOKUP(C208,'BG 2021'!A:C,3,FALSE),0),0)</f>
        <v>0</v>
      </c>
      <c r="H208" s="163"/>
      <c r="I208" s="68">
        <f>IF(F208="I",IFERROR(VLOOKUP(C208,'BG 2021'!A:D,4,FALSE),0),0)</f>
        <v>0</v>
      </c>
      <c r="J208" s="40"/>
      <c r="K208" s="47">
        <f>IF(F208="I",SUMIF('BG 2020'!B:B,Clasificaciones!C208,'BG 2020'!D:D),0)</f>
        <v>0</v>
      </c>
      <c r="L208" s="40"/>
      <c r="M208" s="68">
        <f>IF(F208="I",SUMIF('BG 2020'!B:B,Clasificaciones!C208,'BG 2020'!E:E),0)</f>
        <v>0</v>
      </c>
    </row>
    <row r="209" spans="1:13" s="166" customFormat="1" ht="12" customHeight="1">
      <c r="A209" s="163" t="s">
        <v>3</v>
      </c>
      <c r="B209" s="163"/>
      <c r="C209" s="164">
        <v>11203101</v>
      </c>
      <c r="D209" s="164" t="s">
        <v>801</v>
      </c>
      <c r="E209" s="165" t="s">
        <v>6</v>
      </c>
      <c r="F209" s="165" t="s">
        <v>343</v>
      </c>
      <c r="G209" s="47">
        <f>IF(F209="I",IFERROR(VLOOKUP(C209,'BG 2021'!A:C,3,FALSE),0),0)</f>
        <v>0</v>
      </c>
      <c r="H209" s="163"/>
      <c r="I209" s="68">
        <f>IF(F209="I",IFERROR(VLOOKUP(C209,'BG 2021'!A:D,4,FALSE),0),0)</f>
        <v>0</v>
      </c>
      <c r="J209" s="40"/>
      <c r="K209" s="47">
        <f>IF(F209="I",SUMIF('BG 2020'!B:B,Clasificaciones!C209,'BG 2020'!D:D),0)</f>
        <v>0</v>
      </c>
      <c r="L209" s="40"/>
      <c r="M209" s="68">
        <f>IF(F209="I",SUMIF('BG 2020'!B:B,Clasificaciones!C209,'BG 2020'!E:E),0)</f>
        <v>0</v>
      </c>
    </row>
    <row r="210" spans="1:13" s="173" customFormat="1" ht="12" customHeight="1">
      <c r="A210" s="168" t="s">
        <v>3</v>
      </c>
      <c r="B210" s="168" t="s">
        <v>588</v>
      </c>
      <c r="C210" s="169">
        <v>1120310101</v>
      </c>
      <c r="D210" s="169" t="s">
        <v>802</v>
      </c>
      <c r="E210" s="170" t="s">
        <v>6</v>
      </c>
      <c r="F210" s="170" t="s">
        <v>344</v>
      </c>
      <c r="G210" s="157">
        <f>IF(F210="I",IFERROR(VLOOKUP(C210,'BG 2021'!A:C,3,FALSE),0),0)</f>
        <v>45276000000</v>
      </c>
      <c r="H210" s="168" t="s">
        <v>588</v>
      </c>
      <c r="I210" s="172">
        <f>IF(F210="I",IFERROR(VLOOKUP(C210,'BG 2021'!A:D,4,FALSE),0),0)</f>
        <v>6589616.0700000003</v>
      </c>
      <c r="J210" s="171"/>
      <c r="K210" s="157">
        <f>IF(F210="I",SUMIF('BG 2020'!B:B,Clasificaciones!C210,'BG 2020'!D:D),0)</f>
        <v>16682000000</v>
      </c>
      <c r="L210" s="171"/>
      <c r="M210" s="172">
        <f>IF(F210="I",SUMIF('BG 2020'!B:B,Clasificaciones!C210,'BG 2020'!E:E),0)</f>
        <v>2420501.5700000003</v>
      </c>
    </row>
    <row r="211" spans="1:13" s="173" customFormat="1" ht="12" customHeight="1">
      <c r="A211" s="168" t="s">
        <v>3</v>
      </c>
      <c r="B211" s="168" t="s">
        <v>588</v>
      </c>
      <c r="C211" s="169">
        <v>1120310102</v>
      </c>
      <c r="D211" s="169" t="s">
        <v>1622</v>
      </c>
      <c r="E211" s="170" t="s">
        <v>229</v>
      </c>
      <c r="F211" s="170" t="s">
        <v>344</v>
      </c>
      <c r="G211" s="157">
        <f>IF(F211="I",IFERROR(VLOOKUP(C211,'BG 2021'!A:C,3,FALSE),0),0)</f>
        <v>5125624260</v>
      </c>
      <c r="H211" s="168" t="s">
        <v>588</v>
      </c>
      <c r="I211" s="172">
        <f>IF(F211="I",IFERROR(VLOOKUP(C211,'BG 2021'!A:D,4,FALSE),0),0)</f>
        <v>746000</v>
      </c>
      <c r="J211" s="171"/>
      <c r="K211" s="157">
        <f>IF(F211="I",SUMIF('BG 2020'!B:B,Clasificaciones!C211,'BG 2020'!D:D),0)</f>
        <v>5237889600</v>
      </c>
      <c r="L211" s="171"/>
      <c r="M211" s="172">
        <f>IF(F211="I",SUMIF('BG 2020'!B:B,Clasificaciones!C211,'BG 2020'!E:E),0)</f>
        <v>760000</v>
      </c>
    </row>
    <row r="212" spans="1:13" s="173" customFormat="1" ht="12" customHeight="1">
      <c r="A212" s="168" t="s">
        <v>3</v>
      </c>
      <c r="B212" s="168" t="s">
        <v>588</v>
      </c>
      <c r="C212" s="169">
        <v>1120310103</v>
      </c>
      <c r="D212" s="169" t="s">
        <v>1314</v>
      </c>
      <c r="E212" s="170" t="s">
        <v>6</v>
      </c>
      <c r="F212" s="170" t="s">
        <v>344</v>
      </c>
      <c r="G212" s="157">
        <f>IF(F212="I",IFERROR(VLOOKUP(C212,'BG 2021'!A:C,3,FALSE),0),0)</f>
        <v>4000000000</v>
      </c>
      <c r="H212" s="168" t="s">
        <v>588</v>
      </c>
      <c r="I212" s="172">
        <f>IF(F212="I",IFERROR(VLOOKUP(C212,'BG 2021'!A:D,4,FALSE),0),0)</f>
        <v>582172.99</v>
      </c>
      <c r="J212" s="171"/>
      <c r="K212" s="157">
        <f>IF(F212="I",SUMIF('BG 2020'!B:B,Clasificaciones!C212,'BG 2020'!D:D),0)</f>
        <v>0</v>
      </c>
      <c r="L212" s="171"/>
      <c r="M212" s="172">
        <f>IF(F212="I",SUMIF('BG 2020'!B:B,Clasificaciones!C212,'BG 2020'!E:E),0)</f>
        <v>0</v>
      </c>
    </row>
    <row r="213" spans="1:13" s="173" customFormat="1" ht="12" customHeight="1">
      <c r="A213" s="168" t="s">
        <v>3</v>
      </c>
      <c r="B213" s="168" t="s">
        <v>588</v>
      </c>
      <c r="C213" s="169">
        <v>1120310104</v>
      </c>
      <c r="D213" s="169" t="s">
        <v>1435</v>
      </c>
      <c r="E213" s="170" t="s">
        <v>6</v>
      </c>
      <c r="F213" s="170" t="s">
        <v>344</v>
      </c>
      <c r="G213" s="157">
        <f>IF(F213="I",IFERROR(VLOOKUP(C213,'BG 2021'!A:C,3,FALSE),0),0)</f>
        <v>16787697422</v>
      </c>
      <c r="H213" s="168" t="s">
        <v>588</v>
      </c>
      <c r="I213" s="172">
        <f>IF(F213="I",IFERROR(VLOOKUP(C213,'BG 2021'!A:D,4,FALSE),0),0)</f>
        <v>2443336</v>
      </c>
      <c r="J213" s="171"/>
      <c r="K213" s="157">
        <f>IF(F213="I",SUMIF('BG 2020'!B:B,Clasificaciones!C213,'BG 2020'!D:D),0)</f>
        <v>0</v>
      </c>
      <c r="L213" s="171"/>
      <c r="M213" s="172">
        <f>IF(F213="I",SUMIF('BG 2020'!B:B,Clasificaciones!C213,'BG 2020'!E:E),0)</f>
        <v>0</v>
      </c>
    </row>
    <row r="214" spans="1:13" s="166" customFormat="1" ht="12" customHeight="1">
      <c r="A214" s="163" t="s">
        <v>3</v>
      </c>
      <c r="B214" s="163"/>
      <c r="C214" s="164">
        <v>112032</v>
      </c>
      <c r="D214" s="164" t="s">
        <v>1064</v>
      </c>
      <c r="E214" s="165" t="s">
        <v>6</v>
      </c>
      <c r="F214" s="165" t="s">
        <v>343</v>
      </c>
      <c r="G214" s="47">
        <f>IF(F214="I",IFERROR(VLOOKUP(C214,'BG 2021'!A:C,3,FALSE),0),0)</f>
        <v>0</v>
      </c>
      <c r="H214" s="163"/>
      <c r="I214" s="68">
        <f>IF(F214="I",IFERROR(VLOOKUP(C214,'BG 2021'!A:D,4,FALSE),0),0)</f>
        <v>0</v>
      </c>
      <c r="J214" s="40"/>
      <c r="K214" s="47">
        <f>IF(F214="I",SUMIF('BG 2020'!B:B,Clasificaciones!C214,'BG 2020'!D:D),0)</f>
        <v>0</v>
      </c>
      <c r="L214" s="40"/>
      <c r="M214" s="68">
        <f>IF(F214="I",SUMIF('BG 2020'!B:B,Clasificaciones!C214,'BG 2020'!E:E),0)</f>
        <v>0</v>
      </c>
    </row>
    <row r="215" spans="1:13" s="166" customFormat="1" ht="12" customHeight="1">
      <c r="A215" s="163" t="s">
        <v>3</v>
      </c>
      <c r="B215" s="163"/>
      <c r="C215" s="164">
        <v>11203201</v>
      </c>
      <c r="D215" s="164" t="s">
        <v>1064</v>
      </c>
      <c r="E215" s="165" t="s">
        <v>6</v>
      </c>
      <c r="F215" s="165" t="s">
        <v>343</v>
      </c>
      <c r="G215" s="47">
        <f>IF(F215="I",IFERROR(VLOOKUP(C215,'BG 2021'!A:C,3,FALSE),0),0)</f>
        <v>0</v>
      </c>
      <c r="H215" s="163"/>
      <c r="I215" s="68">
        <f>IF(F215="I",IFERROR(VLOOKUP(C215,'BG 2021'!A:D,4,FALSE),0),0)</f>
        <v>0</v>
      </c>
      <c r="J215" s="40"/>
      <c r="K215" s="47">
        <f>IF(F215="I",SUMIF('BG 2020'!B:B,Clasificaciones!C215,'BG 2020'!D:D),0)</f>
        <v>0</v>
      </c>
      <c r="L215" s="40"/>
      <c r="M215" s="68">
        <f>IF(F215="I",SUMIF('BG 2020'!B:B,Clasificaciones!C215,'BG 2020'!E:E),0)</f>
        <v>0</v>
      </c>
    </row>
    <row r="216" spans="1:13" s="166" customFormat="1" ht="12" customHeight="1">
      <c r="A216" s="163" t="s">
        <v>3</v>
      </c>
      <c r="B216" s="163"/>
      <c r="C216" s="164">
        <v>1120320101</v>
      </c>
      <c r="D216" s="164" t="s">
        <v>884</v>
      </c>
      <c r="E216" s="165" t="s">
        <v>6</v>
      </c>
      <c r="F216" s="165" t="s">
        <v>344</v>
      </c>
      <c r="G216" s="47">
        <f>IF(F216="I",IFERROR(VLOOKUP(C216,'BG 2021'!A:C,3,FALSE),0),0)</f>
        <v>0</v>
      </c>
      <c r="H216" s="163"/>
      <c r="I216" s="68">
        <f>IF(F216="I",IFERROR(VLOOKUP(C216,'BG 2021'!A:D,4,FALSE),0),0)</f>
        <v>0</v>
      </c>
      <c r="J216" s="40"/>
      <c r="K216" s="47">
        <f>IF(F216="I",SUMIF('BG 2020'!B:B,Clasificaciones!C216,'BG 2020'!D:D),0)</f>
        <v>0</v>
      </c>
      <c r="L216" s="40"/>
      <c r="M216" s="68">
        <f>IF(F216="I",SUMIF('BG 2020'!B:B,Clasificaciones!C216,'BG 2020'!E:E),0)</f>
        <v>0</v>
      </c>
    </row>
    <row r="217" spans="1:13" s="166" customFormat="1" ht="12" customHeight="1">
      <c r="A217" s="163" t="s">
        <v>3</v>
      </c>
      <c r="B217" s="163"/>
      <c r="C217" s="164">
        <v>1120320102</v>
      </c>
      <c r="D217" s="164" t="s">
        <v>899</v>
      </c>
      <c r="E217" s="165" t="s">
        <v>229</v>
      </c>
      <c r="F217" s="165" t="s">
        <v>344</v>
      </c>
      <c r="G217" s="47">
        <f>IF(F217="I",IFERROR(VLOOKUP(C217,'BG 2021'!A:C,3,FALSE),0),0)</f>
        <v>0</v>
      </c>
      <c r="H217" s="163"/>
      <c r="I217" s="68">
        <f>IF(F217="I",IFERROR(VLOOKUP(C217,'BG 2021'!A:D,4,FALSE),0),0)</f>
        <v>0</v>
      </c>
      <c r="J217" s="40"/>
      <c r="K217" s="47">
        <f>IF(F217="I",SUMIF('BG 2020'!B:B,Clasificaciones!C217,'BG 2020'!D:D),0)</f>
        <v>0</v>
      </c>
      <c r="L217" s="40"/>
      <c r="M217" s="68">
        <f>IF(F217="I",SUMIF('BG 2020'!B:B,Clasificaciones!C217,'BG 2020'!E:E),0)</f>
        <v>0</v>
      </c>
    </row>
    <row r="218" spans="1:13" s="166" customFormat="1" ht="12" customHeight="1">
      <c r="A218" s="163" t="s">
        <v>3</v>
      </c>
      <c r="B218" s="163"/>
      <c r="C218" s="164">
        <v>1120320103</v>
      </c>
      <c r="D218" s="164" t="s">
        <v>885</v>
      </c>
      <c r="E218" s="165" t="s">
        <v>6</v>
      </c>
      <c r="F218" s="165" t="s">
        <v>344</v>
      </c>
      <c r="G218" s="47">
        <f>IF(F218="I",IFERROR(VLOOKUP(C218,'BG 2021'!A:C,3,FALSE),0),0)</f>
        <v>0</v>
      </c>
      <c r="H218" s="163"/>
      <c r="I218" s="68">
        <f>IF(F218="I",IFERROR(VLOOKUP(C218,'BG 2021'!A:D,4,FALSE),0),0)</f>
        <v>0</v>
      </c>
      <c r="J218" s="40"/>
      <c r="K218" s="47">
        <f>IF(F218="I",SUMIF('BG 2020'!B:B,Clasificaciones!C218,'BG 2020'!D:D),0)</f>
        <v>0</v>
      </c>
      <c r="L218" s="40"/>
      <c r="M218" s="68">
        <f>IF(F218="I",SUMIF('BG 2020'!B:B,Clasificaciones!C218,'BG 2020'!E:E),0)</f>
        <v>0</v>
      </c>
    </row>
    <row r="219" spans="1:13" s="166" customFormat="1" ht="12" customHeight="1">
      <c r="A219" s="163" t="s">
        <v>3</v>
      </c>
      <c r="B219" s="163"/>
      <c r="C219" s="164">
        <v>1120320104</v>
      </c>
      <c r="D219" s="164" t="s">
        <v>886</v>
      </c>
      <c r="E219" s="165" t="s">
        <v>229</v>
      </c>
      <c r="F219" s="165" t="s">
        <v>344</v>
      </c>
      <c r="G219" s="47">
        <f>IF(F219="I",IFERROR(VLOOKUP(C219,'BG 2021'!A:C,3,FALSE),0),0)</f>
        <v>0</v>
      </c>
      <c r="H219" s="163"/>
      <c r="I219" s="68">
        <f>IF(F219="I",IFERROR(VLOOKUP(C219,'BG 2021'!A:D,4,FALSE),0),0)</f>
        <v>0</v>
      </c>
      <c r="J219" s="40"/>
      <c r="K219" s="47">
        <f>IF(F219="I",SUMIF('BG 2020'!B:B,Clasificaciones!C219,'BG 2020'!D:D),0)</f>
        <v>0</v>
      </c>
      <c r="L219" s="40"/>
      <c r="M219" s="68">
        <f>IF(F219="I",SUMIF('BG 2020'!B:B,Clasificaciones!C219,'BG 2020'!E:E),0)</f>
        <v>0</v>
      </c>
    </row>
    <row r="220" spans="1:13" s="166" customFormat="1" ht="12" customHeight="1">
      <c r="A220" s="163" t="s">
        <v>3</v>
      </c>
      <c r="B220" s="163"/>
      <c r="C220" s="164">
        <v>1120320105</v>
      </c>
      <c r="D220" s="164" t="s">
        <v>887</v>
      </c>
      <c r="E220" s="165" t="s">
        <v>6</v>
      </c>
      <c r="F220" s="165" t="s">
        <v>344</v>
      </c>
      <c r="G220" s="47">
        <f>IF(F220="I",IFERROR(VLOOKUP(C220,'BG 2021'!A:C,3,FALSE),0),0)</f>
        <v>0</v>
      </c>
      <c r="H220" s="163"/>
      <c r="I220" s="68">
        <f>IF(F220="I",IFERROR(VLOOKUP(C220,'BG 2021'!A:D,4,FALSE),0),0)</f>
        <v>0</v>
      </c>
      <c r="J220" s="40"/>
      <c r="K220" s="47">
        <f>IF(F220="I",SUMIF('BG 2020'!B:B,Clasificaciones!C220,'BG 2020'!D:D),0)</f>
        <v>0</v>
      </c>
      <c r="L220" s="40"/>
      <c r="M220" s="68">
        <f>IF(F220="I",SUMIF('BG 2020'!B:B,Clasificaciones!C220,'BG 2020'!E:E),0)</f>
        <v>0</v>
      </c>
    </row>
    <row r="221" spans="1:13" s="166" customFormat="1" ht="12" customHeight="1">
      <c r="A221" s="163" t="s">
        <v>3</v>
      </c>
      <c r="B221" s="163"/>
      <c r="C221" s="164">
        <v>1120320106</v>
      </c>
      <c r="D221" s="164" t="s">
        <v>773</v>
      </c>
      <c r="E221" s="165" t="s">
        <v>229</v>
      </c>
      <c r="F221" s="165" t="s">
        <v>344</v>
      </c>
      <c r="G221" s="47">
        <f>IF(F221="I",IFERROR(VLOOKUP(C221,'BG 2021'!A:C,3,FALSE),0),0)</f>
        <v>0</v>
      </c>
      <c r="H221" s="163"/>
      <c r="I221" s="68">
        <f>IF(F221="I",IFERROR(VLOOKUP(C221,'BG 2021'!A:D,4,FALSE),0),0)</f>
        <v>0</v>
      </c>
      <c r="J221" s="40"/>
      <c r="K221" s="47">
        <f>IF(F221="I",SUMIF('BG 2020'!B:B,Clasificaciones!C221,'BG 2020'!D:D),0)</f>
        <v>0</v>
      </c>
      <c r="L221" s="40"/>
      <c r="M221" s="68">
        <f>IF(F221="I",SUMIF('BG 2020'!B:B,Clasificaciones!C221,'BG 2020'!E:E),0)</f>
        <v>0</v>
      </c>
    </row>
    <row r="222" spans="1:13" s="166" customFormat="1" ht="12" customHeight="1">
      <c r="A222" s="163" t="s">
        <v>3</v>
      </c>
      <c r="B222" s="163" t="s">
        <v>588</v>
      </c>
      <c r="C222" s="164">
        <v>1120320107</v>
      </c>
      <c r="D222" s="164" t="s">
        <v>888</v>
      </c>
      <c r="E222" s="165" t="s">
        <v>6</v>
      </c>
      <c r="F222" s="165" t="s">
        <v>344</v>
      </c>
      <c r="G222" s="47">
        <f>IF(F222="I",IFERROR(VLOOKUP(C222,'BG 2021'!A:C,3,FALSE),0),0)</f>
        <v>0</v>
      </c>
      <c r="H222" s="163" t="s">
        <v>588</v>
      </c>
      <c r="I222" s="68">
        <f>IF(F222="I",IFERROR(VLOOKUP(C222,'BG 2021'!A:D,4,FALSE),0),0)</f>
        <v>0</v>
      </c>
      <c r="J222" s="40"/>
      <c r="K222" s="47">
        <f>IF(F222="I",SUMIF('BG 2020'!B:B,Clasificaciones!C222,'BG 2020'!D:D),0)</f>
        <v>100040450</v>
      </c>
      <c r="L222" s="40"/>
      <c r="M222" s="68">
        <f>IF(F222="I",SUMIF('BG 2020'!B:B,Clasificaciones!C222,'BG 2020'!E:E),0)</f>
        <v>14515.53</v>
      </c>
    </row>
    <row r="223" spans="1:13" s="166" customFormat="1" ht="12" customHeight="1">
      <c r="A223" s="163" t="s">
        <v>3</v>
      </c>
      <c r="B223" s="163"/>
      <c r="C223" s="164">
        <v>1120320108</v>
      </c>
      <c r="D223" s="164" t="s">
        <v>889</v>
      </c>
      <c r="E223" s="165" t="s">
        <v>229</v>
      </c>
      <c r="F223" s="165" t="s">
        <v>344</v>
      </c>
      <c r="G223" s="47">
        <f>IF(F223="I",IFERROR(VLOOKUP(C223,'BG 2021'!A:C,3,FALSE),0),0)</f>
        <v>0</v>
      </c>
      <c r="H223" s="163"/>
      <c r="I223" s="68">
        <f>IF(F223="I",IFERROR(VLOOKUP(C223,'BG 2021'!A:D,4,FALSE),0),0)</f>
        <v>0</v>
      </c>
      <c r="J223" s="40"/>
      <c r="K223" s="47">
        <f>IF(F223="I",SUMIF('BG 2020'!B:B,Clasificaciones!C223,'BG 2020'!D:D),0)</f>
        <v>0</v>
      </c>
      <c r="L223" s="40"/>
      <c r="M223" s="68">
        <f>IF(F223="I",SUMIF('BG 2020'!B:B,Clasificaciones!C223,'BG 2020'!E:E),0)</f>
        <v>0</v>
      </c>
    </row>
    <row r="224" spans="1:13" s="166" customFormat="1" ht="12" customHeight="1">
      <c r="A224" s="163" t="s">
        <v>3</v>
      </c>
      <c r="B224" s="163"/>
      <c r="C224" s="164">
        <v>1120320109</v>
      </c>
      <c r="D224" s="164" t="s">
        <v>890</v>
      </c>
      <c r="E224" s="165" t="s">
        <v>6</v>
      </c>
      <c r="F224" s="165" t="s">
        <v>344</v>
      </c>
      <c r="G224" s="47">
        <f>IF(F224="I",IFERROR(VLOOKUP(C224,'BG 2021'!A:C,3,FALSE),0),0)</f>
        <v>0</v>
      </c>
      <c r="H224" s="163"/>
      <c r="I224" s="68">
        <f>IF(F224="I",IFERROR(VLOOKUP(C224,'BG 2021'!A:D,4,FALSE),0),0)</f>
        <v>0</v>
      </c>
      <c r="J224" s="40"/>
      <c r="K224" s="47">
        <f>IF(F224="I",SUMIF('BG 2020'!B:B,Clasificaciones!C224,'BG 2020'!D:D),0)</f>
        <v>0</v>
      </c>
      <c r="L224" s="40"/>
      <c r="M224" s="68">
        <f>IF(F224="I",SUMIF('BG 2020'!B:B,Clasificaciones!C224,'BG 2020'!E:E),0)</f>
        <v>0</v>
      </c>
    </row>
    <row r="225" spans="1:13" s="166" customFormat="1" ht="12" customHeight="1">
      <c r="A225" s="163" t="s">
        <v>3</v>
      </c>
      <c r="B225" s="163"/>
      <c r="C225" s="164">
        <v>1120320110</v>
      </c>
      <c r="D225" s="164" t="s">
        <v>1003</v>
      </c>
      <c r="E225" s="165" t="s">
        <v>229</v>
      </c>
      <c r="F225" s="165" t="s">
        <v>344</v>
      </c>
      <c r="G225" s="47">
        <f>IF(F225="I",IFERROR(VLOOKUP(C225,'BG 2021'!A:C,3,FALSE),0),0)</f>
        <v>0</v>
      </c>
      <c r="H225" s="163"/>
      <c r="I225" s="68">
        <f>IF(F225="I",IFERROR(VLOOKUP(C225,'BG 2021'!A:D,4,FALSE),0),0)</f>
        <v>0</v>
      </c>
      <c r="J225" s="40"/>
      <c r="K225" s="47">
        <f>IF(F225="I",SUMIF('BG 2020'!B:B,Clasificaciones!C225,'BG 2020'!D:D),0)</f>
        <v>0</v>
      </c>
      <c r="L225" s="40"/>
      <c r="M225" s="68">
        <f>IF(F225="I",SUMIF('BG 2020'!B:B,Clasificaciones!C225,'BG 2020'!E:E),0)</f>
        <v>0</v>
      </c>
    </row>
    <row r="226" spans="1:13" s="166" customFormat="1" ht="12" customHeight="1">
      <c r="A226" s="163" t="s">
        <v>3</v>
      </c>
      <c r="B226" s="163"/>
      <c r="C226" s="164">
        <v>1120320111</v>
      </c>
      <c r="D226" s="164" t="s">
        <v>1065</v>
      </c>
      <c r="E226" s="165" t="s">
        <v>6</v>
      </c>
      <c r="F226" s="165" t="s">
        <v>344</v>
      </c>
      <c r="G226" s="47">
        <f>IF(F226="I",IFERROR(VLOOKUP(C226,'BG 2021'!A:C,3,FALSE),0),0)</f>
        <v>0</v>
      </c>
      <c r="H226" s="163"/>
      <c r="I226" s="68">
        <f>IF(F226="I",IFERROR(VLOOKUP(C226,'BG 2021'!A:D,4,FALSE),0),0)</f>
        <v>0</v>
      </c>
      <c r="J226" s="40"/>
      <c r="K226" s="47">
        <f>IF(F226="I",SUMIF('BG 2020'!B:B,Clasificaciones!C226,'BG 2020'!D:D),0)</f>
        <v>0</v>
      </c>
      <c r="L226" s="40"/>
      <c r="M226" s="68">
        <f>IF(F226="I",SUMIF('BG 2020'!B:B,Clasificaciones!C226,'BG 2020'!E:E),0)</f>
        <v>0</v>
      </c>
    </row>
    <row r="227" spans="1:13" s="166" customFormat="1" ht="12" customHeight="1">
      <c r="A227" s="163" t="s">
        <v>3</v>
      </c>
      <c r="B227" s="163"/>
      <c r="C227" s="164">
        <v>1120320112</v>
      </c>
      <c r="D227" s="164" t="s">
        <v>1006</v>
      </c>
      <c r="E227" s="165" t="s">
        <v>229</v>
      </c>
      <c r="F227" s="165" t="s">
        <v>344</v>
      </c>
      <c r="G227" s="47">
        <f>IF(F227="I",IFERROR(VLOOKUP(C227,'BG 2021'!A:C,3,FALSE),0),0)</f>
        <v>0</v>
      </c>
      <c r="H227" s="163"/>
      <c r="I227" s="68">
        <f>IF(F227="I",IFERROR(VLOOKUP(C227,'BG 2021'!A:D,4,FALSE),0),0)</f>
        <v>0</v>
      </c>
      <c r="J227" s="40"/>
      <c r="K227" s="47">
        <f>IF(F227="I",SUMIF('BG 2020'!B:B,Clasificaciones!C227,'BG 2020'!D:D),0)</f>
        <v>0</v>
      </c>
      <c r="L227" s="40"/>
      <c r="M227" s="68">
        <f>IF(F227="I",SUMIF('BG 2020'!B:B,Clasificaciones!C227,'BG 2020'!E:E),0)</f>
        <v>0</v>
      </c>
    </row>
    <row r="228" spans="1:13" s="166" customFormat="1" ht="12" customHeight="1">
      <c r="A228" s="163" t="s">
        <v>3</v>
      </c>
      <c r="B228" s="163"/>
      <c r="C228" s="164">
        <v>1120320113</v>
      </c>
      <c r="D228" s="164" t="s">
        <v>1066</v>
      </c>
      <c r="E228" s="165" t="s">
        <v>6</v>
      </c>
      <c r="F228" s="165" t="s">
        <v>344</v>
      </c>
      <c r="G228" s="47">
        <f>IF(F228="I",IFERROR(VLOOKUP(C228,'BG 2021'!A:C,3,FALSE),0),0)</f>
        <v>0</v>
      </c>
      <c r="H228" s="163"/>
      <c r="I228" s="68">
        <f>IF(F228="I",IFERROR(VLOOKUP(C228,'BG 2021'!A:D,4,FALSE),0),0)</f>
        <v>0</v>
      </c>
      <c r="J228" s="40"/>
      <c r="K228" s="47">
        <f>IF(F228="I",SUMIF('BG 2020'!B:B,Clasificaciones!C228,'BG 2020'!D:D),0)</f>
        <v>0</v>
      </c>
      <c r="L228" s="40"/>
      <c r="M228" s="68">
        <f>IF(F228="I",SUMIF('BG 2020'!B:B,Clasificaciones!C228,'BG 2020'!E:E),0)</f>
        <v>0</v>
      </c>
    </row>
    <row r="229" spans="1:13" s="173" customFormat="1" ht="12" customHeight="1">
      <c r="A229" s="168" t="s">
        <v>3</v>
      </c>
      <c r="B229" s="168" t="s">
        <v>588</v>
      </c>
      <c r="C229" s="169">
        <v>1120320114</v>
      </c>
      <c r="D229" s="169" t="s">
        <v>1623</v>
      </c>
      <c r="E229" s="170" t="s">
        <v>229</v>
      </c>
      <c r="F229" s="170" t="s">
        <v>344</v>
      </c>
      <c r="G229" s="157">
        <f>IF(F229="I",IFERROR(VLOOKUP(C229,'BG 2021'!A:C,3,FALSE),0),0)</f>
        <v>63246150</v>
      </c>
      <c r="H229" s="168" t="s">
        <v>588</v>
      </c>
      <c r="I229" s="172">
        <f>IF(F229="I",IFERROR(VLOOKUP(C229,'BG 2021'!A:D,4,FALSE),0),0)</f>
        <v>9205.0500000000011</v>
      </c>
      <c r="J229" s="171"/>
      <c r="K229" s="157">
        <f>IF(F229="I",SUMIF('BG 2020'!B:B,Clasificaciones!C229,'BG 2020'!D:D),0)</f>
        <v>0</v>
      </c>
      <c r="L229" s="171"/>
      <c r="M229" s="172">
        <f>IF(F229="I",SUMIF('BG 2020'!B:B,Clasificaciones!C229,'BG 2020'!E:E),0)</f>
        <v>0</v>
      </c>
    </row>
    <row r="230" spans="1:13" s="166" customFormat="1" ht="12" customHeight="1">
      <c r="A230" s="163" t="s">
        <v>3</v>
      </c>
      <c r="B230" s="163"/>
      <c r="C230" s="164">
        <v>1120320115</v>
      </c>
      <c r="D230" s="164" t="s">
        <v>885</v>
      </c>
      <c r="E230" s="165" t="s">
        <v>6</v>
      </c>
      <c r="F230" s="165" t="s">
        <v>344</v>
      </c>
      <c r="G230" s="47">
        <f>IF(F230="I",IFERROR(VLOOKUP(C230,'BG 2021'!A:C,3,FALSE),0),0)</f>
        <v>0</v>
      </c>
      <c r="H230" s="163"/>
      <c r="I230" s="68">
        <f>IF(F230="I",IFERROR(VLOOKUP(C230,'BG 2021'!A:D,4,FALSE),0),0)</f>
        <v>0</v>
      </c>
      <c r="J230" s="40"/>
      <c r="K230" s="47">
        <f>IF(F230="I",SUMIF('BG 2020'!B:B,Clasificaciones!C230,'BG 2020'!D:D),0)</f>
        <v>0</v>
      </c>
      <c r="L230" s="40"/>
      <c r="M230" s="68">
        <f>IF(F230="I",SUMIF('BG 2020'!B:B,Clasificaciones!C230,'BG 2020'!E:E),0)</f>
        <v>0</v>
      </c>
    </row>
    <row r="231" spans="1:13" s="166" customFormat="1" ht="12" customHeight="1">
      <c r="A231" s="163" t="s">
        <v>3</v>
      </c>
      <c r="B231" s="163"/>
      <c r="C231" s="164">
        <v>1120320116</v>
      </c>
      <c r="D231" s="164" t="s">
        <v>886</v>
      </c>
      <c r="E231" s="165" t="s">
        <v>229</v>
      </c>
      <c r="F231" s="165" t="s">
        <v>344</v>
      </c>
      <c r="G231" s="47">
        <f>IF(F231="I",IFERROR(VLOOKUP(C231,'BG 2021'!A:C,3,FALSE),0),0)</f>
        <v>0</v>
      </c>
      <c r="H231" s="163"/>
      <c r="I231" s="68">
        <f>IF(F231="I",IFERROR(VLOOKUP(C231,'BG 2021'!A:D,4,FALSE),0),0)</f>
        <v>0</v>
      </c>
      <c r="J231" s="40"/>
      <c r="K231" s="47">
        <f>IF(F231="I",SUMIF('BG 2020'!B:B,Clasificaciones!C231,'BG 2020'!D:D),0)</f>
        <v>0</v>
      </c>
      <c r="L231" s="40"/>
      <c r="M231" s="68">
        <f>IF(F231="I",SUMIF('BG 2020'!B:B,Clasificaciones!C231,'BG 2020'!E:E),0)</f>
        <v>0</v>
      </c>
    </row>
    <row r="232" spans="1:13" s="166" customFormat="1" ht="12" customHeight="1">
      <c r="A232" s="163" t="s">
        <v>3</v>
      </c>
      <c r="B232" s="163"/>
      <c r="C232" s="164">
        <v>1120320117</v>
      </c>
      <c r="D232" s="164" t="s">
        <v>893</v>
      </c>
      <c r="E232" s="165" t="s">
        <v>6</v>
      </c>
      <c r="F232" s="165" t="s">
        <v>344</v>
      </c>
      <c r="G232" s="47">
        <f>IF(F232="I",IFERROR(VLOOKUP(C232,'BG 2021'!A:C,3,FALSE),0),0)</f>
        <v>0</v>
      </c>
      <c r="H232" s="163"/>
      <c r="I232" s="68">
        <f>IF(F232="I",IFERROR(VLOOKUP(C232,'BG 2021'!A:D,4,FALSE),0),0)</f>
        <v>0</v>
      </c>
      <c r="J232" s="40"/>
      <c r="K232" s="47">
        <f>IF(F232="I",SUMIF('BG 2020'!B:B,Clasificaciones!C232,'BG 2020'!D:D),0)</f>
        <v>0</v>
      </c>
      <c r="L232" s="40"/>
      <c r="M232" s="68">
        <f>IF(F232="I",SUMIF('BG 2020'!B:B,Clasificaciones!C232,'BG 2020'!E:E),0)</f>
        <v>0</v>
      </c>
    </row>
    <row r="233" spans="1:13" s="166" customFormat="1" ht="12" customHeight="1">
      <c r="A233" s="163" t="s">
        <v>3</v>
      </c>
      <c r="B233" s="163"/>
      <c r="C233" s="164">
        <v>1120320118</v>
      </c>
      <c r="D233" s="164" t="s">
        <v>894</v>
      </c>
      <c r="E233" s="165" t="s">
        <v>229</v>
      </c>
      <c r="F233" s="165" t="s">
        <v>344</v>
      </c>
      <c r="G233" s="47">
        <f>IF(F233="I",IFERROR(VLOOKUP(C233,'BG 2021'!A:C,3,FALSE),0),0)</f>
        <v>0</v>
      </c>
      <c r="H233" s="163"/>
      <c r="I233" s="68">
        <f>IF(F233="I",IFERROR(VLOOKUP(C233,'BG 2021'!A:D,4,FALSE),0),0)</f>
        <v>0</v>
      </c>
      <c r="J233" s="40"/>
      <c r="K233" s="47">
        <f>IF(F233="I",SUMIF('BG 2020'!B:B,Clasificaciones!C233,'BG 2020'!D:D),0)</f>
        <v>0</v>
      </c>
      <c r="L233" s="40"/>
      <c r="M233" s="68">
        <f>IF(F233="I",SUMIF('BG 2020'!B:B,Clasificaciones!C233,'BG 2020'!E:E),0)</f>
        <v>0</v>
      </c>
    </row>
    <row r="234" spans="1:13" s="166" customFormat="1" ht="12" customHeight="1">
      <c r="A234" s="163" t="s">
        <v>3</v>
      </c>
      <c r="B234" s="163"/>
      <c r="C234" s="164">
        <v>1120320119</v>
      </c>
      <c r="D234" s="164" t="s">
        <v>888</v>
      </c>
      <c r="E234" s="165" t="s">
        <v>6</v>
      </c>
      <c r="F234" s="165" t="s">
        <v>344</v>
      </c>
      <c r="G234" s="47">
        <f>IF(F234="I",IFERROR(VLOOKUP(C234,'BG 2021'!A:C,3,FALSE),0),0)</f>
        <v>0</v>
      </c>
      <c r="H234" s="163"/>
      <c r="I234" s="68">
        <f>IF(F234="I",IFERROR(VLOOKUP(C234,'BG 2021'!A:D,4,FALSE),0),0)</f>
        <v>0</v>
      </c>
      <c r="J234" s="40"/>
      <c r="K234" s="47">
        <f>IF(F234="I",SUMIF('BG 2020'!B:B,Clasificaciones!C234,'BG 2020'!D:D),0)</f>
        <v>0</v>
      </c>
      <c r="L234" s="40"/>
      <c r="M234" s="68">
        <f>IF(F234="I",SUMIF('BG 2020'!B:B,Clasificaciones!C234,'BG 2020'!E:E),0)</f>
        <v>0</v>
      </c>
    </row>
    <row r="235" spans="1:13" s="166" customFormat="1" ht="12" customHeight="1">
      <c r="A235" s="163" t="s">
        <v>3</v>
      </c>
      <c r="B235" s="163"/>
      <c r="C235" s="164">
        <v>1120320120</v>
      </c>
      <c r="D235" s="164" t="s">
        <v>889</v>
      </c>
      <c r="E235" s="165" t="s">
        <v>229</v>
      </c>
      <c r="F235" s="165" t="s">
        <v>344</v>
      </c>
      <c r="G235" s="47">
        <f>IF(F235="I",IFERROR(VLOOKUP(C235,'BG 2021'!A:C,3,FALSE),0),0)</f>
        <v>0</v>
      </c>
      <c r="H235" s="163"/>
      <c r="I235" s="68">
        <f>IF(F235="I",IFERROR(VLOOKUP(C235,'BG 2021'!A:D,4,FALSE),0),0)</f>
        <v>0</v>
      </c>
      <c r="J235" s="40"/>
      <c r="K235" s="47">
        <f>IF(F235="I",SUMIF('BG 2020'!B:B,Clasificaciones!C235,'BG 2020'!D:D),0)</f>
        <v>0</v>
      </c>
      <c r="L235" s="40"/>
      <c r="M235" s="68">
        <f>IF(F235="I",SUMIF('BG 2020'!B:B,Clasificaciones!C235,'BG 2020'!E:E),0)</f>
        <v>0</v>
      </c>
    </row>
    <row r="236" spans="1:13" s="166" customFormat="1" ht="12" customHeight="1">
      <c r="A236" s="163" t="s">
        <v>3</v>
      </c>
      <c r="B236" s="163"/>
      <c r="C236" s="164">
        <v>1120320121</v>
      </c>
      <c r="D236" s="164" t="s">
        <v>902</v>
      </c>
      <c r="E236" s="165" t="s">
        <v>6</v>
      </c>
      <c r="F236" s="165" t="s">
        <v>344</v>
      </c>
      <c r="G236" s="47">
        <f>IF(F236="I",IFERROR(VLOOKUP(C236,'BG 2021'!A:C,3,FALSE),0),0)</f>
        <v>0</v>
      </c>
      <c r="H236" s="163"/>
      <c r="I236" s="68">
        <f>IF(F236="I",IFERROR(VLOOKUP(C236,'BG 2021'!A:D,4,FALSE),0),0)</f>
        <v>0</v>
      </c>
      <c r="J236" s="40"/>
      <c r="K236" s="47">
        <f>IF(F236="I",SUMIF('BG 2020'!B:B,Clasificaciones!C236,'BG 2020'!D:D),0)</f>
        <v>0</v>
      </c>
      <c r="L236" s="40"/>
      <c r="M236" s="68">
        <f>IF(F236="I",SUMIF('BG 2020'!B:B,Clasificaciones!C236,'BG 2020'!E:E),0)</f>
        <v>0</v>
      </c>
    </row>
    <row r="237" spans="1:13" s="166" customFormat="1" ht="12" customHeight="1">
      <c r="A237" s="163" t="s">
        <v>3</v>
      </c>
      <c r="B237" s="163"/>
      <c r="C237" s="164">
        <v>1120320122</v>
      </c>
      <c r="D237" s="164" t="s">
        <v>1067</v>
      </c>
      <c r="E237" s="165" t="s">
        <v>229</v>
      </c>
      <c r="F237" s="165" t="s">
        <v>344</v>
      </c>
      <c r="G237" s="47">
        <f>IF(F237="I",IFERROR(VLOOKUP(C237,'BG 2021'!A:C,3,FALSE),0),0)</f>
        <v>0</v>
      </c>
      <c r="H237" s="163"/>
      <c r="I237" s="68">
        <f>IF(F237="I",IFERROR(VLOOKUP(C237,'BG 2021'!A:D,4,FALSE),0),0)</f>
        <v>0</v>
      </c>
      <c r="J237" s="40"/>
      <c r="K237" s="47">
        <f>IF(F237="I",SUMIF('BG 2020'!B:B,Clasificaciones!C237,'BG 2020'!D:D),0)</f>
        <v>0</v>
      </c>
      <c r="L237" s="40"/>
      <c r="M237" s="68">
        <f>IF(F237="I",SUMIF('BG 2020'!B:B,Clasificaciones!C237,'BG 2020'!E:E),0)</f>
        <v>0</v>
      </c>
    </row>
    <row r="238" spans="1:13" s="166" customFormat="1" ht="12" customHeight="1">
      <c r="A238" s="163" t="s">
        <v>3</v>
      </c>
      <c r="B238" s="163"/>
      <c r="C238" s="164">
        <v>1120320123</v>
      </c>
      <c r="D238" s="164" t="s">
        <v>1065</v>
      </c>
      <c r="E238" s="165" t="s">
        <v>6</v>
      </c>
      <c r="F238" s="165" t="s">
        <v>344</v>
      </c>
      <c r="G238" s="47">
        <f>IF(F238="I",IFERROR(VLOOKUP(C238,'BG 2021'!A:C,3,FALSE),0),0)</f>
        <v>0</v>
      </c>
      <c r="H238" s="163"/>
      <c r="I238" s="68">
        <f>IF(F238="I",IFERROR(VLOOKUP(C238,'BG 2021'!A:D,4,FALSE),0),0)</f>
        <v>0</v>
      </c>
      <c r="J238" s="40"/>
      <c r="K238" s="47">
        <f>IF(F238="I",SUMIF('BG 2020'!B:B,Clasificaciones!C238,'BG 2020'!D:D),0)</f>
        <v>0</v>
      </c>
      <c r="L238" s="40"/>
      <c r="M238" s="68">
        <f>IF(F238="I",SUMIF('BG 2020'!B:B,Clasificaciones!C238,'BG 2020'!E:E),0)</f>
        <v>0</v>
      </c>
    </row>
    <row r="239" spans="1:13" s="166" customFormat="1" ht="12" customHeight="1">
      <c r="A239" s="163" t="s">
        <v>3</v>
      </c>
      <c r="B239" s="163"/>
      <c r="C239" s="164">
        <v>1120320124</v>
      </c>
      <c r="D239" s="164" t="s">
        <v>1006</v>
      </c>
      <c r="E239" s="165" t="s">
        <v>229</v>
      </c>
      <c r="F239" s="165" t="s">
        <v>344</v>
      </c>
      <c r="G239" s="47">
        <f>IF(F239="I",IFERROR(VLOOKUP(C239,'BG 2021'!A:C,3,FALSE),0),0)</f>
        <v>0</v>
      </c>
      <c r="H239" s="163"/>
      <c r="I239" s="68">
        <f>IF(F239="I",IFERROR(VLOOKUP(C239,'BG 2021'!A:D,4,FALSE),0),0)</f>
        <v>0</v>
      </c>
      <c r="J239" s="40"/>
      <c r="K239" s="47">
        <f>IF(F239="I",SUMIF('BG 2020'!B:B,Clasificaciones!C239,'BG 2020'!D:D),0)</f>
        <v>0</v>
      </c>
      <c r="L239" s="40"/>
      <c r="M239" s="68">
        <f>IF(F239="I",SUMIF('BG 2020'!B:B,Clasificaciones!C239,'BG 2020'!E:E),0)</f>
        <v>0</v>
      </c>
    </row>
    <row r="240" spans="1:13" s="166" customFormat="1" ht="12" customHeight="1">
      <c r="A240" s="163" t="s">
        <v>3</v>
      </c>
      <c r="B240" s="163"/>
      <c r="C240" s="164">
        <v>11203202</v>
      </c>
      <c r="D240" s="164" t="s">
        <v>1068</v>
      </c>
      <c r="E240" s="165" t="s">
        <v>6</v>
      </c>
      <c r="F240" s="165" t="s">
        <v>343</v>
      </c>
      <c r="G240" s="47">
        <f>IF(F240="I",IFERROR(VLOOKUP(C240,'BG 2021'!A:C,3,FALSE),0),0)</f>
        <v>0</v>
      </c>
      <c r="H240" s="163"/>
      <c r="I240" s="68">
        <f>IF(F240="I",IFERROR(VLOOKUP(C240,'BG 2021'!A:D,4,FALSE),0),0)</f>
        <v>0</v>
      </c>
      <c r="J240" s="40"/>
      <c r="K240" s="47">
        <f>IF(F240="I",SUMIF('BG 2020'!B:B,Clasificaciones!C240,'BG 2020'!D:D),0)</f>
        <v>0</v>
      </c>
      <c r="L240" s="40"/>
      <c r="M240" s="68">
        <f>IF(F240="I",SUMIF('BG 2020'!B:B,Clasificaciones!C240,'BG 2020'!E:E),0)</f>
        <v>0</v>
      </c>
    </row>
    <row r="241" spans="1:13" s="166" customFormat="1" ht="12" customHeight="1">
      <c r="A241" s="163" t="s">
        <v>3</v>
      </c>
      <c r="B241" s="163"/>
      <c r="C241" s="164">
        <v>1120320201</v>
      </c>
      <c r="D241" s="164" t="s">
        <v>1068</v>
      </c>
      <c r="E241" s="165" t="s">
        <v>6</v>
      </c>
      <c r="F241" s="165" t="s">
        <v>344</v>
      </c>
      <c r="G241" s="47">
        <f>IF(F241="I",IFERROR(VLOOKUP(C241,'BG 2021'!A:C,3,FALSE),0),0)</f>
        <v>0</v>
      </c>
      <c r="H241" s="163"/>
      <c r="I241" s="68">
        <f>IF(F241="I",IFERROR(VLOOKUP(C241,'BG 2021'!A:D,4,FALSE),0),0)</f>
        <v>0</v>
      </c>
      <c r="J241" s="40"/>
      <c r="K241" s="47">
        <f>IF(F241="I",SUMIF('BG 2020'!B:B,Clasificaciones!C241,'BG 2020'!D:D),0)</f>
        <v>0</v>
      </c>
      <c r="L241" s="40"/>
      <c r="M241" s="68">
        <f>IF(F241="I",SUMIF('BG 2020'!B:B,Clasificaciones!C241,'BG 2020'!E:E),0)</f>
        <v>0</v>
      </c>
    </row>
    <row r="242" spans="1:13" s="173" customFormat="1" ht="12" customHeight="1">
      <c r="A242" s="168" t="s">
        <v>3</v>
      </c>
      <c r="B242" s="168" t="s">
        <v>588</v>
      </c>
      <c r="C242" s="169">
        <v>1120320202</v>
      </c>
      <c r="D242" s="169" t="s">
        <v>1068</v>
      </c>
      <c r="E242" s="170" t="s">
        <v>229</v>
      </c>
      <c r="F242" s="170" t="s">
        <v>344</v>
      </c>
      <c r="G242" s="157">
        <f>IF(F242="I",IFERROR(VLOOKUP(C242,'BG 2021'!A:C,3,FALSE),0),0)</f>
        <v>713671</v>
      </c>
      <c r="H242" s="168" t="s">
        <v>588</v>
      </c>
      <c r="I242" s="172">
        <f>IF(F242="I",IFERROR(VLOOKUP(C242,'BG 2021'!A:D,4,FALSE),0),0)</f>
        <v>103.87</v>
      </c>
      <c r="J242" s="171"/>
      <c r="K242" s="157">
        <f>IF(F242="I",SUMIF('BG 2020'!B:B,Clasificaciones!C242,'BG 2020'!D:D),0)</f>
        <v>0</v>
      </c>
      <c r="L242" s="171"/>
      <c r="M242" s="172">
        <f>IF(F242="I",SUMIF('BG 2020'!B:B,Clasificaciones!C242,'BG 2020'!E:E),0)</f>
        <v>0</v>
      </c>
    </row>
    <row r="243" spans="1:13" s="166" customFormat="1" ht="12" customHeight="1">
      <c r="A243" s="163" t="s">
        <v>3</v>
      </c>
      <c r="B243" s="163"/>
      <c r="C243" s="164">
        <v>11203203</v>
      </c>
      <c r="D243" s="164" t="s">
        <v>1069</v>
      </c>
      <c r="E243" s="165" t="s">
        <v>6</v>
      </c>
      <c r="F243" s="165" t="s">
        <v>343</v>
      </c>
      <c r="G243" s="47">
        <f>IF(F243="I",IFERROR(VLOOKUP(C243,'BG 2021'!A:C,3,FALSE),0),0)</f>
        <v>0</v>
      </c>
      <c r="H243" s="163"/>
      <c r="I243" s="68">
        <f>IF(F243="I",IFERROR(VLOOKUP(C243,'BG 2021'!A:D,4,FALSE),0),0)</f>
        <v>0</v>
      </c>
      <c r="J243" s="40"/>
      <c r="K243" s="47">
        <f>IF(F243="I",SUMIF('BG 2020'!B:B,Clasificaciones!C243,'BG 2020'!D:D),0)</f>
        <v>0</v>
      </c>
      <c r="L243" s="40"/>
      <c r="M243" s="68">
        <f>IF(F243="I",SUMIF('BG 2020'!B:B,Clasificaciones!C243,'BG 2020'!E:E),0)</f>
        <v>0</v>
      </c>
    </row>
    <row r="244" spans="1:13" s="166" customFormat="1" ht="12" customHeight="1">
      <c r="A244" s="163" t="s">
        <v>3</v>
      </c>
      <c r="B244" s="163"/>
      <c r="C244" s="164">
        <v>1120320301</v>
      </c>
      <c r="D244" s="164" t="s">
        <v>1069</v>
      </c>
      <c r="E244" s="165" t="s">
        <v>6</v>
      </c>
      <c r="F244" s="165" t="s">
        <v>344</v>
      </c>
      <c r="G244" s="47">
        <f>IF(F244="I",IFERROR(VLOOKUP(C244,'BG 2021'!A:C,3,FALSE),0),0)</f>
        <v>0</v>
      </c>
      <c r="H244" s="163"/>
      <c r="I244" s="68">
        <f>IF(F244="I",IFERROR(VLOOKUP(C244,'BG 2021'!A:D,4,FALSE),0),0)</f>
        <v>0</v>
      </c>
      <c r="J244" s="40"/>
      <c r="K244" s="47">
        <f>IF(F244="I",SUMIF('BG 2020'!B:B,Clasificaciones!C244,'BG 2020'!D:D),0)</f>
        <v>0</v>
      </c>
      <c r="L244" s="40"/>
      <c r="M244" s="68">
        <f>IF(F244="I",SUMIF('BG 2020'!B:B,Clasificaciones!C244,'BG 2020'!E:E),0)</f>
        <v>0</v>
      </c>
    </row>
    <row r="245" spans="1:13" s="173" customFormat="1" ht="12" customHeight="1">
      <c r="A245" s="168" t="s">
        <v>3</v>
      </c>
      <c r="B245" s="168" t="s">
        <v>588</v>
      </c>
      <c r="C245" s="169">
        <v>1120320302</v>
      </c>
      <c r="D245" s="169" t="s">
        <v>1069</v>
      </c>
      <c r="E245" s="170" t="s">
        <v>229</v>
      </c>
      <c r="F245" s="170" t="s">
        <v>344</v>
      </c>
      <c r="G245" s="157">
        <f>IF(F245="I",IFERROR(VLOOKUP(C245,'BG 2021'!A:C,3,FALSE),0),0)</f>
        <v>-539152</v>
      </c>
      <c r="H245" s="168" t="s">
        <v>588</v>
      </c>
      <c r="I245" s="172">
        <f>IF(F245="I",IFERROR(VLOOKUP(C245,'BG 2021'!A:D,4,FALSE),0),0)</f>
        <v>-78.47</v>
      </c>
      <c r="J245" s="171"/>
      <c r="K245" s="157">
        <f>IF(F245="I",SUMIF('BG 2020'!B:B,Clasificaciones!C245,'BG 2020'!D:D),0)</f>
        <v>0</v>
      </c>
      <c r="L245" s="171"/>
      <c r="M245" s="172">
        <f>IF(F245="I",SUMIF('BG 2020'!B:B,Clasificaciones!C245,'BG 2020'!E:E),0)</f>
        <v>0</v>
      </c>
    </row>
    <row r="246" spans="1:13" s="166" customFormat="1" ht="12" customHeight="1">
      <c r="A246" s="163" t="s">
        <v>3</v>
      </c>
      <c r="B246" s="163"/>
      <c r="C246" s="164">
        <v>113</v>
      </c>
      <c r="D246" s="164" t="s">
        <v>804</v>
      </c>
      <c r="E246" s="165" t="s">
        <v>6</v>
      </c>
      <c r="F246" s="165" t="s">
        <v>343</v>
      </c>
      <c r="G246" s="47">
        <f>IF(F246="I",IFERROR(VLOOKUP(C246,'BG 2021'!A:C,3,FALSE),0),0)</f>
        <v>0</v>
      </c>
      <c r="H246" s="163"/>
      <c r="I246" s="68">
        <f>IF(F246="I",IFERROR(VLOOKUP(C246,'BG 2021'!A:D,4,FALSE),0),0)</f>
        <v>0</v>
      </c>
      <c r="J246" s="40"/>
      <c r="K246" s="47">
        <f>IF(F246="I",SUMIF('BG 2020'!B:B,Clasificaciones!C246,'BG 2020'!D:D),0)</f>
        <v>0</v>
      </c>
      <c r="L246" s="40"/>
      <c r="M246" s="68">
        <f>IF(F246="I",SUMIF('BG 2020'!B:B,Clasificaciones!C246,'BG 2020'!E:E),0)</f>
        <v>0</v>
      </c>
    </row>
    <row r="247" spans="1:13" s="166" customFormat="1" ht="12" customHeight="1">
      <c r="A247" s="163" t="s">
        <v>3</v>
      </c>
      <c r="B247" s="163"/>
      <c r="C247" s="164">
        <v>11301</v>
      </c>
      <c r="D247" s="164" t="s">
        <v>434</v>
      </c>
      <c r="E247" s="165" t="s">
        <v>6</v>
      </c>
      <c r="F247" s="165" t="s">
        <v>343</v>
      </c>
      <c r="G247" s="47">
        <f>IF(F247="I",IFERROR(VLOOKUP(C247,'BG 2021'!A:C,3,FALSE),0),0)</f>
        <v>0</v>
      </c>
      <c r="H247" s="163"/>
      <c r="I247" s="68">
        <f>IF(F247="I",IFERROR(VLOOKUP(C247,'BG 2021'!A:D,4,FALSE),0),0)</f>
        <v>0</v>
      </c>
      <c r="J247" s="40"/>
      <c r="K247" s="47">
        <f>IF(F247="I",SUMIF('BG 2020'!B:B,Clasificaciones!C247,'BG 2020'!D:D),0)</f>
        <v>0</v>
      </c>
      <c r="L247" s="40"/>
      <c r="M247" s="68">
        <f>IF(F247="I",SUMIF('BG 2020'!B:B,Clasificaciones!C247,'BG 2020'!E:E),0)</f>
        <v>0</v>
      </c>
    </row>
    <row r="248" spans="1:13" s="166" customFormat="1" ht="12" customHeight="1">
      <c r="A248" s="163" t="s">
        <v>3</v>
      </c>
      <c r="B248" s="163"/>
      <c r="C248" s="164">
        <v>1130101</v>
      </c>
      <c r="D248" s="164" t="s">
        <v>805</v>
      </c>
      <c r="E248" s="165" t="s">
        <v>6</v>
      </c>
      <c r="F248" s="165" t="s">
        <v>343</v>
      </c>
      <c r="G248" s="47">
        <f>IF(F248="I",IFERROR(VLOOKUP(C248,'BG 2021'!A:C,3,FALSE),0),0)</f>
        <v>0</v>
      </c>
      <c r="H248" s="163"/>
      <c r="I248" s="68">
        <f>IF(F248="I",IFERROR(VLOOKUP(C248,'BG 2021'!A:D,4,FALSE),0),0)</f>
        <v>0</v>
      </c>
      <c r="J248" s="40"/>
      <c r="K248" s="47">
        <f>IF(F248="I",SUMIF('BG 2020'!B:B,Clasificaciones!C248,'BG 2020'!D:D),0)</f>
        <v>0</v>
      </c>
      <c r="L248" s="40"/>
      <c r="M248" s="68">
        <f>IF(F248="I",SUMIF('BG 2020'!B:B,Clasificaciones!C248,'BG 2020'!E:E),0)</f>
        <v>0</v>
      </c>
    </row>
    <row r="249" spans="1:13" s="173" customFormat="1" ht="12" customHeight="1">
      <c r="A249" s="168" t="s">
        <v>3</v>
      </c>
      <c r="B249" s="168" t="s">
        <v>18</v>
      </c>
      <c r="C249" s="169">
        <v>113010101</v>
      </c>
      <c r="D249" s="169" t="s">
        <v>806</v>
      </c>
      <c r="E249" s="170" t="s">
        <v>6</v>
      </c>
      <c r="F249" s="170" t="s">
        <v>344</v>
      </c>
      <c r="G249" s="157">
        <f>IF(F249="I",IFERROR(VLOOKUP(C249,'BG 2021'!A:C,3,FALSE),0),0)</f>
        <v>61105608</v>
      </c>
      <c r="H249" s="168" t="s">
        <v>18</v>
      </c>
      <c r="I249" s="172">
        <f>IF(F249="I",IFERROR(VLOOKUP(C249,'BG 2021'!A:D,4,FALSE),0),0)</f>
        <v>8892.5599999999977</v>
      </c>
      <c r="J249" s="171"/>
      <c r="K249" s="157">
        <f>IF(F249="I",SUMIF('BG 2020'!B:B,Clasificaciones!C249,'BG 2020'!D:D),0)</f>
        <v>110000</v>
      </c>
      <c r="L249" s="171"/>
      <c r="M249" s="172">
        <f>IF(F249="I",SUMIF('BG 2020'!B:B,Clasificaciones!C249,'BG 2020'!E:E),0)</f>
        <v>15.960000000000035</v>
      </c>
    </row>
    <row r="250" spans="1:13" s="173" customFormat="1" ht="12" customHeight="1">
      <c r="A250" s="168" t="s">
        <v>3</v>
      </c>
      <c r="B250" s="168" t="s">
        <v>18</v>
      </c>
      <c r="C250" s="169">
        <v>113010102</v>
      </c>
      <c r="D250" s="169" t="s">
        <v>1624</v>
      </c>
      <c r="E250" s="170" t="s">
        <v>229</v>
      </c>
      <c r="F250" s="170" t="s">
        <v>344</v>
      </c>
      <c r="G250" s="157">
        <f>IF(F250="I",IFERROR(VLOOKUP(C250,'BG 2021'!A:C,3,FALSE),0),0)</f>
        <v>11910755</v>
      </c>
      <c r="H250" s="168" t="s">
        <v>18</v>
      </c>
      <c r="I250" s="172">
        <f>IF(F250="I",IFERROR(VLOOKUP(C250,'BG 2021'!A:D,4,FALSE),0),0)</f>
        <v>1733.5299999999986</v>
      </c>
      <c r="J250" s="171"/>
      <c r="K250" s="157">
        <f>IF(F250="I",SUMIF('BG 2020'!B:B,Clasificaciones!C250,'BG 2020'!D:D),0)</f>
        <v>3987206</v>
      </c>
      <c r="L250" s="171"/>
      <c r="M250" s="172">
        <f>IF(F250="I",SUMIF('BG 2020'!B:B,Clasificaciones!C250,'BG 2020'!E:E),0)</f>
        <v>578.52999999999884</v>
      </c>
    </row>
    <row r="251" spans="1:13" s="166" customFormat="1" ht="12" customHeight="1">
      <c r="A251" s="163" t="s">
        <v>3</v>
      </c>
      <c r="B251" s="163"/>
      <c r="C251" s="164">
        <v>1130102</v>
      </c>
      <c r="D251" s="164" t="s">
        <v>623</v>
      </c>
      <c r="E251" s="165" t="s">
        <v>6</v>
      </c>
      <c r="F251" s="165" t="s">
        <v>343</v>
      </c>
      <c r="G251" s="47">
        <f>IF(F251="I",IFERROR(VLOOKUP(C251,'BG 2021'!A:C,3,FALSE),0),0)</f>
        <v>0</v>
      </c>
      <c r="H251" s="163"/>
      <c r="I251" s="68">
        <f>IF(F251="I",IFERROR(VLOOKUP(C251,'BG 2021'!A:D,4,FALSE),0),0)</f>
        <v>0</v>
      </c>
      <c r="J251" s="40"/>
      <c r="K251" s="47">
        <f>IF(F251="I",SUMIF('BG 2020'!B:B,Clasificaciones!C251,'BG 2020'!D:D),0)</f>
        <v>0</v>
      </c>
      <c r="L251" s="40"/>
      <c r="M251" s="68">
        <f>IF(F251="I",SUMIF('BG 2020'!B:B,Clasificaciones!C251,'BG 2020'!E:E),0)</f>
        <v>0</v>
      </c>
    </row>
    <row r="252" spans="1:13" s="173" customFormat="1" ht="12" customHeight="1">
      <c r="A252" s="168" t="s">
        <v>3</v>
      </c>
      <c r="B252" s="168" t="s">
        <v>88</v>
      </c>
      <c r="C252" s="169">
        <v>113010201</v>
      </c>
      <c r="D252" s="169" t="s">
        <v>1315</v>
      </c>
      <c r="E252" s="170" t="s">
        <v>6</v>
      </c>
      <c r="F252" s="170" t="s">
        <v>344</v>
      </c>
      <c r="G252" s="157">
        <f>IF(F252="I",IFERROR(VLOOKUP(C252,'BG 2021'!A:C,3,FALSE),0),0)</f>
        <v>3975686</v>
      </c>
      <c r="H252" s="168" t="s">
        <v>88</v>
      </c>
      <c r="I252" s="172">
        <f>IF(F252="I",IFERROR(VLOOKUP(C252,'BG 2021'!A:D,4,FALSE),0),0)</f>
        <v>578.62999999988824</v>
      </c>
      <c r="J252" s="171"/>
      <c r="K252" s="157">
        <f>IF(F252="I",SUMIF('BG 2020'!B:B,Clasificaciones!C252,'BG 2020'!D:D),0)</f>
        <v>266036645</v>
      </c>
      <c r="L252" s="171"/>
      <c r="M252" s="172">
        <f>IF(F252="I",SUMIF('BG 2020'!B:B,Clasificaciones!C252,'BG 2020'!E:E),0)</f>
        <v>38601.010000000009</v>
      </c>
    </row>
    <row r="253" spans="1:13" s="173" customFormat="1" ht="12" customHeight="1">
      <c r="A253" s="168" t="s">
        <v>3</v>
      </c>
      <c r="B253" s="168" t="s">
        <v>88</v>
      </c>
      <c r="C253" s="169">
        <v>113010202</v>
      </c>
      <c r="D253" s="169" t="s">
        <v>1316</v>
      </c>
      <c r="E253" s="170" t="s">
        <v>229</v>
      </c>
      <c r="F253" s="170" t="s">
        <v>344</v>
      </c>
      <c r="G253" s="157">
        <f>IF(F253="I",IFERROR(VLOOKUP(C253,'BG 2021'!A:C,3,FALSE),0),0)</f>
        <v>2997734</v>
      </c>
      <c r="H253" s="168" t="s">
        <v>88</v>
      </c>
      <c r="I253" s="172">
        <f>IF(F253="I",IFERROR(VLOOKUP(C253,'BG 2021'!A:D,4,FALSE),0),0)</f>
        <v>436.29999999981374</v>
      </c>
      <c r="J253" s="171"/>
      <c r="K253" s="157">
        <f>IF(F253="I",SUMIF('BG 2020'!B:B,Clasificaciones!C253,'BG 2020'!D:D),0)</f>
        <v>0</v>
      </c>
      <c r="L253" s="171"/>
      <c r="M253" s="172">
        <f>IF(F253="I",SUMIF('BG 2020'!B:B,Clasificaciones!C253,'BG 2020'!E:E),0)</f>
        <v>0</v>
      </c>
    </row>
    <row r="254" spans="1:13" s="166" customFormat="1" ht="12" customHeight="1">
      <c r="A254" s="163" t="s">
        <v>3</v>
      </c>
      <c r="B254" s="163"/>
      <c r="C254" s="164">
        <v>11302</v>
      </c>
      <c r="D254" s="164" t="s">
        <v>808</v>
      </c>
      <c r="E254" s="165" t="s">
        <v>6</v>
      </c>
      <c r="F254" s="165" t="s">
        <v>343</v>
      </c>
      <c r="G254" s="47">
        <f>IF(F254="I",IFERROR(VLOOKUP(C254,'BG 2021'!A:C,3,FALSE),0),0)</f>
        <v>0</v>
      </c>
      <c r="H254" s="163"/>
      <c r="I254" s="68">
        <f>IF(F254="I",IFERROR(VLOOKUP(C254,'BG 2021'!A:D,4,FALSE),0),0)</f>
        <v>0</v>
      </c>
      <c r="J254" s="40"/>
      <c r="K254" s="47">
        <f>IF(F254="I",SUMIF('BG 2020'!B:B,Clasificaciones!C254,'BG 2020'!D:D),0)</f>
        <v>0</v>
      </c>
      <c r="L254" s="40"/>
      <c r="M254" s="68">
        <f>IF(F254="I",SUMIF('BG 2020'!B:B,Clasificaciones!C254,'BG 2020'!E:E),0)</f>
        <v>0</v>
      </c>
    </row>
    <row r="255" spans="1:13" s="166" customFormat="1" ht="12" customHeight="1">
      <c r="A255" s="163" t="s">
        <v>3</v>
      </c>
      <c r="B255" s="163"/>
      <c r="C255" s="164">
        <v>1130201</v>
      </c>
      <c r="D255" s="164" t="s">
        <v>1070</v>
      </c>
      <c r="E255" s="165" t="s">
        <v>6</v>
      </c>
      <c r="F255" s="165" t="s">
        <v>343</v>
      </c>
      <c r="G255" s="47">
        <f>IF(F255="I",IFERROR(VLOOKUP(C255,'BG 2021'!A:C,3,FALSE),0),0)</f>
        <v>0</v>
      </c>
      <c r="H255" s="163"/>
      <c r="I255" s="68">
        <f>IF(F255="I",IFERROR(VLOOKUP(C255,'BG 2021'!A:D,4,FALSE),0),0)</f>
        <v>0</v>
      </c>
      <c r="J255" s="40"/>
      <c r="K255" s="47">
        <f>IF(F255="I",SUMIF('BG 2020'!B:B,Clasificaciones!C255,'BG 2020'!D:D),0)</f>
        <v>0</v>
      </c>
      <c r="L255" s="40"/>
      <c r="M255" s="68">
        <f>IF(F255="I",SUMIF('BG 2020'!B:B,Clasificaciones!C255,'BG 2020'!E:E),0)</f>
        <v>0</v>
      </c>
    </row>
    <row r="256" spans="1:13" s="166" customFormat="1" ht="12" customHeight="1">
      <c r="A256" s="163" t="s">
        <v>3</v>
      </c>
      <c r="B256" s="163"/>
      <c r="C256" s="164">
        <v>113020101</v>
      </c>
      <c r="D256" s="164" t="s">
        <v>1071</v>
      </c>
      <c r="E256" s="165" t="s">
        <v>6</v>
      </c>
      <c r="F256" s="165" t="s">
        <v>344</v>
      </c>
      <c r="G256" s="47">
        <f>IF(F256="I",IFERROR(VLOOKUP(C256,'BG 2021'!A:C,3,FALSE),0),0)</f>
        <v>0</v>
      </c>
      <c r="H256" s="163"/>
      <c r="I256" s="68">
        <f>IF(F256="I",IFERROR(VLOOKUP(C256,'BG 2021'!A:D,4,FALSE),0),0)</f>
        <v>0</v>
      </c>
      <c r="J256" s="40"/>
      <c r="K256" s="47">
        <f>IF(F256="I",SUMIF('BG 2020'!B:B,Clasificaciones!C256,'BG 2020'!D:D),0)</f>
        <v>0</v>
      </c>
      <c r="L256" s="40"/>
      <c r="M256" s="68">
        <f>IF(F256="I",SUMIF('BG 2020'!B:B,Clasificaciones!C256,'BG 2020'!E:E),0)</f>
        <v>0</v>
      </c>
    </row>
    <row r="257" spans="1:13" s="166" customFormat="1" ht="12" customHeight="1">
      <c r="A257" s="163" t="s">
        <v>3</v>
      </c>
      <c r="B257" s="163"/>
      <c r="C257" s="164">
        <v>113020102</v>
      </c>
      <c r="D257" s="164" t="s">
        <v>1072</v>
      </c>
      <c r="E257" s="165" t="s">
        <v>6</v>
      </c>
      <c r="F257" s="165" t="s">
        <v>344</v>
      </c>
      <c r="G257" s="47">
        <f>IF(F257="I",IFERROR(VLOOKUP(C257,'BG 2021'!A:C,3,FALSE),0),0)</f>
        <v>0</v>
      </c>
      <c r="H257" s="163"/>
      <c r="I257" s="68">
        <f>IF(F257="I",IFERROR(VLOOKUP(C257,'BG 2021'!A:D,4,FALSE),0),0)</f>
        <v>0</v>
      </c>
      <c r="J257" s="40"/>
      <c r="K257" s="47">
        <f>IF(F257="I",SUMIF('BG 2020'!B:B,Clasificaciones!C257,'BG 2020'!D:D),0)</f>
        <v>0</v>
      </c>
      <c r="L257" s="40"/>
      <c r="M257" s="68">
        <f>IF(F257="I",SUMIF('BG 2020'!B:B,Clasificaciones!C257,'BG 2020'!E:E),0)</f>
        <v>0</v>
      </c>
    </row>
    <row r="258" spans="1:13" s="166" customFormat="1" ht="12" customHeight="1">
      <c r="A258" s="163" t="s">
        <v>3</v>
      </c>
      <c r="B258" s="163"/>
      <c r="C258" s="164">
        <v>113020103</v>
      </c>
      <c r="D258" s="164" t="s">
        <v>1073</v>
      </c>
      <c r="E258" s="165" t="s">
        <v>6</v>
      </c>
      <c r="F258" s="165" t="s">
        <v>344</v>
      </c>
      <c r="G258" s="47">
        <f>IF(F258="I",IFERROR(VLOOKUP(C258,'BG 2021'!A:C,3,FALSE),0),0)</f>
        <v>0</v>
      </c>
      <c r="H258" s="163"/>
      <c r="I258" s="68">
        <f>IF(F258="I",IFERROR(VLOOKUP(C258,'BG 2021'!A:D,4,FALSE),0),0)</f>
        <v>0</v>
      </c>
      <c r="J258" s="40"/>
      <c r="K258" s="47">
        <f>IF(F258="I",SUMIF('BG 2020'!B:B,Clasificaciones!C258,'BG 2020'!D:D),0)</f>
        <v>0</v>
      </c>
      <c r="L258" s="40"/>
      <c r="M258" s="68">
        <f>IF(F258="I",SUMIF('BG 2020'!B:B,Clasificaciones!C258,'BG 2020'!E:E),0)</f>
        <v>0</v>
      </c>
    </row>
    <row r="259" spans="1:13" s="166" customFormat="1" ht="12" customHeight="1">
      <c r="A259" s="163" t="s">
        <v>3</v>
      </c>
      <c r="B259" s="163"/>
      <c r="C259" s="164">
        <v>113020104</v>
      </c>
      <c r="D259" s="164" t="s">
        <v>1074</v>
      </c>
      <c r="E259" s="165" t="s">
        <v>6</v>
      </c>
      <c r="F259" s="165" t="s">
        <v>344</v>
      </c>
      <c r="G259" s="47">
        <f>IF(F259="I",IFERROR(VLOOKUP(C259,'BG 2021'!A:C,3,FALSE),0),0)</f>
        <v>0</v>
      </c>
      <c r="H259" s="163"/>
      <c r="I259" s="68">
        <f>IF(F259="I",IFERROR(VLOOKUP(C259,'BG 2021'!A:D,4,FALSE),0),0)</f>
        <v>0</v>
      </c>
      <c r="J259" s="40"/>
      <c r="K259" s="47">
        <f>IF(F259="I",SUMIF('BG 2020'!B:B,Clasificaciones!C259,'BG 2020'!D:D),0)</f>
        <v>0</v>
      </c>
      <c r="L259" s="40"/>
      <c r="M259" s="68">
        <f>IF(F259="I",SUMIF('BG 2020'!B:B,Clasificaciones!C259,'BG 2020'!E:E),0)</f>
        <v>0</v>
      </c>
    </row>
    <row r="260" spans="1:13" s="166" customFormat="1" ht="12" customHeight="1">
      <c r="A260" s="163" t="s">
        <v>3</v>
      </c>
      <c r="B260" s="163"/>
      <c r="C260" s="164">
        <v>1130202</v>
      </c>
      <c r="D260" s="164" t="s">
        <v>809</v>
      </c>
      <c r="E260" s="165" t="s">
        <v>6</v>
      </c>
      <c r="F260" s="165" t="s">
        <v>343</v>
      </c>
      <c r="G260" s="47">
        <f>IF(F260="I",IFERROR(VLOOKUP(C260,'BG 2021'!A:C,3,FALSE),0),0)</f>
        <v>0</v>
      </c>
      <c r="H260" s="163"/>
      <c r="I260" s="68">
        <f>IF(F260="I",IFERROR(VLOOKUP(C260,'BG 2021'!A:D,4,FALSE),0),0)</f>
        <v>0</v>
      </c>
      <c r="J260" s="40"/>
      <c r="K260" s="47">
        <f>IF(F260="I",SUMIF('BG 2020'!B:B,Clasificaciones!C260,'BG 2020'!D:D),0)</f>
        <v>0</v>
      </c>
      <c r="L260" s="40"/>
      <c r="M260" s="68">
        <f>IF(F260="I",SUMIF('BG 2020'!B:B,Clasificaciones!C260,'BG 2020'!E:E),0)</f>
        <v>0</v>
      </c>
    </row>
    <row r="261" spans="1:13" s="173" customFormat="1" ht="12" customHeight="1">
      <c r="A261" s="168" t="s">
        <v>3</v>
      </c>
      <c r="B261" s="168" t="s">
        <v>88</v>
      </c>
      <c r="C261" s="169">
        <v>113020201</v>
      </c>
      <c r="D261" s="169" t="s">
        <v>1075</v>
      </c>
      <c r="E261" s="170" t="s">
        <v>6</v>
      </c>
      <c r="F261" s="170" t="s">
        <v>344</v>
      </c>
      <c r="G261" s="157">
        <f>IF(F261="I",IFERROR(VLOOKUP(C261,'BG 2021'!A:C,3,FALSE),0),0)</f>
        <v>3300000</v>
      </c>
      <c r="H261" s="168" t="s">
        <v>88</v>
      </c>
      <c r="I261" s="172">
        <f>IF(F261="I",IFERROR(VLOOKUP(C261,'BG 2021'!A:D,4,FALSE),0),0)</f>
        <v>480.28999999999996</v>
      </c>
      <c r="J261" s="171"/>
      <c r="K261" s="157">
        <f>IF(F261="I",SUMIF('BG 2020'!B:B,Clasificaciones!C261,'BG 2020'!D:D),0)</f>
        <v>0</v>
      </c>
      <c r="L261" s="171"/>
      <c r="M261" s="172">
        <f>IF(F261="I",SUMIF('BG 2020'!B:B,Clasificaciones!C261,'BG 2020'!E:E),0)</f>
        <v>0</v>
      </c>
    </row>
    <row r="262" spans="1:13" s="166" customFormat="1" ht="12" customHeight="1">
      <c r="A262" s="163" t="s">
        <v>3</v>
      </c>
      <c r="B262" s="163" t="s">
        <v>18</v>
      </c>
      <c r="C262" s="164">
        <v>113020202</v>
      </c>
      <c r="D262" s="164" t="s">
        <v>810</v>
      </c>
      <c r="E262" s="165" t="s">
        <v>229</v>
      </c>
      <c r="F262" s="165" t="s">
        <v>344</v>
      </c>
      <c r="G262" s="47">
        <f>IF(F262="I",IFERROR(VLOOKUP(C262,'BG 2021'!A:C,3,FALSE),0),0)</f>
        <v>0</v>
      </c>
      <c r="H262" s="163" t="s">
        <v>18</v>
      </c>
      <c r="I262" s="68">
        <f>IF(F262="I",IFERROR(VLOOKUP(C262,'BG 2021'!A:D,4,FALSE),0),0)</f>
        <v>0</v>
      </c>
      <c r="J262" s="40"/>
      <c r="K262" s="47">
        <f>IF(F262="I",SUMIF('BG 2020'!B:B,Clasificaciones!C262,'BG 2020'!D:D),0)</f>
        <v>0</v>
      </c>
      <c r="L262" s="40"/>
      <c r="M262" s="68">
        <f>IF(F262="I",SUMIF('BG 2020'!B:B,Clasificaciones!C262,'BG 2020'!E:E),0)</f>
        <v>0</v>
      </c>
    </row>
    <row r="263" spans="1:13" s="166" customFormat="1" ht="12" customHeight="1">
      <c r="A263" s="163" t="s">
        <v>3</v>
      </c>
      <c r="B263" s="163"/>
      <c r="C263" s="164">
        <v>1130203</v>
      </c>
      <c r="D263" s="164" t="s">
        <v>182</v>
      </c>
      <c r="E263" s="165" t="s">
        <v>6</v>
      </c>
      <c r="F263" s="165" t="s">
        <v>343</v>
      </c>
      <c r="G263" s="47">
        <f>IF(F263="I",IFERROR(VLOOKUP(C263,'BG 2021'!A:C,3,FALSE),0),0)</f>
        <v>0</v>
      </c>
      <c r="H263" s="163"/>
      <c r="I263" s="68">
        <f>IF(F263="I",IFERROR(VLOOKUP(C263,'BG 2021'!A:D,4,FALSE),0),0)</f>
        <v>0</v>
      </c>
      <c r="J263" s="40"/>
      <c r="K263" s="47">
        <f>IF(F263="I",SUMIF('BG 2020'!B:B,Clasificaciones!C263,'BG 2020'!D:D),0)</f>
        <v>0</v>
      </c>
      <c r="L263" s="40"/>
      <c r="M263" s="68">
        <f>IF(F263="I",SUMIF('BG 2020'!B:B,Clasificaciones!C263,'BG 2020'!E:E),0)</f>
        <v>0</v>
      </c>
    </row>
    <row r="264" spans="1:13" s="173" customFormat="1" ht="12" customHeight="1">
      <c r="A264" s="168" t="s">
        <v>3</v>
      </c>
      <c r="B264" s="168" t="s">
        <v>88</v>
      </c>
      <c r="C264" s="169">
        <v>113020301</v>
      </c>
      <c r="D264" s="169" t="s">
        <v>811</v>
      </c>
      <c r="E264" s="170" t="s">
        <v>6</v>
      </c>
      <c r="F264" s="170" t="s">
        <v>344</v>
      </c>
      <c r="G264" s="157">
        <f>IF(F264="I",IFERROR(VLOOKUP(C264,'BG 2021'!A:C,3,FALSE),0),0)</f>
        <v>51047566</v>
      </c>
      <c r="H264" s="168" t="s">
        <v>88</v>
      </c>
      <c r="I264" s="172">
        <f>IF(F264="I",IFERROR(VLOOKUP(C264,'BG 2021'!A:D,4,FALSE),0),0)</f>
        <v>7429.6299999999983</v>
      </c>
      <c r="J264" s="171"/>
      <c r="K264" s="157">
        <f>IF(F264="I",SUMIF('BG 2020'!B:B,Clasificaciones!C264,'BG 2020'!D:D),0)</f>
        <v>0</v>
      </c>
      <c r="L264" s="171"/>
      <c r="M264" s="172">
        <f>IF(F264="I",SUMIF('BG 2020'!B:B,Clasificaciones!C264,'BG 2020'!E:E),0)</f>
        <v>0</v>
      </c>
    </row>
    <row r="265" spans="1:13" s="173" customFormat="1" ht="12" customHeight="1">
      <c r="A265" s="168" t="s">
        <v>3</v>
      </c>
      <c r="B265" s="168" t="s">
        <v>88</v>
      </c>
      <c r="C265" s="169">
        <v>113020302</v>
      </c>
      <c r="D265" s="169" t="s">
        <v>1625</v>
      </c>
      <c r="E265" s="170" t="s">
        <v>229</v>
      </c>
      <c r="F265" s="170" t="s">
        <v>344</v>
      </c>
      <c r="G265" s="157">
        <f>IF(F265="I",IFERROR(VLOOKUP(C265,'BG 2021'!A:C,3,FALSE),0),0)</f>
        <v>1448246165</v>
      </c>
      <c r="H265" s="168" t="s">
        <v>88</v>
      </c>
      <c r="I265" s="172">
        <f>IF(F265="I",IFERROR(VLOOKUP(C265,'BG 2021'!A:D,4,FALSE),0),0)</f>
        <v>210782.44999999998</v>
      </c>
      <c r="J265" s="171"/>
      <c r="K265" s="157">
        <f>IF(F265="I",SUMIF('BG 2020'!B:B,Clasificaciones!C265,'BG 2020'!D:D),0)</f>
        <v>0</v>
      </c>
      <c r="L265" s="171"/>
      <c r="M265" s="172">
        <f>IF(F265="I",SUMIF('BG 2020'!B:B,Clasificaciones!C265,'BG 2020'!E:E),0)</f>
        <v>0</v>
      </c>
    </row>
    <row r="266" spans="1:13" s="166" customFormat="1" ht="12" customHeight="1">
      <c r="A266" s="163" t="s">
        <v>3</v>
      </c>
      <c r="B266" s="163"/>
      <c r="C266" s="164">
        <v>1130204</v>
      </c>
      <c r="D266" s="164" t="s">
        <v>1076</v>
      </c>
      <c r="E266" s="165" t="s">
        <v>6</v>
      </c>
      <c r="F266" s="165" t="s">
        <v>344</v>
      </c>
      <c r="G266" s="47">
        <f>IF(F266="I",IFERROR(VLOOKUP(C266,'BG 2021'!A:C,3,FALSE),0),0)</f>
        <v>0</v>
      </c>
      <c r="H266" s="163"/>
      <c r="I266" s="68">
        <f>IF(F266="I",IFERROR(VLOOKUP(C266,'BG 2021'!A:D,4,FALSE),0),0)</f>
        <v>0</v>
      </c>
      <c r="J266" s="40"/>
      <c r="K266" s="47">
        <f>IF(F266="I",SUMIF('BG 2020'!B:B,Clasificaciones!C266,'BG 2020'!D:D),0)</f>
        <v>0</v>
      </c>
      <c r="L266" s="40"/>
      <c r="M266" s="68">
        <f>IF(F266="I",SUMIF('BG 2020'!B:B,Clasificaciones!C266,'BG 2020'!E:E),0)</f>
        <v>0</v>
      </c>
    </row>
    <row r="267" spans="1:13" s="166" customFormat="1" ht="12" customHeight="1">
      <c r="A267" s="163" t="s">
        <v>3</v>
      </c>
      <c r="B267" s="163"/>
      <c r="C267" s="164">
        <v>113020401</v>
      </c>
      <c r="D267" s="164" t="s">
        <v>1077</v>
      </c>
      <c r="E267" s="165" t="s">
        <v>6</v>
      </c>
      <c r="F267" s="165" t="s">
        <v>344</v>
      </c>
      <c r="G267" s="47">
        <f>IF(F267="I",IFERROR(VLOOKUP(C267,'BG 2021'!A:C,3,FALSE),0),0)</f>
        <v>0</v>
      </c>
      <c r="H267" s="163"/>
      <c r="I267" s="68">
        <f>IF(F267="I",IFERROR(VLOOKUP(C267,'BG 2021'!A:D,4,FALSE),0),0)</f>
        <v>0</v>
      </c>
      <c r="J267" s="40"/>
      <c r="K267" s="47">
        <f>IF(F267="I",SUMIF('BG 2020'!B:B,Clasificaciones!C267,'BG 2020'!D:D),0)</f>
        <v>0</v>
      </c>
      <c r="L267" s="40"/>
      <c r="M267" s="68">
        <f>IF(F267="I",SUMIF('BG 2020'!B:B,Clasificaciones!C267,'BG 2020'!E:E),0)</f>
        <v>0</v>
      </c>
    </row>
    <row r="268" spans="1:13" s="166" customFormat="1" ht="12" customHeight="1">
      <c r="A268" s="163" t="s">
        <v>3</v>
      </c>
      <c r="B268" s="163"/>
      <c r="C268" s="164">
        <v>113020402</v>
      </c>
      <c r="D268" s="164" t="s">
        <v>791</v>
      </c>
      <c r="E268" s="165" t="s">
        <v>6</v>
      </c>
      <c r="F268" s="165" t="s">
        <v>344</v>
      </c>
      <c r="G268" s="47">
        <f>IF(F268="I",IFERROR(VLOOKUP(C268,'BG 2021'!A:C,3,FALSE),0),0)</f>
        <v>0</v>
      </c>
      <c r="H268" s="163"/>
      <c r="I268" s="68">
        <f>IF(F268="I",IFERROR(VLOOKUP(C268,'BG 2021'!A:D,4,FALSE),0),0)</f>
        <v>0</v>
      </c>
      <c r="J268" s="40"/>
      <c r="K268" s="47">
        <f>IF(F268="I",SUMIF('BG 2020'!B:B,Clasificaciones!C268,'BG 2020'!D:D),0)</f>
        <v>0</v>
      </c>
      <c r="L268" s="40"/>
      <c r="M268" s="68">
        <f>IF(F268="I",SUMIF('BG 2020'!B:B,Clasificaciones!C268,'BG 2020'!E:E),0)</f>
        <v>0</v>
      </c>
    </row>
    <row r="269" spans="1:13" s="166" customFormat="1" ht="12" customHeight="1">
      <c r="A269" s="163" t="s">
        <v>3</v>
      </c>
      <c r="B269" s="163"/>
      <c r="C269" s="164">
        <v>11303</v>
      </c>
      <c r="D269" s="164" t="s">
        <v>813</v>
      </c>
      <c r="E269" s="165" t="s">
        <v>6</v>
      </c>
      <c r="F269" s="165" t="s">
        <v>343</v>
      </c>
      <c r="G269" s="47">
        <f>IF(F269="I",IFERROR(VLOOKUP(C269,'BG 2021'!A:C,3,FALSE),0),0)</f>
        <v>0</v>
      </c>
      <c r="H269" s="163"/>
      <c r="I269" s="68">
        <f>IF(F269="I",IFERROR(VLOOKUP(C269,'BG 2021'!A:D,4,FALSE),0),0)</f>
        <v>0</v>
      </c>
      <c r="J269" s="40"/>
      <c r="K269" s="47">
        <f>IF(F269="I",SUMIF('BG 2020'!B:B,Clasificaciones!C269,'BG 2020'!D:D),0)</f>
        <v>0</v>
      </c>
      <c r="L269" s="40"/>
      <c r="M269" s="68">
        <f>IF(F269="I",SUMIF('BG 2020'!B:B,Clasificaciones!C269,'BG 2020'!E:E),0)</f>
        <v>0</v>
      </c>
    </row>
    <row r="270" spans="1:13" s="166" customFormat="1" ht="12" customHeight="1">
      <c r="A270" s="163" t="s">
        <v>3</v>
      </c>
      <c r="B270" s="163"/>
      <c r="C270" s="164">
        <v>1130301</v>
      </c>
      <c r="D270" s="164" t="s">
        <v>814</v>
      </c>
      <c r="E270" s="165" t="s">
        <v>6</v>
      </c>
      <c r="F270" s="165" t="s">
        <v>343</v>
      </c>
      <c r="G270" s="47">
        <f>IF(F270="I",IFERROR(VLOOKUP(C270,'BG 2021'!A:C,3,FALSE),0),0)</f>
        <v>0</v>
      </c>
      <c r="H270" s="163"/>
      <c r="I270" s="68">
        <f>IF(F270="I",IFERROR(VLOOKUP(C270,'BG 2021'!A:D,4,FALSE),0),0)</f>
        <v>0</v>
      </c>
      <c r="J270" s="40"/>
      <c r="K270" s="47">
        <f>IF(F270="I",SUMIF('BG 2020'!B:B,Clasificaciones!C270,'BG 2020'!D:D),0)</f>
        <v>0</v>
      </c>
      <c r="L270" s="40"/>
      <c r="M270" s="68">
        <f>IF(F270="I",SUMIF('BG 2020'!B:B,Clasificaciones!C270,'BG 2020'!E:E),0)</f>
        <v>0</v>
      </c>
    </row>
    <row r="271" spans="1:13" s="166" customFormat="1" ht="12" customHeight="1">
      <c r="A271" s="163" t="s">
        <v>3</v>
      </c>
      <c r="B271" s="163" t="s">
        <v>19</v>
      </c>
      <c r="C271" s="164">
        <v>113030101</v>
      </c>
      <c r="D271" s="164" t="s">
        <v>814</v>
      </c>
      <c r="E271" s="165" t="s">
        <v>6</v>
      </c>
      <c r="F271" s="165" t="s">
        <v>344</v>
      </c>
      <c r="G271" s="47">
        <f>IF(F271="I",IFERROR(VLOOKUP(C271,'BG 2021'!A:C,3,FALSE),0),0)</f>
        <v>0</v>
      </c>
      <c r="H271" s="163" t="s">
        <v>19</v>
      </c>
      <c r="I271" s="68">
        <f>IF(F271="I",IFERROR(VLOOKUP(C271,'BG 2021'!A:D,4,FALSE),0),0)</f>
        <v>0</v>
      </c>
      <c r="J271" s="40"/>
      <c r="K271" s="47">
        <f>IF(F271="I",SUMIF('BG 2020'!B:B,Clasificaciones!C271,'BG 2020'!D:D),0)</f>
        <v>0</v>
      </c>
      <c r="L271" s="40"/>
      <c r="M271" s="68">
        <f>IF(F271="I",SUMIF('BG 2020'!B:B,Clasificaciones!C271,'BG 2020'!E:E),0)</f>
        <v>0</v>
      </c>
    </row>
    <row r="272" spans="1:13" s="173" customFormat="1" ht="12" customHeight="1">
      <c r="A272" s="168" t="s">
        <v>3</v>
      </c>
      <c r="B272" s="168" t="s">
        <v>19</v>
      </c>
      <c r="C272" s="169">
        <v>113030102</v>
      </c>
      <c r="D272" s="169" t="s">
        <v>814</v>
      </c>
      <c r="E272" s="170" t="s">
        <v>229</v>
      </c>
      <c r="F272" s="170" t="s">
        <v>344</v>
      </c>
      <c r="G272" s="157">
        <f>IF(F272="I",IFERROR(VLOOKUP(C272,'BG 2021'!A:C,3,FALSE),0),0)</f>
        <v>2</v>
      </c>
      <c r="H272" s="168" t="s">
        <v>19</v>
      </c>
      <c r="I272" s="172">
        <f>IF(F272="I",IFERROR(VLOOKUP(C272,'BG 2021'!A:D,4,FALSE),0),0)</f>
        <v>0</v>
      </c>
      <c r="J272" s="171"/>
      <c r="K272" s="157">
        <f>IF(F272="I",SUMIF('BG 2020'!B:B,Clasificaciones!C272,'BG 2020'!D:D),0)</f>
        <v>0</v>
      </c>
      <c r="L272" s="171"/>
      <c r="M272" s="172">
        <f>IF(F272="I",SUMIF('BG 2020'!B:B,Clasificaciones!C272,'BG 2020'!E:E),0)</f>
        <v>0</v>
      </c>
    </row>
    <row r="273" spans="1:13" s="166" customFormat="1" ht="12" customHeight="1">
      <c r="A273" s="163" t="s">
        <v>3</v>
      </c>
      <c r="B273" s="163" t="s">
        <v>19</v>
      </c>
      <c r="C273" s="164">
        <v>113030103</v>
      </c>
      <c r="D273" s="164" t="s">
        <v>815</v>
      </c>
      <c r="E273" s="165" t="s">
        <v>229</v>
      </c>
      <c r="F273" s="165" t="s">
        <v>344</v>
      </c>
      <c r="G273" s="47">
        <f>IF(F273="I",IFERROR(VLOOKUP(C273,'BG 2021'!A:C,3,FALSE),0),0)</f>
        <v>0</v>
      </c>
      <c r="H273" s="163" t="s">
        <v>19</v>
      </c>
      <c r="I273" s="68">
        <f>IF(F273="I",IFERROR(VLOOKUP(C273,'BG 2021'!A:D,4,FALSE),0),0)</f>
        <v>0</v>
      </c>
      <c r="J273" s="40"/>
      <c r="K273" s="47">
        <f>IF(F273="I",SUMIF('BG 2020'!B:B,Clasificaciones!C273,'BG 2020'!D:D),0)</f>
        <v>0</v>
      </c>
      <c r="L273" s="40"/>
      <c r="M273" s="68">
        <f>IF(F273="I",SUMIF('BG 2020'!B:B,Clasificaciones!C273,'BG 2020'!E:E),0)</f>
        <v>0</v>
      </c>
    </row>
    <row r="274" spans="1:13" s="166" customFormat="1" ht="12" customHeight="1">
      <c r="A274" s="163" t="s">
        <v>3</v>
      </c>
      <c r="B274" s="163"/>
      <c r="C274" s="164">
        <v>1130302</v>
      </c>
      <c r="D274" s="164" t="s">
        <v>1078</v>
      </c>
      <c r="E274" s="165" t="s">
        <v>6</v>
      </c>
      <c r="F274" s="165" t="s">
        <v>343</v>
      </c>
      <c r="G274" s="47">
        <f>IF(F274="I",IFERROR(VLOOKUP(C274,'BG 2021'!A:C,3,FALSE),0),0)</f>
        <v>0</v>
      </c>
      <c r="H274" s="163"/>
      <c r="I274" s="68">
        <f>IF(F274="I",IFERROR(VLOOKUP(C274,'BG 2021'!A:D,4,FALSE),0),0)</f>
        <v>0</v>
      </c>
      <c r="J274" s="40"/>
      <c r="K274" s="47">
        <f>IF(F274="I",SUMIF('BG 2020'!B:B,Clasificaciones!C274,'BG 2020'!D:D),0)</f>
        <v>0</v>
      </c>
      <c r="L274" s="40"/>
      <c r="M274" s="68">
        <f>IF(F274="I",SUMIF('BG 2020'!B:B,Clasificaciones!C274,'BG 2020'!E:E),0)</f>
        <v>0</v>
      </c>
    </row>
    <row r="275" spans="1:13" s="166" customFormat="1" ht="12" customHeight="1">
      <c r="A275" s="163" t="s">
        <v>3</v>
      </c>
      <c r="B275" s="163"/>
      <c r="C275" s="164">
        <v>113030201</v>
      </c>
      <c r="D275" s="164" t="s">
        <v>1079</v>
      </c>
      <c r="E275" s="165" t="s">
        <v>6</v>
      </c>
      <c r="F275" s="165" t="s">
        <v>344</v>
      </c>
      <c r="G275" s="47">
        <f>IF(F275="I",IFERROR(VLOOKUP(C275,'BG 2021'!A:C,3,FALSE),0),0)</f>
        <v>0</v>
      </c>
      <c r="H275" s="163"/>
      <c r="I275" s="68">
        <f>IF(F275="I",IFERROR(VLOOKUP(C275,'BG 2021'!A:D,4,FALSE),0),0)</f>
        <v>0</v>
      </c>
      <c r="J275" s="40"/>
      <c r="K275" s="47">
        <f>IF(F275="I",SUMIF('BG 2020'!B:B,Clasificaciones!C275,'BG 2020'!D:D),0)</f>
        <v>0</v>
      </c>
      <c r="L275" s="40"/>
      <c r="M275" s="68">
        <f>IF(F275="I",SUMIF('BG 2020'!B:B,Clasificaciones!C275,'BG 2020'!E:E),0)</f>
        <v>0</v>
      </c>
    </row>
    <row r="276" spans="1:13" s="166" customFormat="1" ht="12" customHeight="1">
      <c r="A276" s="163" t="s">
        <v>3</v>
      </c>
      <c r="B276" s="163"/>
      <c r="C276" s="164">
        <v>1130303</v>
      </c>
      <c r="D276" s="164" t="s">
        <v>160</v>
      </c>
      <c r="E276" s="165" t="s">
        <v>6</v>
      </c>
      <c r="F276" s="165" t="s">
        <v>343</v>
      </c>
      <c r="G276" s="47">
        <f>IF(F276="I",IFERROR(VLOOKUP(C276,'BG 2021'!A:C,3,FALSE),0),0)</f>
        <v>0</v>
      </c>
      <c r="H276" s="163"/>
      <c r="I276" s="68">
        <f>IF(F276="I",IFERROR(VLOOKUP(C276,'BG 2021'!A:D,4,FALSE),0),0)</f>
        <v>0</v>
      </c>
      <c r="J276" s="40"/>
      <c r="K276" s="47">
        <f>IF(F276="I",SUMIF('BG 2020'!B:B,Clasificaciones!C276,'BG 2020'!D:D),0)</f>
        <v>0</v>
      </c>
      <c r="L276" s="40"/>
      <c r="M276" s="68">
        <f>IF(F276="I",SUMIF('BG 2020'!B:B,Clasificaciones!C276,'BG 2020'!E:E),0)</f>
        <v>0</v>
      </c>
    </row>
    <row r="277" spans="1:13" s="166" customFormat="1" ht="12" customHeight="1">
      <c r="A277" s="163" t="s">
        <v>3</v>
      </c>
      <c r="B277" s="163"/>
      <c r="C277" s="164">
        <v>113030301</v>
      </c>
      <c r="D277" s="164" t="s">
        <v>1080</v>
      </c>
      <c r="E277" s="165" t="s">
        <v>6</v>
      </c>
      <c r="F277" s="165" t="s">
        <v>344</v>
      </c>
      <c r="G277" s="47">
        <f>IF(F277="I",IFERROR(VLOOKUP(C277,'BG 2021'!A:C,3,FALSE),0),0)</f>
        <v>0</v>
      </c>
      <c r="H277" s="163"/>
      <c r="I277" s="68">
        <f>IF(F277="I",IFERROR(VLOOKUP(C277,'BG 2021'!A:D,4,FALSE),0),0)</f>
        <v>0</v>
      </c>
      <c r="J277" s="40"/>
      <c r="K277" s="47">
        <f>IF(F277="I",SUMIF('BG 2020'!B:B,Clasificaciones!C277,'BG 2020'!D:D),0)</f>
        <v>0</v>
      </c>
      <c r="L277" s="40"/>
      <c r="M277" s="68">
        <f>IF(F277="I",SUMIF('BG 2020'!B:B,Clasificaciones!C277,'BG 2020'!E:E),0)</f>
        <v>0</v>
      </c>
    </row>
    <row r="278" spans="1:13" s="166" customFormat="1" ht="12" customHeight="1">
      <c r="A278" s="163" t="s">
        <v>3</v>
      </c>
      <c r="B278" s="163"/>
      <c r="C278" s="164">
        <v>113030302</v>
      </c>
      <c r="D278" s="164" t="s">
        <v>1081</v>
      </c>
      <c r="E278" s="165" t="s">
        <v>6</v>
      </c>
      <c r="F278" s="165" t="s">
        <v>344</v>
      </c>
      <c r="G278" s="47">
        <f>IF(F278="I",IFERROR(VLOOKUP(C278,'BG 2021'!A:C,3,FALSE),0),0)</f>
        <v>0</v>
      </c>
      <c r="H278" s="163"/>
      <c r="I278" s="68">
        <f>IF(F278="I",IFERROR(VLOOKUP(C278,'BG 2021'!A:D,4,FALSE),0),0)</f>
        <v>0</v>
      </c>
      <c r="J278" s="40"/>
      <c r="K278" s="47">
        <f>IF(F278="I",SUMIF('BG 2020'!B:B,Clasificaciones!C278,'BG 2020'!D:D),0)</f>
        <v>0</v>
      </c>
      <c r="L278" s="40"/>
      <c r="M278" s="68">
        <f>IF(F278="I",SUMIF('BG 2020'!B:B,Clasificaciones!C278,'BG 2020'!E:E),0)</f>
        <v>0</v>
      </c>
    </row>
    <row r="279" spans="1:13" s="166" customFormat="1" ht="12" customHeight="1">
      <c r="A279" s="163" t="s">
        <v>3</v>
      </c>
      <c r="B279" s="163"/>
      <c r="C279" s="164">
        <v>1130304</v>
      </c>
      <c r="D279" s="164" t="s">
        <v>1082</v>
      </c>
      <c r="E279" s="165" t="s">
        <v>6</v>
      </c>
      <c r="F279" s="165" t="s">
        <v>343</v>
      </c>
      <c r="G279" s="47">
        <f>IF(F279="I",IFERROR(VLOOKUP(C279,'BG 2021'!A:C,3,FALSE),0),0)</f>
        <v>0</v>
      </c>
      <c r="H279" s="163"/>
      <c r="I279" s="68">
        <f>IF(F279="I",IFERROR(VLOOKUP(C279,'BG 2021'!A:D,4,FALSE),0),0)</f>
        <v>0</v>
      </c>
      <c r="J279" s="40"/>
      <c r="K279" s="47">
        <f>IF(F279="I",SUMIF('BG 2020'!B:B,Clasificaciones!C279,'BG 2020'!D:D),0)</f>
        <v>0</v>
      </c>
      <c r="L279" s="40"/>
      <c r="M279" s="68">
        <f>IF(F279="I",SUMIF('BG 2020'!B:B,Clasificaciones!C279,'BG 2020'!E:E),0)</f>
        <v>0</v>
      </c>
    </row>
    <row r="280" spans="1:13" s="166" customFormat="1" ht="12" customHeight="1">
      <c r="A280" s="163" t="s">
        <v>3</v>
      </c>
      <c r="B280" s="163"/>
      <c r="C280" s="164">
        <v>11308</v>
      </c>
      <c r="D280" s="164" t="s">
        <v>816</v>
      </c>
      <c r="E280" s="165" t="s">
        <v>6</v>
      </c>
      <c r="F280" s="165" t="s">
        <v>343</v>
      </c>
      <c r="G280" s="47">
        <f>IF(F280="I",IFERROR(VLOOKUP(C280,'BG 2021'!A:C,3,FALSE),0),0)</f>
        <v>0</v>
      </c>
      <c r="H280" s="163"/>
      <c r="I280" s="68">
        <f>IF(F280="I",IFERROR(VLOOKUP(C280,'BG 2021'!A:D,4,FALSE),0),0)</f>
        <v>0</v>
      </c>
      <c r="J280" s="40"/>
      <c r="K280" s="47">
        <f>IF(F280="I",SUMIF('BG 2020'!B:B,Clasificaciones!C280,'BG 2020'!D:D),0)</f>
        <v>0</v>
      </c>
      <c r="L280" s="40"/>
      <c r="M280" s="68">
        <f>IF(F280="I",SUMIF('BG 2020'!B:B,Clasificaciones!C280,'BG 2020'!E:E),0)</f>
        <v>0</v>
      </c>
    </row>
    <row r="281" spans="1:13" s="173" customFormat="1" ht="12" customHeight="1">
      <c r="A281" s="168" t="s">
        <v>3</v>
      </c>
      <c r="B281" s="168" t="s">
        <v>723</v>
      </c>
      <c r="C281" s="169">
        <v>1130801</v>
      </c>
      <c r="D281" s="169" t="s">
        <v>817</v>
      </c>
      <c r="E281" s="170" t="s">
        <v>6</v>
      </c>
      <c r="F281" s="170" t="s">
        <v>344</v>
      </c>
      <c r="G281" s="157">
        <f>IF(F281="I",IFERROR(VLOOKUP(C281,'BG 2021'!A:C,3,FALSE),0),0)</f>
        <v>263473908</v>
      </c>
      <c r="H281" s="168" t="s">
        <v>723</v>
      </c>
      <c r="I281" s="172">
        <f>IF(F281="I",IFERROR(VLOOKUP(C281,'BG 2021'!A:D,4,FALSE),0),0)</f>
        <v>38346.850000000006</v>
      </c>
      <c r="J281" s="171"/>
      <c r="K281" s="157">
        <f>IF(F281="I",SUMIF('BG 2020'!B:B,Clasificaciones!C281,'BG 2020'!D:D),0)</f>
        <v>96802560</v>
      </c>
      <c r="L281" s="171"/>
      <c r="M281" s="172">
        <f>IF(F281="I",SUMIF('BG 2020'!B:B,Clasificaciones!C281,'BG 2020'!E:E),0)</f>
        <v>14045.72</v>
      </c>
    </row>
    <row r="282" spans="1:13" s="166" customFormat="1" ht="12" customHeight="1">
      <c r="A282" s="163" t="s">
        <v>3</v>
      </c>
      <c r="B282" s="163"/>
      <c r="C282" s="164">
        <v>1130802</v>
      </c>
      <c r="D282" s="164" t="s">
        <v>864</v>
      </c>
      <c r="E282" s="165" t="s">
        <v>6</v>
      </c>
      <c r="F282" s="165" t="s">
        <v>343</v>
      </c>
      <c r="G282" s="47">
        <f>IF(F282="I",IFERROR(VLOOKUP(C282,'BG 2021'!A:C,3,FALSE),0),0)</f>
        <v>0</v>
      </c>
      <c r="H282" s="163"/>
      <c r="I282" s="68">
        <f>IF(F282="I",IFERROR(VLOOKUP(C282,'BG 2021'!A:D,4,FALSE),0),0)</f>
        <v>0</v>
      </c>
      <c r="J282" s="40"/>
      <c r="K282" s="47">
        <f>IF(F282="I",SUMIF('BG 2020'!B:B,Clasificaciones!C282,'BG 2020'!D:D),0)</f>
        <v>0</v>
      </c>
      <c r="L282" s="40"/>
      <c r="M282" s="68">
        <f>IF(F282="I",SUMIF('BG 2020'!B:B,Clasificaciones!C282,'BG 2020'!E:E),0)</f>
        <v>0</v>
      </c>
    </row>
    <row r="283" spans="1:13" s="166" customFormat="1" ht="12" customHeight="1">
      <c r="A283" s="163" t="s">
        <v>3</v>
      </c>
      <c r="B283" s="163" t="s">
        <v>723</v>
      </c>
      <c r="C283" s="164">
        <v>113080201</v>
      </c>
      <c r="D283" s="164" t="s">
        <v>1083</v>
      </c>
      <c r="E283" s="165" t="s">
        <v>6</v>
      </c>
      <c r="F283" s="165" t="s">
        <v>344</v>
      </c>
      <c r="G283" s="47">
        <f>IF(F283="I",IFERROR(VLOOKUP(C283,'BG 2021'!A:C,3,FALSE),0),0)</f>
        <v>0</v>
      </c>
      <c r="H283" s="163" t="s">
        <v>723</v>
      </c>
      <c r="I283" s="68">
        <f>IF(F283="I",IFERROR(VLOOKUP(C283,'BG 2021'!A:D,4,FALSE),0),0)</f>
        <v>0</v>
      </c>
      <c r="J283" s="40"/>
      <c r="K283" s="47">
        <f>IF(F283="I",SUMIF('BG 2020'!B:B,Clasificaciones!C283,'BG 2020'!D:D),0)</f>
        <v>0</v>
      </c>
      <c r="L283" s="40"/>
      <c r="M283" s="68">
        <f>IF(F283="I",SUMIF('BG 2020'!B:B,Clasificaciones!C283,'BG 2020'!E:E),0)</f>
        <v>0</v>
      </c>
    </row>
    <row r="284" spans="1:13" s="166" customFormat="1" ht="12" customHeight="1">
      <c r="A284" s="163" t="s">
        <v>3</v>
      </c>
      <c r="B284" s="163"/>
      <c r="C284" s="164">
        <v>113080202</v>
      </c>
      <c r="D284" s="164" t="s">
        <v>1084</v>
      </c>
      <c r="E284" s="165" t="s">
        <v>6</v>
      </c>
      <c r="F284" s="165" t="s">
        <v>344</v>
      </c>
      <c r="G284" s="47">
        <f>IF(F284="I",IFERROR(VLOOKUP(C284,'BG 2021'!A:C,3,FALSE),0),0)</f>
        <v>0</v>
      </c>
      <c r="H284" s="163"/>
      <c r="I284" s="68">
        <f>IF(F284="I",IFERROR(VLOOKUP(C284,'BG 2021'!A:D,4,FALSE),0),0)</f>
        <v>0</v>
      </c>
      <c r="J284" s="40"/>
      <c r="K284" s="47">
        <f>IF(F284="I",SUMIF('BG 2020'!B:B,Clasificaciones!C284,'BG 2020'!D:D),0)</f>
        <v>0</v>
      </c>
      <c r="L284" s="40"/>
      <c r="M284" s="68">
        <f>IF(F284="I",SUMIF('BG 2020'!B:B,Clasificaciones!C284,'BG 2020'!E:E),0)</f>
        <v>0</v>
      </c>
    </row>
    <row r="285" spans="1:13" s="166" customFormat="1" ht="12" customHeight="1">
      <c r="A285" s="163" t="s">
        <v>3</v>
      </c>
      <c r="B285" s="163" t="s">
        <v>723</v>
      </c>
      <c r="C285" s="164">
        <v>1130803</v>
      </c>
      <c r="D285" s="164" t="s">
        <v>1085</v>
      </c>
      <c r="E285" s="165" t="s">
        <v>6</v>
      </c>
      <c r="F285" s="165" t="s">
        <v>344</v>
      </c>
      <c r="G285" s="47">
        <f>IF(F285="I",IFERROR(VLOOKUP(C285,'BG 2021'!A:C,3,FALSE),0),0)</f>
        <v>0</v>
      </c>
      <c r="H285" s="163" t="s">
        <v>723</v>
      </c>
      <c r="I285" s="68">
        <f>IF(F285="I",IFERROR(VLOOKUP(C285,'BG 2021'!A:D,4,FALSE),0),0)</f>
        <v>0</v>
      </c>
      <c r="J285" s="40"/>
      <c r="K285" s="47">
        <f>IF(F285="I",SUMIF('BG 2020'!B:B,Clasificaciones!C285,'BG 2020'!D:D),0)</f>
        <v>15626149</v>
      </c>
      <c r="L285" s="40"/>
      <c r="M285" s="68">
        <f>IF(F285="I",SUMIF('BG 2020'!B:B,Clasificaciones!C285,'BG 2020'!E:E),0)</f>
        <v>2267.31</v>
      </c>
    </row>
    <row r="286" spans="1:13" s="166" customFormat="1" ht="12" customHeight="1">
      <c r="A286" s="163" t="s">
        <v>3</v>
      </c>
      <c r="B286" s="163" t="s">
        <v>723</v>
      </c>
      <c r="C286" s="164">
        <v>1130804</v>
      </c>
      <c r="D286" s="164" t="s">
        <v>704</v>
      </c>
      <c r="E286" s="165" t="s">
        <v>6</v>
      </c>
      <c r="F286" s="165" t="s">
        <v>344</v>
      </c>
      <c r="G286" s="47">
        <f>IF(F286="I",IFERROR(VLOOKUP(C286,'BG 2021'!A:C,3,FALSE),0),0)</f>
        <v>0</v>
      </c>
      <c r="H286" s="163" t="s">
        <v>723</v>
      </c>
      <c r="I286" s="68">
        <f>IF(F286="I",IFERROR(VLOOKUP(C286,'BG 2021'!A:D,4,FALSE),0),0)</f>
        <v>0</v>
      </c>
      <c r="J286" s="40"/>
      <c r="K286" s="47">
        <f>IF(F286="I",SUMIF('BG 2020'!B:B,Clasificaciones!C286,'BG 2020'!D:D),0)</f>
        <v>17653690</v>
      </c>
      <c r="L286" s="40"/>
      <c r="M286" s="68">
        <f>IF(F286="I",SUMIF('BG 2020'!B:B,Clasificaciones!C286,'BG 2020'!E:E),0)</f>
        <v>2561.4899999999998</v>
      </c>
    </row>
    <row r="287" spans="1:13" s="173" customFormat="1" ht="12" customHeight="1">
      <c r="A287" s="168" t="s">
        <v>3</v>
      </c>
      <c r="B287" s="168" t="s">
        <v>723</v>
      </c>
      <c r="C287" s="169">
        <v>1130805</v>
      </c>
      <c r="D287" s="169" t="s">
        <v>818</v>
      </c>
      <c r="E287" s="170" t="s">
        <v>6</v>
      </c>
      <c r="F287" s="170" t="s">
        <v>344</v>
      </c>
      <c r="G287" s="157">
        <f>IF(F287="I",IFERROR(VLOOKUP(C287,'BG 2021'!A:C,3,FALSE),0),0)</f>
        <v>129477</v>
      </c>
      <c r="H287" s="168" t="s">
        <v>723</v>
      </c>
      <c r="I287" s="172">
        <f>IF(F287="I",IFERROR(VLOOKUP(C287,'BG 2021'!A:D,4,FALSE),0),0)</f>
        <v>18.840000000000003</v>
      </c>
      <c r="J287" s="171"/>
      <c r="K287" s="157">
        <f>IF(F287="I",SUMIF('BG 2020'!B:B,Clasificaciones!C287,'BG 2020'!D:D),0)</f>
        <v>0</v>
      </c>
      <c r="L287" s="171"/>
      <c r="M287" s="172">
        <f>IF(F287="I",SUMIF('BG 2020'!B:B,Clasificaciones!C287,'BG 2020'!E:E),0)</f>
        <v>0</v>
      </c>
    </row>
    <row r="288" spans="1:13" s="166" customFormat="1" ht="12" customHeight="1">
      <c r="A288" s="163" t="s">
        <v>3</v>
      </c>
      <c r="B288" s="163"/>
      <c r="C288" s="164">
        <v>1130806</v>
      </c>
      <c r="D288" s="164" t="s">
        <v>1086</v>
      </c>
      <c r="E288" s="165" t="s">
        <v>6</v>
      </c>
      <c r="F288" s="165" t="s">
        <v>344</v>
      </c>
      <c r="G288" s="47">
        <f>IF(F288="I",IFERROR(VLOOKUP(C288,'BG 2021'!A:C,3,FALSE),0),0)</f>
        <v>0</v>
      </c>
      <c r="H288" s="163"/>
      <c r="I288" s="68">
        <f>IF(F288="I",IFERROR(VLOOKUP(C288,'BG 2021'!A:D,4,FALSE),0),0)</f>
        <v>0</v>
      </c>
      <c r="J288" s="40"/>
      <c r="K288" s="47">
        <f>IF(F288="I",SUMIF('BG 2020'!B:B,Clasificaciones!C288,'BG 2020'!D:D),0)</f>
        <v>0</v>
      </c>
      <c r="L288" s="40"/>
      <c r="M288" s="68">
        <f>IF(F288="I",SUMIF('BG 2020'!B:B,Clasificaciones!C288,'BG 2020'!E:E),0)</f>
        <v>0</v>
      </c>
    </row>
    <row r="289" spans="1:13" s="166" customFormat="1" ht="12" customHeight="1">
      <c r="A289" s="163" t="s">
        <v>3</v>
      </c>
      <c r="B289" s="163"/>
      <c r="C289" s="164">
        <v>11309</v>
      </c>
      <c r="D289" s="164" t="s">
        <v>819</v>
      </c>
      <c r="E289" s="165" t="s">
        <v>6</v>
      </c>
      <c r="F289" s="165" t="s">
        <v>343</v>
      </c>
      <c r="G289" s="47">
        <f>IF(F289="I",IFERROR(VLOOKUP(C289,'BG 2021'!A:C,3,FALSE),0),0)</f>
        <v>0</v>
      </c>
      <c r="H289" s="163"/>
      <c r="I289" s="68">
        <f>IF(F289="I",IFERROR(VLOOKUP(C289,'BG 2021'!A:D,4,FALSE),0),0)</f>
        <v>0</v>
      </c>
      <c r="J289" s="40"/>
      <c r="K289" s="47">
        <f>IF(F289="I",SUMIF('BG 2020'!B:B,Clasificaciones!C289,'BG 2020'!D:D),0)</f>
        <v>0</v>
      </c>
      <c r="L289" s="40"/>
      <c r="M289" s="68">
        <f>IF(F289="I",SUMIF('BG 2020'!B:B,Clasificaciones!C289,'BG 2020'!E:E),0)</f>
        <v>0</v>
      </c>
    </row>
    <row r="290" spans="1:13" s="166" customFormat="1" ht="12" customHeight="1">
      <c r="A290" s="163" t="s">
        <v>3</v>
      </c>
      <c r="B290" s="163"/>
      <c r="C290" s="164">
        <v>1130901</v>
      </c>
      <c r="D290" s="164" t="s">
        <v>1087</v>
      </c>
      <c r="E290" s="165" t="s">
        <v>6</v>
      </c>
      <c r="F290" s="165" t="s">
        <v>343</v>
      </c>
      <c r="G290" s="47">
        <f>IF(F290="I",IFERROR(VLOOKUP(C290,'BG 2021'!A:C,3,FALSE),0),0)</f>
        <v>0</v>
      </c>
      <c r="H290" s="163"/>
      <c r="I290" s="68">
        <f>IF(F290="I",IFERROR(VLOOKUP(C290,'BG 2021'!A:D,4,FALSE),0),0)</f>
        <v>0</v>
      </c>
      <c r="J290" s="40"/>
      <c r="K290" s="47">
        <f>IF(F290="I",SUMIF('BG 2020'!B:B,Clasificaciones!C290,'BG 2020'!D:D),0)</f>
        <v>0</v>
      </c>
      <c r="L290" s="40"/>
      <c r="M290" s="68">
        <f>IF(F290="I",SUMIF('BG 2020'!B:B,Clasificaciones!C290,'BG 2020'!E:E),0)</f>
        <v>0</v>
      </c>
    </row>
    <row r="291" spans="1:13" s="166" customFormat="1" ht="12" customHeight="1">
      <c r="A291" s="163" t="s">
        <v>3</v>
      </c>
      <c r="B291" s="163" t="s">
        <v>723</v>
      </c>
      <c r="C291" s="164">
        <v>113090101</v>
      </c>
      <c r="D291" s="164" t="s">
        <v>338</v>
      </c>
      <c r="E291" s="165" t="s">
        <v>6</v>
      </c>
      <c r="F291" s="165" t="s">
        <v>344</v>
      </c>
      <c r="G291" s="47">
        <f>IF(F291="I",IFERROR(VLOOKUP(C291,'BG 2021'!A:C,3,FALSE),0),0)</f>
        <v>0</v>
      </c>
      <c r="H291" s="163" t="s">
        <v>723</v>
      </c>
      <c r="I291" s="68">
        <f>IF(F291="I",IFERROR(VLOOKUP(C291,'BG 2021'!A:D,4,FALSE),0),0)</f>
        <v>0</v>
      </c>
      <c r="J291" s="40"/>
      <c r="K291" s="47">
        <f>IF(F291="I",SUMIF('BG 2020'!B:B,Clasificaciones!C291,'BG 2020'!D:D),0)</f>
        <v>0</v>
      </c>
      <c r="L291" s="40"/>
      <c r="M291" s="68">
        <f>IF(F291="I",SUMIF('BG 2020'!B:B,Clasificaciones!C291,'BG 2020'!E:E),0)</f>
        <v>0</v>
      </c>
    </row>
    <row r="292" spans="1:13" s="166" customFormat="1" ht="12" customHeight="1">
      <c r="A292" s="163" t="s">
        <v>3</v>
      </c>
      <c r="B292" s="163" t="s">
        <v>723</v>
      </c>
      <c r="C292" s="164">
        <v>113090102</v>
      </c>
      <c r="D292" s="164" t="s">
        <v>1088</v>
      </c>
      <c r="E292" s="165" t="s">
        <v>229</v>
      </c>
      <c r="F292" s="165" t="s">
        <v>344</v>
      </c>
      <c r="G292" s="47">
        <f>IF(F292="I",IFERROR(VLOOKUP(C292,'BG 2021'!A:C,3,FALSE),0),0)</f>
        <v>0</v>
      </c>
      <c r="H292" s="163" t="s">
        <v>723</v>
      </c>
      <c r="I292" s="68">
        <f>IF(F292="I",IFERROR(VLOOKUP(C292,'BG 2021'!A:D,4,FALSE),0),0)</f>
        <v>0</v>
      </c>
      <c r="J292" s="40"/>
      <c r="K292" s="47">
        <f>IF(F292="I",SUMIF('BG 2020'!B:B,Clasificaciones!C292,'BG 2020'!D:D),0)</f>
        <v>0</v>
      </c>
      <c r="L292" s="40"/>
      <c r="M292" s="68">
        <f>IF(F292="I",SUMIF('BG 2020'!B:B,Clasificaciones!C292,'BG 2020'!E:E),0)</f>
        <v>0</v>
      </c>
    </row>
    <row r="293" spans="1:13" s="166" customFormat="1" ht="12" customHeight="1">
      <c r="A293" s="163" t="s">
        <v>3</v>
      </c>
      <c r="B293" s="163"/>
      <c r="C293" s="164">
        <v>1130902</v>
      </c>
      <c r="D293" s="164" t="s">
        <v>820</v>
      </c>
      <c r="E293" s="165" t="s">
        <v>6</v>
      </c>
      <c r="F293" s="165" t="s">
        <v>343</v>
      </c>
      <c r="G293" s="47">
        <f>IF(F293="I",IFERROR(VLOOKUP(C293,'BG 2021'!A:C,3,FALSE),0),0)</f>
        <v>0</v>
      </c>
      <c r="H293" s="163"/>
      <c r="I293" s="68">
        <f>IF(F293="I",IFERROR(VLOOKUP(C293,'BG 2021'!A:D,4,FALSE),0),0)</f>
        <v>0</v>
      </c>
      <c r="J293" s="40"/>
      <c r="K293" s="47">
        <f>IF(F293="I",SUMIF('BG 2020'!B:B,Clasificaciones!C293,'BG 2020'!D:D),0)</f>
        <v>0</v>
      </c>
      <c r="L293" s="40"/>
      <c r="M293" s="68">
        <f>IF(F293="I",SUMIF('BG 2020'!B:B,Clasificaciones!C293,'BG 2020'!E:E),0)</f>
        <v>0</v>
      </c>
    </row>
    <row r="294" spans="1:13" s="173" customFormat="1" ht="12" customHeight="1">
      <c r="A294" s="168" t="s">
        <v>3</v>
      </c>
      <c r="B294" s="168" t="s">
        <v>19</v>
      </c>
      <c r="C294" s="169">
        <v>113090201</v>
      </c>
      <c r="D294" s="169" t="s">
        <v>821</v>
      </c>
      <c r="E294" s="170" t="s">
        <v>6</v>
      </c>
      <c r="F294" s="170" t="s">
        <v>344</v>
      </c>
      <c r="G294" s="157">
        <f>IF(F294="I",IFERROR(VLOOKUP(C294,'BG 2021'!A:C,3,FALSE),0),0)</f>
        <v>2276738</v>
      </c>
      <c r="H294" s="168" t="s">
        <v>19</v>
      </c>
      <c r="I294" s="172">
        <f>IF(F294="I",IFERROR(VLOOKUP(C294,'BG 2021'!A:D,4,FALSE),0),0)</f>
        <v>334.83000000000004</v>
      </c>
      <c r="J294" s="171"/>
      <c r="K294" s="157">
        <f>IF(F294="I",SUMIF('BG 2020'!B:B,Clasificaciones!C294,'BG 2020'!D:D),0)</f>
        <v>6370138</v>
      </c>
      <c r="L294" s="171"/>
      <c r="M294" s="172">
        <f>IF(F294="I",SUMIF('BG 2020'!B:B,Clasificaciones!C294,'BG 2020'!E:E),0)</f>
        <v>924.29</v>
      </c>
    </row>
    <row r="295" spans="1:13" s="166" customFormat="1" ht="12" customHeight="1">
      <c r="A295" s="163" t="s">
        <v>3</v>
      </c>
      <c r="B295" s="163"/>
      <c r="C295" s="164">
        <v>113090202</v>
      </c>
      <c r="D295" s="164" t="s">
        <v>1089</v>
      </c>
      <c r="E295" s="165" t="s">
        <v>229</v>
      </c>
      <c r="F295" s="165" t="s">
        <v>344</v>
      </c>
      <c r="G295" s="47">
        <f>IF(F295="I",IFERROR(VLOOKUP(C295,'BG 2021'!A:C,3,FALSE),0),0)</f>
        <v>0</v>
      </c>
      <c r="H295" s="163"/>
      <c r="I295" s="68">
        <f>IF(F295="I",IFERROR(VLOOKUP(C295,'BG 2021'!A:D,4,FALSE),0),0)</f>
        <v>0</v>
      </c>
      <c r="J295" s="40"/>
      <c r="K295" s="47">
        <f>IF(F295="I",SUMIF('BG 2020'!B:B,Clasificaciones!C295,'BG 2020'!D:D),0)</f>
        <v>0</v>
      </c>
      <c r="L295" s="40"/>
      <c r="M295" s="68">
        <f>IF(F295="I",SUMIF('BG 2020'!B:B,Clasificaciones!C295,'BG 2020'!E:E),0)</f>
        <v>0</v>
      </c>
    </row>
    <row r="296" spans="1:13" s="166" customFormat="1" ht="12" customHeight="1">
      <c r="A296" s="163" t="s">
        <v>3</v>
      </c>
      <c r="B296" s="163"/>
      <c r="C296" s="164">
        <v>1130903</v>
      </c>
      <c r="D296" s="164" t="s">
        <v>1090</v>
      </c>
      <c r="E296" s="165" t="s">
        <v>6</v>
      </c>
      <c r="F296" s="165" t="s">
        <v>343</v>
      </c>
      <c r="G296" s="47">
        <f>IF(F296="I",IFERROR(VLOOKUP(C296,'BG 2021'!A:C,3,FALSE),0),0)</f>
        <v>0</v>
      </c>
      <c r="H296" s="163"/>
      <c r="I296" s="68">
        <f>IF(F296="I",IFERROR(VLOOKUP(C296,'BG 2021'!A:D,4,FALSE),0),0)</f>
        <v>0</v>
      </c>
      <c r="J296" s="40"/>
      <c r="K296" s="47">
        <f>IF(F296="I",SUMIF('BG 2020'!B:B,Clasificaciones!C296,'BG 2020'!D:D),0)</f>
        <v>0</v>
      </c>
      <c r="L296" s="40"/>
      <c r="M296" s="68">
        <f>IF(F296="I",SUMIF('BG 2020'!B:B,Clasificaciones!C296,'BG 2020'!E:E),0)</f>
        <v>0</v>
      </c>
    </row>
    <row r="297" spans="1:13" s="166" customFormat="1" ht="12" customHeight="1">
      <c r="A297" s="163" t="s">
        <v>3</v>
      </c>
      <c r="B297" s="163"/>
      <c r="C297" s="164">
        <v>113090301</v>
      </c>
      <c r="D297" s="164" t="s">
        <v>1091</v>
      </c>
      <c r="E297" s="165" t="s">
        <v>6</v>
      </c>
      <c r="F297" s="165" t="s">
        <v>344</v>
      </c>
      <c r="G297" s="47">
        <f>IF(F297="I",IFERROR(VLOOKUP(C297,'BG 2021'!A:C,3,FALSE),0),0)</f>
        <v>0</v>
      </c>
      <c r="H297" s="163"/>
      <c r="I297" s="68">
        <f>IF(F297="I",IFERROR(VLOOKUP(C297,'BG 2021'!A:D,4,FALSE),0),0)</f>
        <v>0</v>
      </c>
      <c r="J297" s="40"/>
      <c r="K297" s="47">
        <f>IF(F297="I",SUMIF('BG 2020'!B:B,Clasificaciones!C297,'BG 2020'!D:D),0)</f>
        <v>0</v>
      </c>
      <c r="L297" s="40"/>
      <c r="M297" s="68">
        <f>IF(F297="I",SUMIF('BG 2020'!B:B,Clasificaciones!C297,'BG 2020'!E:E),0)</f>
        <v>0</v>
      </c>
    </row>
    <row r="298" spans="1:13" s="166" customFormat="1" ht="12" customHeight="1">
      <c r="A298" s="163" t="s">
        <v>3</v>
      </c>
      <c r="B298" s="163"/>
      <c r="C298" s="164">
        <v>113090302</v>
      </c>
      <c r="D298" s="164" t="s">
        <v>1092</v>
      </c>
      <c r="E298" s="165" t="s">
        <v>6</v>
      </c>
      <c r="F298" s="165" t="s">
        <v>344</v>
      </c>
      <c r="G298" s="47">
        <f>IF(F298="I",IFERROR(VLOOKUP(C298,'BG 2021'!A:C,3,FALSE),0),0)</f>
        <v>0</v>
      </c>
      <c r="H298" s="163"/>
      <c r="I298" s="68">
        <f>IF(F298="I",IFERROR(VLOOKUP(C298,'BG 2021'!A:D,4,FALSE),0),0)</f>
        <v>0</v>
      </c>
      <c r="J298" s="40"/>
      <c r="K298" s="47">
        <f>IF(F298="I",SUMIF('BG 2020'!B:B,Clasificaciones!C298,'BG 2020'!D:D),0)</f>
        <v>0</v>
      </c>
      <c r="L298" s="40"/>
      <c r="M298" s="68">
        <f>IF(F298="I",SUMIF('BG 2020'!B:B,Clasificaciones!C298,'BG 2020'!E:E),0)</f>
        <v>0</v>
      </c>
    </row>
    <row r="299" spans="1:13" s="166" customFormat="1" ht="12" customHeight="1">
      <c r="A299" s="163" t="s">
        <v>3</v>
      </c>
      <c r="B299" s="163"/>
      <c r="C299" s="164">
        <v>114</v>
      </c>
      <c r="D299" s="164" t="s">
        <v>1093</v>
      </c>
      <c r="E299" s="165" t="s">
        <v>6</v>
      </c>
      <c r="F299" s="165" t="s">
        <v>343</v>
      </c>
      <c r="G299" s="47">
        <f>IF(F299="I",IFERROR(VLOOKUP(C299,'BG 2021'!A:C,3,FALSE),0),0)</f>
        <v>0</v>
      </c>
      <c r="H299" s="163"/>
      <c r="I299" s="68">
        <f>IF(F299="I",IFERROR(VLOOKUP(C299,'BG 2021'!A:D,4,FALSE),0),0)</f>
        <v>0</v>
      </c>
      <c r="J299" s="40"/>
      <c r="K299" s="47">
        <f>IF(F299="I",SUMIF('BG 2020'!B:B,Clasificaciones!C299,'BG 2020'!D:D),0)</f>
        <v>0</v>
      </c>
      <c r="L299" s="40"/>
      <c r="M299" s="68">
        <f>IF(F299="I",SUMIF('BG 2020'!B:B,Clasificaciones!C299,'BG 2020'!E:E),0)</f>
        <v>0</v>
      </c>
    </row>
    <row r="300" spans="1:13" s="166" customFormat="1" ht="12" customHeight="1">
      <c r="A300" s="163" t="s">
        <v>3</v>
      </c>
      <c r="B300" s="163"/>
      <c r="C300" s="164">
        <v>11401</v>
      </c>
      <c r="D300" s="164" t="s">
        <v>434</v>
      </c>
      <c r="E300" s="165" t="s">
        <v>6</v>
      </c>
      <c r="F300" s="165" t="s">
        <v>343</v>
      </c>
      <c r="G300" s="47">
        <f>IF(F300="I",IFERROR(VLOOKUP(C300,'BG 2021'!A:C,3,FALSE),0),0)</f>
        <v>0</v>
      </c>
      <c r="H300" s="163"/>
      <c r="I300" s="68">
        <f>IF(F300="I",IFERROR(VLOOKUP(C300,'BG 2021'!A:D,4,FALSE),0),0)</f>
        <v>0</v>
      </c>
      <c r="J300" s="40"/>
      <c r="K300" s="47">
        <f>IF(F300="I",SUMIF('BG 2020'!B:B,Clasificaciones!C300,'BG 2020'!D:D),0)</f>
        <v>0</v>
      </c>
      <c r="L300" s="40"/>
      <c r="M300" s="68">
        <f>IF(F300="I",SUMIF('BG 2020'!B:B,Clasificaciones!C300,'BG 2020'!E:E),0)</f>
        <v>0</v>
      </c>
    </row>
    <row r="301" spans="1:13" s="166" customFormat="1" ht="12" customHeight="1">
      <c r="A301" s="163" t="s">
        <v>3</v>
      </c>
      <c r="B301" s="163"/>
      <c r="C301" s="164">
        <v>115</v>
      </c>
      <c r="D301" s="164" t="s">
        <v>374</v>
      </c>
      <c r="E301" s="165" t="s">
        <v>6</v>
      </c>
      <c r="F301" s="165" t="s">
        <v>343</v>
      </c>
      <c r="G301" s="47">
        <f>IF(F301="I",IFERROR(VLOOKUP(C301,'BG 2021'!A:C,3,FALSE),0),0)</f>
        <v>0</v>
      </c>
      <c r="H301" s="163"/>
      <c r="I301" s="68">
        <f>IF(F301="I",IFERROR(VLOOKUP(C301,'BG 2021'!A:D,4,FALSE),0),0)</f>
        <v>0</v>
      </c>
      <c r="J301" s="40"/>
      <c r="K301" s="47">
        <f>IF(F301="I",SUMIF('BG 2020'!B:B,Clasificaciones!C301,'BG 2020'!D:D),0)</f>
        <v>0</v>
      </c>
      <c r="L301" s="40"/>
      <c r="M301" s="68">
        <f>IF(F301="I",SUMIF('BG 2020'!B:B,Clasificaciones!C301,'BG 2020'!E:E),0)</f>
        <v>0</v>
      </c>
    </row>
    <row r="302" spans="1:13" s="166" customFormat="1" ht="12" customHeight="1">
      <c r="A302" s="163" t="s">
        <v>3</v>
      </c>
      <c r="B302" s="163"/>
      <c r="C302" s="164">
        <v>11501</v>
      </c>
      <c r="D302" s="164" t="s">
        <v>330</v>
      </c>
      <c r="E302" s="165" t="s">
        <v>6</v>
      </c>
      <c r="F302" s="165" t="s">
        <v>343</v>
      </c>
      <c r="G302" s="47">
        <f>IF(F302="I",IFERROR(VLOOKUP(C302,'BG 2021'!A:C,3,FALSE),0),0)</f>
        <v>0</v>
      </c>
      <c r="H302" s="163"/>
      <c r="I302" s="68">
        <f>IF(F302="I",IFERROR(VLOOKUP(C302,'BG 2021'!A:D,4,FALSE),0),0)</f>
        <v>0</v>
      </c>
      <c r="J302" s="40"/>
      <c r="K302" s="47">
        <f>IF(F302="I",SUMIF('BG 2020'!B:B,Clasificaciones!C302,'BG 2020'!D:D),0)</f>
        <v>0</v>
      </c>
      <c r="L302" s="40"/>
      <c r="M302" s="68">
        <f>IF(F302="I",SUMIF('BG 2020'!B:B,Clasificaciones!C302,'BG 2020'!E:E),0)</f>
        <v>0</v>
      </c>
    </row>
    <row r="303" spans="1:13" s="166" customFormat="1" ht="12" customHeight="1">
      <c r="A303" s="163" t="s">
        <v>3</v>
      </c>
      <c r="B303" s="163" t="s">
        <v>723</v>
      </c>
      <c r="C303" s="164">
        <v>1150101</v>
      </c>
      <c r="D303" s="164" t="s">
        <v>822</v>
      </c>
      <c r="E303" s="165" t="s">
        <v>6</v>
      </c>
      <c r="F303" s="165" t="s">
        <v>344</v>
      </c>
      <c r="G303" s="47">
        <f>IF(F303="I",IFERROR(VLOOKUP(C303,'BG 2021'!A:C,3,FALSE),0),0)</f>
        <v>0</v>
      </c>
      <c r="H303" s="163" t="s">
        <v>723</v>
      </c>
      <c r="I303" s="68">
        <f>IF(F303="I",IFERROR(VLOOKUP(C303,'BG 2021'!A:D,4,FALSE),0),0)</f>
        <v>0</v>
      </c>
      <c r="J303" s="40"/>
      <c r="K303" s="47">
        <f>IF(F303="I",SUMIF('BG 2020'!B:B,Clasificaciones!C303,'BG 2020'!D:D),0)</f>
        <v>0</v>
      </c>
      <c r="L303" s="40"/>
      <c r="M303" s="68">
        <f>IF(F303="I",SUMIF('BG 2020'!B:B,Clasificaciones!C303,'BG 2020'!E:E),0)</f>
        <v>0</v>
      </c>
    </row>
    <row r="304" spans="1:13" s="166" customFormat="1" ht="12" customHeight="1">
      <c r="A304" s="163" t="s">
        <v>3</v>
      </c>
      <c r="B304" s="163" t="s">
        <v>723</v>
      </c>
      <c r="C304" s="164">
        <v>1150102</v>
      </c>
      <c r="D304" s="164" t="s">
        <v>193</v>
      </c>
      <c r="E304" s="165" t="s">
        <v>229</v>
      </c>
      <c r="F304" s="165" t="s">
        <v>344</v>
      </c>
      <c r="G304" s="47">
        <f>IF(F304="I",IFERROR(VLOOKUP(C304,'BG 2021'!A:C,3,FALSE),0),0)</f>
        <v>0</v>
      </c>
      <c r="H304" s="163" t="s">
        <v>723</v>
      </c>
      <c r="I304" s="68">
        <f>IF(F304="I",IFERROR(VLOOKUP(C304,'BG 2021'!A:D,4,FALSE),0),0)</f>
        <v>0</v>
      </c>
      <c r="J304" s="40"/>
      <c r="K304" s="47">
        <f>IF(F304="I",SUMIF('BG 2020'!B:B,Clasificaciones!C304,'BG 2020'!D:D),0)</f>
        <v>0</v>
      </c>
      <c r="L304" s="40"/>
      <c r="M304" s="68">
        <f>IF(F304="I",SUMIF('BG 2020'!B:B,Clasificaciones!C304,'BG 2020'!E:E),0)</f>
        <v>0</v>
      </c>
    </row>
    <row r="305" spans="1:13" s="173" customFormat="1" ht="12" customHeight="1">
      <c r="A305" s="168" t="s">
        <v>3</v>
      </c>
      <c r="B305" s="168" t="s">
        <v>723</v>
      </c>
      <c r="C305" s="169">
        <v>1150103</v>
      </c>
      <c r="D305" s="169" t="s">
        <v>1094</v>
      </c>
      <c r="E305" s="170" t="s">
        <v>6</v>
      </c>
      <c r="F305" s="170" t="s">
        <v>344</v>
      </c>
      <c r="G305" s="157">
        <f>IF(F305="I",IFERROR(VLOOKUP(C305,'BG 2021'!A:C,3,FALSE),0),0)</f>
        <v>2472234</v>
      </c>
      <c r="H305" s="168" t="s">
        <v>723</v>
      </c>
      <c r="I305" s="172">
        <f>IF(F305="I",IFERROR(VLOOKUP(C305,'BG 2021'!A:D,4,FALSE),0),0)</f>
        <v>363.64</v>
      </c>
      <c r="J305" s="171"/>
      <c r="K305" s="157">
        <f>IF(F305="I",SUMIF('BG 2020'!B:B,Clasificaciones!C305,'BG 2020'!D:D),0)</f>
        <v>0</v>
      </c>
      <c r="L305" s="171"/>
      <c r="M305" s="172">
        <f>IF(F305="I",SUMIF('BG 2020'!B:B,Clasificaciones!C305,'BG 2020'!E:E),0)</f>
        <v>0</v>
      </c>
    </row>
    <row r="306" spans="1:13" s="166" customFormat="1" ht="12" customHeight="1">
      <c r="A306" s="163" t="s">
        <v>3</v>
      </c>
      <c r="B306" s="163" t="s">
        <v>723</v>
      </c>
      <c r="C306" s="164">
        <v>1150104</v>
      </c>
      <c r="D306" s="164" t="s">
        <v>823</v>
      </c>
      <c r="E306" s="165" t="s">
        <v>229</v>
      </c>
      <c r="F306" s="165" t="s">
        <v>344</v>
      </c>
      <c r="G306" s="47">
        <f>IF(F306="I",IFERROR(VLOOKUP(C306,'BG 2021'!A:C,3,FALSE),0),0)</f>
        <v>0</v>
      </c>
      <c r="H306" s="163" t="s">
        <v>723</v>
      </c>
      <c r="I306" s="68">
        <f>IF(F306="I",IFERROR(VLOOKUP(C306,'BG 2021'!A:D,4,FALSE),0),0)</f>
        <v>0</v>
      </c>
      <c r="J306" s="40"/>
      <c r="K306" s="47">
        <f>IF(F306="I",SUMIF('BG 2020'!B:B,Clasificaciones!C306,'BG 2020'!D:D),0)</f>
        <v>0</v>
      </c>
      <c r="L306" s="40"/>
      <c r="M306" s="68">
        <f>IF(F306="I",SUMIF('BG 2020'!B:B,Clasificaciones!C306,'BG 2020'!E:E),0)</f>
        <v>0</v>
      </c>
    </row>
    <row r="307" spans="1:13" s="173" customFormat="1" ht="12" customHeight="1">
      <c r="A307" s="168" t="s">
        <v>3</v>
      </c>
      <c r="B307" s="168" t="s">
        <v>723</v>
      </c>
      <c r="C307" s="169">
        <v>1150105</v>
      </c>
      <c r="D307" s="169" t="s">
        <v>1363</v>
      </c>
      <c r="E307" s="170" t="s">
        <v>229</v>
      </c>
      <c r="F307" s="170" t="s">
        <v>344</v>
      </c>
      <c r="G307" s="157">
        <f>IF(F307="I",IFERROR(VLOOKUP(C307,'BG 2021'!A:C,3,FALSE),0),0)</f>
        <v>12613510</v>
      </c>
      <c r="H307" s="168" t="s">
        <v>723</v>
      </c>
      <c r="I307" s="172">
        <f>IF(F307="I",IFERROR(VLOOKUP(C307,'BG 2021'!A:D,4,FALSE),0),0)</f>
        <v>1820</v>
      </c>
      <c r="J307" s="171"/>
      <c r="K307" s="157">
        <f>IF(F307="I",SUMIF('BG 2020'!B:B,Clasificaciones!C307,'BG 2020'!D:D),0)</f>
        <v>0</v>
      </c>
      <c r="L307" s="171"/>
      <c r="M307" s="172">
        <f>IF(F307="I",SUMIF('BG 2020'!B:B,Clasificaciones!C307,'BG 2020'!E:E),0)</f>
        <v>0</v>
      </c>
    </row>
    <row r="308" spans="1:13" s="173" customFormat="1" ht="12" customHeight="1">
      <c r="A308" s="168" t="s">
        <v>3</v>
      </c>
      <c r="B308" s="168" t="s">
        <v>723</v>
      </c>
      <c r="C308" s="169">
        <v>1150106</v>
      </c>
      <c r="D308" s="169" t="s">
        <v>1364</v>
      </c>
      <c r="E308" s="170" t="s">
        <v>229</v>
      </c>
      <c r="F308" s="170" t="s">
        <v>344</v>
      </c>
      <c r="G308" s="157">
        <f>IF(F308="I",IFERROR(VLOOKUP(C308,'BG 2021'!A:C,3,FALSE),0),0)</f>
        <v>1360304</v>
      </c>
      <c r="H308" s="168" t="s">
        <v>723</v>
      </c>
      <c r="I308" s="172">
        <f>IF(F308="I",IFERROR(VLOOKUP(C308,'BG 2021'!A:D,4,FALSE),0),0)</f>
        <v>200</v>
      </c>
      <c r="J308" s="171"/>
      <c r="K308" s="157">
        <f>IF(F308="I",SUMIF('BG 2020'!B:B,Clasificaciones!C308,'BG 2020'!D:D),0)</f>
        <v>0</v>
      </c>
      <c r="L308" s="171"/>
      <c r="M308" s="172">
        <f>IF(F308="I",SUMIF('BG 2020'!B:B,Clasificaciones!C308,'BG 2020'!E:E),0)</f>
        <v>0</v>
      </c>
    </row>
    <row r="309" spans="1:13" s="173" customFormat="1" ht="12" customHeight="1">
      <c r="A309" s="168" t="s">
        <v>3</v>
      </c>
      <c r="B309" s="168" t="s">
        <v>723</v>
      </c>
      <c r="C309" s="169">
        <v>1150107</v>
      </c>
      <c r="D309" s="169" t="s">
        <v>1415</v>
      </c>
      <c r="E309" s="170" t="s">
        <v>229</v>
      </c>
      <c r="F309" s="170" t="s">
        <v>344</v>
      </c>
      <c r="G309" s="157">
        <f>IF(F309="I",IFERROR(VLOOKUP(C309,'BG 2021'!A:C,3,FALSE),0),0)</f>
        <v>5866855</v>
      </c>
      <c r="H309" s="168" t="s">
        <v>723</v>
      </c>
      <c r="I309" s="172">
        <f>IF(F309="I",IFERROR(VLOOKUP(C309,'BG 2021'!A:D,4,FALSE),0),0)</f>
        <v>862.58</v>
      </c>
      <c r="J309" s="171"/>
      <c r="K309" s="157">
        <f>IF(F309="I",SUMIF('BG 2020'!B:B,Clasificaciones!C309,'BG 2020'!D:D),0)</f>
        <v>0</v>
      </c>
      <c r="L309" s="171"/>
      <c r="M309" s="172">
        <f>IF(F309="I",SUMIF('BG 2020'!B:B,Clasificaciones!C309,'BG 2020'!E:E),0)</f>
        <v>0</v>
      </c>
    </row>
    <row r="310" spans="1:13" s="166" customFormat="1" ht="12" customHeight="1">
      <c r="A310" s="163" t="s">
        <v>3</v>
      </c>
      <c r="B310" s="163"/>
      <c r="C310" s="164">
        <v>11502</v>
      </c>
      <c r="D310" s="164" t="s">
        <v>824</v>
      </c>
      <c r="E310" s="165" t="s">
        <v>6</v>
      </c>
      <c r="F310" s="165" t="s">
        <v>343</v>
      </c>
      <c r="G310" s="47">
        <f>IF(F310="I",IFERROR(VLOOKUP(C310,'BG 2021'!A:C,3,FALSE),0),0)</f>
        <v>0</v>
      </c>
      <c r="H310" s="163"/>
      <c r="I310" s="68">
        <f>IF(F310="I",IFERROR(VLOOKUP(C310,'BG 2021'!A:D,4,FALSE),0),0)</f>
        <v>0</v>
      </c>
      <c r="J310" s="40"/>
      <c r="K310" s="47">
        <f>IF(F310="I",SUMIF('BG 2020'!B:B,Clasificaciones!C310,'BG 2020'!D:D),0)</f>
        <v>0</v>
      </c>
      <c r="L310" s="40"/>
      <c r="M310" s="68">
        <f>IF(F310="I",SUMIF('BG 2020'!B:B,Clasificaciones!C310,'BG 2020'!E:E),0)</f>
        <v>0</v>
      </c>
    </row>
    <row r="311" spans="1:13" s="166" customFormat="1" ht="12" customHeight="1">
      <c r="A311" s="163" t="s">
        <v>3</v>
      </c>
      <c r="B311" s="163"/>
      <c r="C311" s="164">
        <v>1150201</v>
      </c>
      <c r="D311" s="164" t="s">
        <v>1095</v>
      </c>
      <c r="E311" s="165" t="s">
        <v>6</v>
      </c>
      <c r="F311" s="165" t="s">
        <v>344</v>
      </c>
      <c r="G311" s="47">
        <f>IF(F311="I",IFERROR(VLOOKUP(C311,'BG 2021'!A:C,3,FALSE),0),0)</f>
        <v>0</v>
      </c>
      <c r="H311" s="163"/>
      <c r="I311" s="68">
        <f>IF(F311="I",IFERROR(VLOOKUP(C311,'BG 2021'!A:D,4,FALSE),0),0)</f>
        <v>0</v>
      </c>
      <c r="J311" s="40"/>
      <c r="K311" s="47">
        <f>IF(F311="I",SUMIF('BG 2020'!B:B,Clasificaciones!C311,'BG 2020'!D:D),0)</f>
        <v>0</v>
      </c>
      <c r="L311" s="40"/>
      <c r="M311" s="68">
        <f>IF(F311="I",SUMIF('BG 2020'!B:B,Clasificaciones!C311,'BG 2020'!E:E),0)</f>
        <v>0</v>
      </c>
    </row>
    <row r="312" spans="1:13" s="166" customFormat="1" ht="12" customHeight="1">
      <c r="A312" s="163" t="s">
        <v>3</v>
      </c>
      <c r="B312" s="163"/>
      <c r="C312" s="164">
        <v>1150202</v>
      </c>
      <c r="D312" s="164" t="s">
        <v>1096</v>
      </c>
      <c r="E312" s="165" t="s">
        <v>6</v>
      </c>
      <c r="F312" s="165" t="s">
        <v>344</v>
      </c>
      <c r="G312" s="47">
        <f>IF(F312="I",IFERROR(VLOOKUP(C312,'BG 2021'!A:C,3,FALSE),0),0)</f>
        <v>0</v>
      </c>
      <c r="H312" s="163"/>
      <c r="I312" s="68">
        <f>IF(F312="I",IFERROR(VLOOKUP(C312,'BG 2021'!A:D,4,FALSE),0),0)</f>
        <v>0</v>
      </c>
      <c r="J312" s="40"/>
      <c r="K312" s="47">
        <f>IF(F312="I",SUMIF('BG 2020'!B:B,Clasificaciones!C312,'BG 2020'!D:D),0)</f>
        <v>0</v>
      </c>
      <c r="L312" s="40"/>
      <c r="M312" s="68">
        <f>IF(F312="I",SUMIF('BG 2020'!B:B,Clasificaciones!C312,'BG 2020'!E:E),0)</f>
        <v>0</v>
      </c>
    </row>
    <row r="313" spans="1:13" s="166" customFormat="1" ht="12" customHeight="1">
      <c r="A313" s="163" t="s">
        <v>3</v>
      </c>
      <c r="B313" s="163"/>
      <c r="C313" s="164">
        <v>1150203</v>
      </c>
      <c r="D313" s="164" t="s">
        <v>1097</v>
      </c>
      <c r="E313" s="165" t="s">
        <v>6</v>
      </c>
      <c r="F313" s="165" t="s">
        <v>344</v>
      </c>
      <c r="G313" s="47">
        <f>IF(F313="I",IFERROR(VLOOKUP(C313,'BG 2021'!A:C,3,FALSE),0),0)</f>
        <v>0</v>
      </c>
      <c r="H313" s="163"/>
      <c r="I313" s="68">
        <f>IF(F313="I",IFERROR(VLOOKUP(C313,'BG 2021'!A:D,4,FALSE),0),0)</f>
        <v>0</v>
      </c>
      <c r="J313" s="40"/>
      <c r="K313" s="47">
        <f>IF(F313="I",SUMIF('BG 2020'!B:B,Clasificaciones!C313,'BG 2020'!D:D),0)</f>
        <v>0</v>
      </c>
      <c r="L313" s="40"/>
      <c r="M313" s="68">
        <f>IF(F313="I",SUMIF('BG 2020'!B:B,Clasificaciones!C313,'BG 2020'!E:E),0)</f>
        <v>0</v>
      </c>
    </row>
    <row r="314" spans="1:13" s="166" customFormat="1" ht="12" customHeight="1">
      <c r="A314" s="163" t="s">
        <v>3</v>
      </c>
      <c r="B314" s="163"/>
      <c r="C314" s="164">
        <v>1150204</v>
      </c>
      <c r="D314" s="164" t="s">
        <v>1098</v>
      </c>
      <c r="E314" s="165" t="s">
        <v>229</v>
      </c>
      <c r="F314" s="165" t="s">
        <v>344</v>
      </c>
      <c r="G314" s="47">
        <f>IF(F314="I",IFERROR(VLOOKUP(C314,'BG 2021'!A:C,3,FALSE),0),0)</f>
        <v>0</v>
      </c>
      <c r="H314" s="163"/>
      <c r="I314" s="68">
        <f>IF(F314="I",IFERROR(VLOOKUP(C314,'BG 2021'!A:D,4,FALSE),0),0)</f>
        <v>0</v>
      </c>
      <c r="J314" s="40"/>
      <c r="K314" s="47">
        <f>IF(F314="I",SUMIF('BG 2020'!B:B,Clasificaciones!C314,'BG 2020'!D:D),0)</f>
        <v>0</v>
      </c>
      <c r="L314" s="40"/>
      <c r="M314" s="68">
        <f>IF(F314="I",SUMIF('BG 2020'!B:B,Clasificaciones!C314,'BG 2020'!E:E),0)</f>
        <v>0</v>
      </c>
    </row>
    <row r="315" spans="1:13" s="173" customFormat="1" ht="12" customHeight="1">
      <c r="A315" s="168" t="s">
        <v>3</v>
      </c>
      <c r="B315" s="168" t="s">
        <v>723</v>
      </c>
      <c r="C315" s="169">
        <v>1150205</v>
      </c>
      <c r="D315" s="169" t="s">
        <v>1346</v>
      </c>
      <c r="E315" s="170" t="s">
        <v>6</v>
      </c>
      <c r="F315" s="170" t="s">
        <v>344</v>
      </c>
      <c r="G315" s="157">
        <f>IF(F315="I",IFERROR(VLOOKUP(C315,'BG 2021'!A:C,3,FALSE),0),0)</f>
        <v>6444980</v>
      </c>
      <c r="H315" s="168" t="s">
        <v>723</v>
      </c>
      <c r="I315" s="172">
        <f>IF(F315="I",IFERROR(VLOOKUP(C315,'BG 2021'!A:D,4,FALSE),0),0)</f>
        <v>936.52</v>
      </c>
      <c r="J315" s="171"/>
      <c r="K315" s="157">
        <f>IF(F315="I",SUMIF('BG 2020'!B:B,Clasificaciones!C315,'BG 2020'!D:D),0)</f>
        <v>6170980</v>
      </c>
      <c r="L315" s="171"/>
      <c r="M315" s="172">
        <f>IF(F315="I",SUMIF('BG 2020'!B:B,Clasificaciones!C315,'BG 2020'!E:E),0)</f>
        <v>895.3900000000001</v>
      </c>
    </row>
    <row r="316" spans="1:13" s="166" customFormat="1" ht="12" customHeight="1">
      <c r="A316" s="163" t="s">
        <v>3</v>
      </c>
      <c r="B316" s="163"/>
      <c r="C316" s="164">
        <v>1150206</v>
      </c>
      <c r="D316" s="164" t="s">
        <v>1099</v>
      </c>
      <c r="E316" s="165" t="s">
        <v>6</v>
      </c>
      <c r="F316" s="165" t="s">
        <v>344</v>
      </c>
      <c r="G316" s="47">
        <f>IF(F316="I",IFERROR(VLOOKUP(C316,'BG 2021'!A:C,3,FALSE),0),0)</f>
        <v>0</v>
      </c>
      <c r="H316" s="163"/>
      <c r="I316" s="68">
        <f>IF(F316="I",IFERROR(VLOOKUP(C316,'BG 2021'!A:D,4,FALSE),0),0)</f>
        <v>0</v>
      </c>
      <c r="J316" s="40"/>
      <c r="K316" s="47">
        <f>IF(F316="I",SUMIF('BG 2020'!B:B,Clasificaciones!C316,'BG 2020'!D:D),0)</f>
        <v>0</v>
      </c>
      <c r="L316" s="40"/>
      <c r="M316" s="68">
        <f>IF(F316="I",SUMIF('BG 2020'!B:B,Clasificaciones!C316,'BG 2020'!E:E),0)</f>
        <v>0</v>
      </c>
    </row>
    <row r="317" spans="1:13" s="166" customFormat="1" ht="12" customHeight="1">
      <c r="A317" s="163" t="s">
        <v>3</v>
      </c>
      <c r="B317" s="163"/>
      <c r="C317" s="164">
        <v>12</v>
      </c>
      <c r="D317" s="164" t="s">
        <v>7</v>
      </c>
      <c r="E317" s="165" t="s">
        <v>6</v>
      </c>
      <c r="F317" s="165" t="s">
        <v>343</v>
      </c>
      <c r="G317" s="47">
        <f>IF(F317="I",IFERROR(VLOOKUP(C317,'BG 2021'!A:C,3,FALSE),0),0)</f>
        <v>0</v>
      </c>
      <c r="H317" s="163"/>
      <c r="I317" s="68">
        <f>IF(F317="I",IFERROR(VLOOKUP(C317,'BG 2021'!A:D,4,FALSE),0),0)</f>
        <v>0</v>
      </c>
      <c r="J317" s="40"/>
      <c r="K317" s="47">
        <f>IF(F317="I",SUMIF('BG 2020'!B:B,Clasificaciones!C317,'BG 2020'!D:D),0)</f>
        <v>0</v>
      </c>
      <c r="L317" s="40"/>
      <c r="M317" s="68">
        <f>IF(F317="I",SUMIF('BG 2020'!B:B,Clasificaciones!C317,'BG 2020'!E:E),0)</f>
        <v>0</v>
      </c>
    </row>
    <row r="318" spans="1:13" s="166" customFormat="1" ht="12" customHeight="1">
      <c r="A318" s="163" t="s">
        <v>3</v>
      </c>
      <c r="B318" s="163"/>
      <c r="C318" s="164">
        <v>121</v>
      </c>
      <c r="D318" s="164" t="s">
        <v>162</v>
      </c>
      <c r="E318" s="165" t="s">
        <v>6</v>
      </c>
      <c r="F318" s="165" t="s">
        <v>343</v>
      </c>
      <c r="G318" s="47">
        <f>IF(F318="I",IFERROR(VLOOKUP(C318,'BG 2021'!A:C,3,FALSE),0),0)</f>
        <v>0</v>
      </c>
      <c r="H318" s="163"/>
      <c r="I318" s="68">
        <f>IF(F318="I",IFERROR(VLOOKUP(C318,'BG 2021'!A:D,4,FALSE),0),0)</f>
        <v>0</v>
      </c>
      <c r="J318" s="40"/>
      <c r="K318" s="47">
        <f>IF(F318="I",SUMIF('BG 2020'!B:B,Clasificaciones!C318,'BG 2020'!D:D),0)</f>
        <v>0</v>
      </c>
      <c r="L318" s="40"/>
      <c r="M318" s="68">
        <f>IF(F318="I",SUMIF('BG 2020'!B:B,Clasificaciones!C318,'BG 2020'!E:E),0)</f>
        <v>0</v>
      </c>
    </row>
    <row r="319" spans="1:13" s="166" customFormat="1" ht="12" customHeight="1">
      <c r="A319" s="163" t="s">
        <v>3</v>
      </c>
      <c r="B319" s="163"/>
      <c r="C319" s="164">
        <v>12101</v>
      </c>
      <c r="D319" s="164" t="s">
        <v>825</v>
      </c>
      <c r="E319" s="165" t="s">
        <v>6</v>
      </c>
      <c r="F319" s="165" t="s">
        <v>343</v>
      </c>
      <c r="G319" s="47">
        <f>IF(F319="I",IFERROR(VLOOKUP(C319,'BG 2021'!A:C,3,FALSE),0),0)</f>
        <v>0</v>
      </c>
      <c r="H319" s="163"/>
      <c r="I319" s="68">
        <f>IF(F319="I",IFERROR(VLOOKUP(C319,'BG 2021'!A:D,4,FALSE),0),0)</f>
        <v>0</v>
      </c>
      <c r="J319" s="40"/>
      <c r="K319" s="47">
        <f>IF(F319="I",SUMIF('BG 2020'!B:B,Clasificaciones!C319,'BG 2020'!D:D),0)</f>
        <v>0</v>
      </c>
      <c r="L319" s="40"/>
      <c r="M319" s="68">
        <f>IF(F319="I",SUMIF('BG 2020'!B:B,Clasificaciones!C319,'BG 2020'!E:E),0)</f>
        <v>0</v>
      </c>
    </row>
    <row r="320" spans="1:13" s="166" customFormat="1" ht="12" customHeight="1">
      <c r="A320" s="163" t="s">
        <v>3</v>
      </c>
      <c r="B320" s="163"/>
      <c r="C320" s="164">
        <v>121011</v>
      </c>
      <c r="D320" s="164" t="s">
        <v>826</v>
      </c>
      <c r="E320" s="165" t="s">
        <v>6</v>
      </c>
      <c r="F320" s="165" t="s">
        <v>343</v>
      </c>
      <c r="G320" s="47">
        <f>IF(F320="I",IFERROR(VLOOKUP(C320,'BG 2021'!A:C,3,FALSE),0),0)</f>
        <v>0</v>
      </c>
      <c r="H320" s="163"/>
      <c r="I320" s="68">
        <f>IF(F320="I",IFERROR(VLOOKUP(C320,'BG 2021'!A:D,4,FALSE),0),0)</f>
        <v>0</v>
      </c>
      <c r="J320" s="40"/>
      <c r="K320" s="47">
        <f>IF(F320="I",SUMIF('BG 2020'!B:B,Clasificaciones!C320,'BG 2020'!D:D),0)</f>
        <v>0</v>
      </c>
      <c r="L320" s="40"/>
      <c r="M320" s="68">
        <f>IF(F320="I",SUMIF('BG 2020'!B:B,Clasificaciones!C320,'BG 2020'!E:E),0)</f>
        <v>0</v>
      </c>
    </row>
    <row r="321" spans="1:13" s="166" customFormat="1" ht="12" customHeight="1">
      <c r="A321" s="163" t="s">
        <v>3</v>
      </c>
      <c r="B321" s="163"/>
      <c r="C321" s="164">
        <v>12101101</v>
      </c>
      <c r="D321" s="164" t="s">
        <v>770</v>
      </c>
      <c r="E321" s="165" t="s">
        <v>6</v>
      </c>
      <c r="F321" s="165" t="s">
        <v>343</v>
      </c>
      <c r="G321" s="47">
        <f>IF(F321="I",IFERROR(VLOOKUP(C321,'BG 2021'!A:C,3,FALSE),0),0)</f>
        <v>0</v>
      </c>
      <c r="H321" s="163"/>
      <c r="I321" s="68">
        <f>IF(F321="I",IFERROR(VLOOKUP(C321,'BG 2021'!A:D,4,FALSE),0),0)</f>
        <v>0</v>
      </c>
      <c r="J321" s="40"/>
      <c r="K321" s="47">
        <f>IF(F321="I",SUMIF('BG 2020'!B:B,Clasificaciones!C321,'BG 2020'!D:D),0)</f>
        <v>0</v>
      </c>
      <c r="L321" s="40"/>
      <c r="M321" s="68">
        <f>IF(F321="I",SUMIF('BG 2020'!B:B,Clasificaciones!C321,'BG 2020'!E:E),0)</f>
        <v>0</v>
      </c>
    </row>
    <row r="322" spans="1:13" s="166" customFormat="1" ht="12" customHeight="1">
      <c r="A322" s="163" t="s">
        <v>3</v>
      </c>
      <c r="B322" s="163"/>
      <c r="C322" s="164">
        <v>12101102</v>
      </c>
      <c r="D322" s="164" t="s">
        <v>774</v>
      </c>
      <c r="E322" s="165" t="s">
        <v>6</v>
      </c>
      <c r="F322" s="165" t="s">
        <v>343</v>
      </c>
      <c r="G322" s="47">
        <f>IF(F322="I",IFERROR(VLOOKUP(C322,'BG 2021'!A:C,3,FALSE),0),0)</f>
        <v>0</v>
      </c>
      <c r="H322" s="163"/>
      <c r="I322" s="68">
        <f>IF(F322="I",IFERROR(VLOOKUP(C322,'BG 2021'!A:D,4,FALSE),0),0)</f>
        <v>0</v>
      </c>
      <c r="J322" s="40"/>
      <c r="K322" s="47">
        <f>IF(F322="I",SUMIF('BG 2020'!B:B,Clasificaciones!C322,'BG 2020'!D:D),0)</f>
        <v>0</v>
      </c>
      <c r="L322" s="40"/>
      <c r="M322" s="68">
        <f>IF(F322="I",SUMIF('BG 2020'!B:B,Clasificaciones!C322,'BG 2020'!E:E),0)</f>
        <v>0</v>
      </c>
    </row>
    <row r="323" spans="1:13" s="166" customFormat="1" ht="12" customHeight="1">
      <c r="A323" s="163" t="s">
        <v>3</v>
      </c>
      <c r="B323" s="163"/>
      <c r="C323" s="164">
        <v>12101103</v>
      </c>
      <c r="D323" s="164" t="s">
        <v>779</v>
      </c>
      <c r="E323" s="165" t="s">
        <v>6</v>
      </c>
      <c r="F323" s="165" t="s">
        <v>343</v>
      </c>
      <c r="G323" s="47">
        <f>IF(F323="I",IFERROR(VLOOKUP(C323,'BG 2021'!A:C,3,FALSE),0),0)</f>
        <v>0</v>
      </c>
      <c r="H323" s="163"/>
      <c r="I323" s="68">
        <f>IF(F323="I",IFERROR(VLOOKUP(C323,'BG 2021'!A:D,4,FALSE),0),0)</f>
        <v>0</v>
      </c>
      <c r="J323" s="40"/>
      <c r="K323" s="47">
        <f>IF(F323="I",SUMIF('BG 2020'!B:B,Clasificaciones!C323,'BG 2020'!D:D),0)</f>
        <v>0</v>
      </c>
      <c r="L323" s="40"/>
      <c r="M323" s="68">
        <f>IF(F323="I",SUMIF('BG 2020'!B:B,Clasificaciones!C323,'BG 2020'!E:E),0)</f>
        <v>0</v>
      </c>
    </row>
    <row r="324" spans="1:13" s="173" customFormat="1" ht="12" customHeight="1">
      <c r="A324" s="168" t="s">
        <v>3</v>
      </c>
      <c r="B324" s="168" t="s">
        <v>638</v>
      </c>
      <c r="C324" s="169">
        <v>1210110301</v>
      </c>
      <c r="D324" s="169" t="s">
        <v>503</v>
      </c>
      <c r="E324" s="170" t="s">
        <v>6</v>
      </c>
      <c r="F324" s="170" t="s">
        <v>344</v>
      </c>
      <c r="G324" s="157">
        <f>IF(F324="I",IFERROR(VLOOKUP(C324,'BG 2021'!A:C,3,FALSE),0),0)</f>
        <v>4999000000</v>
      </c>
      <c r="H324" s="168" t="s">
        <v>638</v>
      </c>
      <c r="I324" s="172">
        <f>IF(F324="I",IFERROR(VLOOKUP(C324,'BG 2021'!A:D,4,FALSE),0),0)</f>
        <v>763725.42</v>
      </c>
      <c r="J324" s="171"/>
      <c r="K324" s="157">
        <f>IF(F324="I",SUMIF('BG 2020'!B:B,Clasificaciones!C324,'BG 2020'!D:D),0)</f>
        <v>3500000000</v>
      </c>
      <c r="L324" s="171"/>
      <c r="M324" s="172">
        <f>IF(F324="I",SUMIF('BG 2020'!B:B,Clasificaciones!C324,'BG 2020'!E:E),0)</f>
        <v>543281.69999999995</v>
      </c>
    </row>
    <row r="325" spans="1:13" s="166" customFormat="1" ht="12" customHeight="1">
      <c r="A325" s="163" t="s">
        <v>3</v>
      </c>
      <c r="B325" s="163"/>
      <c r="C325" s="164">
        <v>12101104</v>
      </c>
      <c r="D325" s="164" t="s">
        <v>1013</v>
      </c>
      <c r="E325" s="165" t="s">
        <v>6</v>
      </c>
      <c r="F325" s="165" t="s">
        <v>343</v>
      </c>
      <c r="G325" s="47">
        <f>IF(F325="I",IFERROR(VLOOKUP(C325,'BG 2021'!A:C,3,FALSE),0),0)</f>
        <v>0</v>
      </c>
      <c r="H325" s="163"/>
      <c r="I325" s="68">
        <f>IF(F325="I",IFERROR(VLOOKUP(C325,'BG 2021'!A:D,4,FALSE),0),0)</f>
        <v>0</v>
      </c>
      <c r="J325" s="40"/>
      <c r="K325" s="47">
        <f>IF(F325="I",SUMIF('BG 2020'!B:B,Clasificaciones!C325,'BG 2020'!D:D),0)</f>
        <v>0</v>
      </c>
      <c r="L325" s="40"/>
      <c r="M325" s="68">
        <f>IF(F325="I",SUMIF('BG 2020'!B:B,Clasificaciones!C325,'BG 2020'!E:E),0)</f>
        <v>0</v>
      </c>
    </row>
    <row r="326" spans="1:13" s="166" customFormat="1" ht="12" customHeight="1">
      <c r="A326" s="163" t="s">
        <v>3</v>
      </c>
      <c r="B326" s="163"/>
      <c r="C326" s="164">
        <v>12101105</v>
      </c>
      <c r="D326" s="164" t="s">
        <v>1100</v>
      </c>
      <c r="E326" s="165" t="s">
        <v>6</v>
      </c>
      <c r="F326" s="165" t="s">
        <v>343</v>
      </c>
      <c r="G326" s="47">
        <f>IF(F326="I",IFERROR(VLOOKUP(C326,'BG 2021'!A:C,3,FALSE),0),0)</f>
        <v>0</v>
      </c>
      <c r="H326" s="163"/>
      <c r="I326" s="68">
        <f>IF(F326="I",IFERROR(VLOOKUP(C326,'BG 2021'!A:D,4,FALSE),0),0)</f>
        <v>0</v>
      </c>
      <c r="J326" s="40"/>
      <c r="K326" s="47">
        <f>IF(F326="I",SUMIF('BG 2020'!B:B,Clasificaciones!C326,'BG 2020'!D:D),0)</f>
        <v>0</v>
      </c>
      <c r="L326" s="40"/>
      <c r="M326" s="68">
        <f>IF(F326="I",SUMIF('BG 2020'!B:B,Clasificaciones!C326,'BG 2020'!E:E),0)</f>
        <v>0</v>
      </c>
    </row>
    <row r="327" spans="1:13" s="166" customFormat="1" ht="12" customHeight="1">
      <c r="A327" s="163" t="s">
        <v>3</v>
      </c>
      <c r="B327" s="163"/>
      <c r="C327" s="164">
        <v>12101106</v>
      </c>
      <c r="D327" s="164" t="s">
        <v>1101</v>
      </c>
      <c r="E327" s="165" t="s">
        <v>6</v>
      </c>
      <c r="F327" s="165" t="s">
        <v>343</v>
      </c>
      <c r="G327" s="47">
        <f>IF(F327="I",IFERROR(VLOOKUP(C327,'BG 2021'!A:C,3,FALSE),0),0)</f>
        <v>0</v>
      </c>
      <c r="H327" s="163"/>
      <c r="I327" s="68">
        <f>IF(F327="I",IFERROR(VLOOKUP(C327,'BG 2021'!A:D,4,FALSE),0),0)</f>
        <v>0</v>
      </c>
      <c r="J327" s="40"/>
      <c r="K327" s="47">
        <f>IF(F327="I",SUMIF('BG 2020'!B:B,Clasificaciones!C327,'BG 2020'!D:D),0)</f>
        <v>0</v>
      </c>
      <c r="L327" s="40"/>
      <c r="M327" s="68">
        <f>IF(F327="I",SUMIF('BG 2020'!B:B,Clasificaciones!C327,'BG 2020'!E:E),0)</f>
        <v>0</v>
      </c>
    </row>
    <row r="328" spans="1:13" s="166" customFormat="1" ht="12" customHeight="1">
      <c r="A328" s="163" t="s">
        <v>3</v>
      </c>
      <c r="B328" s="163"/>
      <c r="C328" s="164">
        <v>12101107</v>
      </c>
      <c r="D328" s="164" t="s">
        <v>1102</v>
      </c>
      <c r="E328" s="165" t="s">
        <v>6</v>
      </c>
      <c r="F328" s="165" t="s">
        <v>343</v>
      </c>
      <c r="G328" s="47">
        <f>IF(F328="I",IFERROR(VLOOKUP(C328,'BG 2021'!A:C,3,FALSE),0),0)</f>
        <v>0</v>
      </c>
      <c r="H328" s="163"/>
      <c r="I328" s="68">
        <f>IF(F328="I",IFERROR(VLOOKUP(C328,'BG 2021'!A:D,4,FALSE),0),0)</f>
        <v>0</v>
      </c>
      <c r="J328" s="40"/>
      <c r="K328" s="47">
        <f>IF(F328="I",SUMIF('BG 2020'!B:B,Clasificaciones!C328,'BG 2020'!D:D),0)</f>
        <v>0</v>
      </c>
      <c r="L328" s="40"/>
      <c r="M328" s="68">
        <f>IF(F328="I",SUMIF('BG 2020'!B:B,Clasificaciones!C328,'BG 2020'!E:E),0)</f>
        <v>0</v>
      </c>
    </row>
    <row r="329" spans="1:13" s="166" customFormat="1" ht="12" customHeight="1">
      <c r="A329" s="163" t="s">
        <v>3</v>
      </c>
      <c r="B329" s="163"/>
      <c r="C329" s="164">
        <v>12101108</v>
      </c>
      <c r="D329" s="164" t="s">
        <v>610</v>
      </c>
      <c r="E329" s="165" t="s">
        <v>6</v>
      </c>
      <c r="F329" s="165" t="s">
        <v>343</v>
      </c>
      <c r="G329" s="47">
        <f>IF(F329="I",IFERROR(VLOOKUP(C329,'BG 2021'!A:C,3,FALSE),0),0)</f>
        <v>0</v>
      </c>
      <c r="H329" s="163"/>
      <c r="I329" s="68">
        <f>IF(F329="I",IFERROR(VLOOKUP(C329,'BG 2021'!A:D,4,FALSE),0),0)</f>
        <v>0</v>
      </c>
      <c r="J329" s="40"/>
      <c r="K329" s="47">
        <f>IF(F329="I",SUMIF('BG 2020'!B:B,Clasificaciones!C329,'BG 2020'!D:D),0)</f>
        <v>0</v>
      </c>
      <c r="L329" s="40"/>
      <c r="M329" s="68">
        <f>IF(F329="I",SUMIF('BG 2020'!B:B,Clasificaciones!C329,'BG 2020'!E:E),0)</f>
        <v>0</v>
      </c>
    </row>
    <row r="330" spans="1:13" s="173" customFormat="1" ht="12" customHeight="1">
      <c r="A330" s="168" t="s">
        <v>3</v>
      </c>
      <c r="B330" s="168" t="s">
        <v>638</v>
      </c>
      <c r="C330" s="169">
        <v>1210110801</v>
      </c>
      <c r="D330" s="169" t="s">
        <v>481</v>
      </c>
      <c r="E330" s="170" t="s">
        <v>6</v>
      </c>
      <c r="F330" s="170" t="s">
        <v>344</v>
      </c>
      <c r="G330" s="157">
        <f>IF(F330="I",IFERROR(VLOOKUP(C330,'BG 2021'!A:C,3,FALSE),0),0)</f>
        <v>2047406868</v>
      </c>
      <c r="H330" s="168" t="s">
        <v>638</v>
      </c>
      <c r="I330" s="172">
        <f>IF(F330="I",IFERROR(VLOOKUP(C330,'BG 2021'!A:D,4,FALSE),0),0)</f>
        <v>304631.93</v>
      </c>
      <c r="J330" s="171"/>
      <c r="K330" s="157">
        <f>IF(F330="I",SUMIF('BG 2020'!B:B,Clasificaciones!C330,'BG 2020'!D:D),0)</f>
        <v>103990631</v>
      </c>
      <c r="L330" s="171"/>
      <c r="M330" s="172">
        <f>IF(F330="I",SUMIF('BG 2020'!B:B,Clasificaciones!C330,'BG 2020'!E:E),0)</f>
        <v>15088.68</v>
      </c>
    </row>
    <row r="331" spans="1:13" s="166" customFormat="1" ht="12" customHeight="1">
      <c r="A331" s="163" t="s">
        <v>3</v>
      </c>
      <c r="B331" s="167"/>
      <c r="C331" s="164">
        <v>12101109</v>
      </c>
      <c r="D331" s="164" t="s">
        <v>1103</v>
      </c>
      <c r="E331" s="165" t="s">
        <v>6</v>
      </c>
      <c r="F331" s="165" t="s">
        <v>343</v>
      </c>
      <c r="G331" s="47">
        <f>IF(F331="I",IFERROR(VLOOKUP(C331,'BG 2021'!A:C,3,FALSE),0),0)</f>
        <v>0</v>
      </c>
      <c r="H331" s="167"/>
      <c r="I331" s="68">
        <f>IF(F331="I",IFERROR(VLOOKUP(C331,'BG 2021'!A:D,4,FALSE),0),0)</f>
        <v>0</v>
      </c>
      <c r="J331" s="40"/>
      <c r="K331" s="47">
        <f>IF(F331="I",SUMIF('BG 2020'!B:B,Clasificaciones!C331,'BG 2020'!D:D),0)</f>
        <v>0</v>
      </c>
      <c r="L331" s="40"/>
      <c r="M331" s="68">
        <f>IF(F331="I",SUMIF('BG 2020'!B:B,Clasificaciones!C331,'BG 2020'!E:E),0)</f>
        <v>0</v>
      </c>
    </row>
    <row r="332" spans="1:13" s="166" customFormat="1" ht="12" customHeight="1">
      <c r="A332" s="163" t="s">
        <v>3</v>
      </c>
      <c r="B332" s="163"/>
      <c r="C332" s="164">
        <v>121012</v>
      </c>
      <c r="D332" s="164" t="s">
        <v>1104</v>
      </c>
      <c r="E332" s="165" t="s">
        <v>6</v>
      </c>
      <c r="F332" s="165" t="s">
        <v>343</v>
      </c>
      <c r="G332" s="47">
        <f>IF(F332="I",IFERROR(VLOOKUP(C332,'BG 2021'!A:C,3,FALSE),0),0)</f>
        <v>0</v>
      </c>
      <c r="H332" s="163"/>
      <c r="I332" s="68">
        <f>IF(F332="I",IFERROR(VLOOKUP(C332,'BG 2021'!A:D,4,FALSE),0),0)</f>
        <v>0</v>
      </c>
      <c r="J332" s="40"/>
      <c r="K332" s="47">
        <f>IF(F332="I",SUMIF('BG 2020'!B:B,Clasificaciones!C332,'BG 2020'!D:D),0)</f>
        <v>0</v>
      </c>
      <c r="L332" s="40"/>
      <c r="M332" s="68">
        <f>IF(F332="I",SUMIF('BG 2020'!B:B,Clasificaciones!C332,'BG 2020'!E:E),0)</f>
        <v>0</v>
      </c>
    </row>
    <row r="333" spans="1:13" s="166" customFormat="1" ht="12" customHeight="1">
      <c r="A333" s="163" t="s">
        <v>3</v>
      </c>
      <c r="B333" s="163"/>
      <c r="C333" s="164">
        <v>12101201</v>
      </c>
      <c r="D333" s="164" t="s">
        <v>770</v>
      </c>
      <c r="E333" s="165" t="s">
        <v>6</v>
      </c>
      <c r="F333" s="165" t="s">
        <v>343</v>
      </c>
      <c r="G333" s="47">
        <f>IF(F333="I",IFERROR(VLOOKUP(C333,'BG 2021'!A:C,3,FALSE),0),0)</f>
        <v>0</v>
      </c>
      <c r="H333" s="163"/>
      <c r="I333" s="68">
        <f>IF(F333="I",IFERROR(VLOOKUP(C333,'BG 2021'!A:D,4,FALSE),0),0)</f>
        <v>0</v>
      </c>
      <c r="J333" s="40"/>
      <c r="K333" s="47">
        <f>IF(F333="I",SUMIF('BG 2020'!B:B,Clasificaciones!C333,'BG 2020'!D:D),0)</f>
        <v>0</v>
      </c>
      <c r="L333" s="40"/>
      <c r="M333" s="68">
        <f>IF(F333="I",SUMIF('BG 2020'!B:B,Clasificaciones!C333,'BG 2020'!E:E),0)</f>
        <v>0</v>
      </c>
    </row>
    <row r="334" spans="1:13" s="166" customFormat="1" ht="12" customHeight="1">
      <c r="A334" s="163" t="s">
        <v>3</v>
      </c>
      <c r="B334" s="163"/>
      <c r="C334" s="164">
        <v>12101202</v>
      </c>
      <c r="D334" s="164" t="s">
        <v>774</v>
      </c>
      <c r="E334" s="165" t="s">
        <v>6</v>
      </c>
      <c r="F334" s="165" t="s">
        <v>343</v>
      </c>
      <c r="G334" s="47">
        <f>IF(F334="I",IFERROR(VLOOKUP(C334,'BG 2021'!A:C,3,FALSE),0),0)</f>
        <v>0</v>
      </c>
      <c r="H334" s="163"/>
      <c r="I334" s="68">
        <f>IF(F334="I",IFERROR(VLOOKUP(C334,'BG 2021'!A:D,4,FALSE),0),0)</f>
        <v>0</v>
      </c>
      <c r="J334" s="40"/>
      <c r="K334" s="47">
        <f>IF(F334="I",SUMIF('BG 2020'!B:B,Clasificaciones!C334,'BG 2020'!D:D),0)</f>
        <v>0</v>
      </c>
      <c r="L334" s="40"/>
      <c r="M334" s="68">
        <f>IF(F334="I",SUMIF('BG 2020'!B:B,Clasificaciones!C334,'BG 2020'!E:E),0)</f>
        <v>0</v>
      </c>
    </row>
    <row r="335" spans="1:13" s="166" customFormat="1" ht="12" customHeight="1">
      <c r="A335" s="163" t="s">
        <v>3</v>
      </c>
      <c r="B335" s="163"/>
      <c r="C335" s="164">
        <v>12101203</v>
      </c>
      <c r="D335" s="164" t="s">
        <v>779</v>
      </c>
      <c r="E335" s="165" t="s">
        <v>6</v>
      </c>
      <c r="F335" s="165" t="s">
        <v>343</v>
      </c>
      <c r="G335" s="47">
        <f>IF(F335="I",IFERROR(VLOOKUP(C335,'BG 2021'!A:C,3,FALSE),0),0)</f>
        <v>0</v>
      </c>
      <c r="H335" s="163"/>
      <c r="I335" s="68">
        <f>IF(F335="I",IFERROR(VLOOKUP(C335,'BG 2021'!A:D,4,FALSE),0),0)</f>
        <v>0</v>
      </c>
      <c r="J335" s="40"/>
      <c r="K335" s="47">
        <f>IF(F335="I",SUMIF('BG 2020'!B:B,Clasificaciones!C335,'BG 2020'!D:D),0)</f>
        <v>0</v>
      </c>
      <c r="L335" s="40"/>
      <c r="M335" s="68">
        <f>IF(F335="I",SUMIF('BG 2020'!B:B,Clasificaciones!C335,'BG 2020'!E:E),0)</f>
        <v>0</v>
      </c>
    </row>
    <row r="336" spans="1:13" s="166" customFormat="1" ht="12" customHeight="1">
      <c r="A336" s="163" t="s">
        <v>3</v>
      </c>
      <c r="B336" s="163"/>
      <c r="C336" s="164">
        <v>12101204</v>
      </c>
      <c r="D336" s="164" t="s">
        <v>1013</v>
      </c>
      <c r="E336" s="165" t="s">
        <v>6</v>
      </c>
      <c r="F336" s="165" t="s">
        <v>343</v>
      </c>
      <c r="G336" s="47">
        <f>IF(F336="I",IFERROR(VLOOKUP(C336,'BG 2021'!A:C,3,FALSE),0),0)</f>
        <v>0</v>
      </c>
      <c r="H336" s="163"/>
      <c r="I336" s="68">
        <f>IF(F336="I",IFERROR(VLOOKUP(C336,'BG 2021'!A:D,4,FALSE),0),0)</f>
        <v>0</v>
      </c>
      <c r="J336" s="40"/>
      <c r="K336" s="47">
        <f>IF(F336="I",SUMIF('BG 2020'!B:B,Clasificaciones!C336,'BG 2020'!D:D),0)</f>
        <v>0</v>
      </c>
      <c r="L336" s="40"/>
      <c r="M336" s="68">
        <f>IF(F336="I",SUMIF('BG 2020'!B:B,Clasificaciones!C336,'BG 2020'!E:E),0)</f>
        <v>0</v>
      </c>
    </row>
    <row r="337" spans="1:13" s="166" customFormat="1" ht="12" customHeight="1">
      <c r="A337" s="163" t="s">
        <v>3</v>
      </c>
      <c r="B337" s="163"/>
      <c r="C337" s="164">
        <v>12101205</v>
      </c>
      <c r="D337" s="164" t="s">
        <v>1060</v>
      </c>
      <c r="E337" s="165" t="s">
        <v>6</v>
      </c>
      <c r="F337" s="165" t="s">
        <v>343</v>
      </c>
      <c r="G337" s="47">
        <f>IF(F337="I",IFERROR(VLOOKUP(C337,'BG 2021'!A:C,3,FALSE),0),0)</f>
        <v>0</v>
      </c>
      <c r="H337" s="163"/>
      <c r="I337" s="68">
        <f>IF(F337="I",IFERROR(VLOOKUP(C337,'BG 2021'!A:D,4,FALSE),0),0)</f>
        <v>0</v>
      </c>
      <c r="J337" s="40"/>
      <c r="K337" s="47">
        <f>IF(F337="I",SUMIF('BG 2020'!B:B,Clasificaciones!C337,'BG 2020'!D:D),0)</f>
        <v>0</v>
      </c>
      <c r="L337" s="40"/>
      <c r="M337" s="68">
        <f>IF(F337="I",SUMIF('BG 2020'!B:B,Clasificaciones!C337,'BG 2020'!E:E),0)</f>
        <v>0</v>
      </c>
    </row>
    <row r="338" spans="1:13" s="166" customFormat="1" ht="12" customHeight="1">
      <c r="A338" s="163" t="s">
        <v>3</v>
      </c>
      <c r="B338" s="163"/>
      <c r="C338" s="164">
        <v>12101206</v>
      </c>
      <c r="D338" s="164" t="s">
        <v>1105</v>
      </c>
      <c r="E338" s="165" t="s">
        <v>6</v>
      </c>
      <c r="F338" s="165" t="s">
        <v>343</v>
      </c>
      <c r="G338" s="47">
        <f>IF(F338="I",IFERROR(VLOOKUP(C338,'BG 2021'!A:C,3,FALSE),0),0)</f>
        <v>0</v>
      </c>
      <c r="H338" s="163"/>
      <c r="I338" s="68">
        <f>IF(F338="I",IFERROR(VLOOKUP(C338,'BG 2021'!A:D,4,FALSE),0),0)</f>
        <v>0</v>
      </c>
      <c r="J338" s="40"/>
      <c r="K338" s="47">
        <f>IF(F338="I",SUMIF('BG 2020'!B:B,Clasificaciones!C338,'BG 2020'!D:D),0)</f>
        <v>0</v>
      </c>
      <c r="L338" s="40"/>
      <c r="M338" s="68">
        <f>IF(F338="I",SUMIF('BG 2020'!B:B,Clasificaciones!C338,'BG 2020'!E:E),0)</f>
        <v>0</v>
      </c>
    </row>
    <row r="339" spans="1:13" s="166" customFormat="1" ht="12" customHeight="1">
      <c r="A339" s="163" t="s">
        <v>3</v>
      </c>
      <c r="B339" s="163"/>
      <c r="C339" s="164">
        <v>12102</v>
      </c>
      <c r="D339" s="164" t="s">
        <v>1106</v>
      </c>
      <c r="E339" s="165" t="s">
        <v>6</v>
      </c>
      <c r="F339" s="165" t="s">
        <v>343</v>
      </c>
      <c r="G339" s="47">
        <f>IF(F339="I",IFERROR(VLOOKUP(C339,'BG 2021'!A:C,3,FALSE),0),0)</f>
        <v>0</v>
      </c>
      <c r="H339" s="163"/>
      <c r="I339" s="68">
        <f>IF(F339="I",IFERROR(VLOOKUP(C339,'BG 2021'!A:D,4,FALSE),0),0)</f>
        <v>0</v>
      </c>
      <c r="J339" s="40"/>
      <c r="K339" s="47">
        <f>IF(F339="I",SUMIF('BG 2020'!B:B,Clasificaciones!C339,'BG 2020'!D:D),0)</f>
        <v>0</v>
      </c>
      <c r="L339" s="40"/>
      <c r="M339" s="68">
        <f>IF(F339="I",SUMIF('BG 2020'!B:B,Clasificaciones!C339,'BG 2020'!E:E),0)</f>
        <v>0</v>
      </c>
    </row>
    <row r="340" spans="1:13" s="166" customFormat="1" ht="12" customHeight="1">
      <c r="A340" s="163" t="s">
        <v>3</v>
      </c>
      <c r="B340" s="163"/>
      <c r="C340" s="164">
        <v>121021</v>
      </c>
      <c r="D340" s="164" t="s">
        <v>1107</v>
      </c>
      <c r="E340" s="165" t="s">
        <v>6</v>
      </c>
      <c r="F340" s="165" t="s">
        <v>343</v>
      </c>
      <c r="G340" s="47">
        <f>IF(F340="I",IFERROR(VLOOKUP(C340,'BG 2021'!A:C,3,FALSE),0),0)</f>
        <v>0</v>
      </c>
      <c r="H340" s="163"/>
      <c r="I340" s="68">
        <f>IF(F340="I",IFERROR(VLOOKUP(C340,'BG 2021'!A:D,4,FALSE),0),0)</f>
        <v>0</v>
      </c>
      <c r="J340" s="40"/>
      <c r="K340" s="47">
        <f>IF(F340="I",SUMIF('BG 2020'!B:B,Clasificaciones!C340,'BG 2020'!D:D),0)</f>
        <v>0</v>
      </c>
      <c r="L340" s="40"/>
      <c r="M340" s="68">
        <f>IF(F340="I",SUMIF('BG 2020'!B:B,Clasificaciones!C340,'BG 2020'!E:E),0)</f>
        <v>0</v>
      </c>
    </row>
    <row r="341" spans="1:13" s="166" customFormat="1" ht="12" customHeight="1">
      <c r="A341" s="163" t="s">
        <v>3</v>
      </c>
      <c r="B341" s="167"/>
      <c r="C341" s="164">
        <v>1210211</v>
      </c>
      <c r="D341" s="164" t="s">
        <v>767</v>
      </c>
      <c r="E341" s="165" t="s">
        <v>6</v>
      </c>
      <c r="F341" s="165" t="s">
        <v>343</v>
      </c>
      <c r="G341" s="47">
        <f>IF(F341="I",IFERROR(VLOOKUP(C341,'BG 2021'!A:C,3,FALSE),0),0)</f>
        <v>0</v>
      </c>
      <c r="H341" s="167"/>
      <c r="I341" s="68">
        <f>IF(F341="I",IFERROR(VLOOKUP(C341,'BG 2021'!A:D,4,FALSE),0),0)</f>
        <v>0</v>
      </c>
      <c r="J341" s="40"/>
      <c r="K341" s="47">
        <f>IF(F341="I",SUMIF('BG 2020'!B:B,Clasificaciones!C341,'BG 2020'!D:D),0)</f>
        <v>0</v>
      </c>
      <c r="L341" s="40"/>
      <c r="M341" s="68">
        <f>IF(F341="I",SUMIF('BG 2020'!B:B,Clasificaciones!C341,'BG 2020'!E:E),0)</f>
        <v>0</v>
      </c>
    </row>
    <row r="342" spans="1:13" s="166" customFormat="1" ht="12" customHeight="1">
      <c r="A342" s="163" t="s">
        <v>3</v>
      </c>
      <c r="B342" s="163"/>
      <c r="C342" s="164">
        <v>1210212</v>
      </c>
      <c r="D342" s="164" t="s">
        <v>770</v>
      </c>
      <c r="E342" s="165" t="s">
        <v>6</v>
      </c>
      <c r="F342" s="165" t="s">
        <v>343</v>
      </c>
      <c r="G342" s="47">
        <f>IF(F342="I",IFERROR(VLOOKUP(C342,'BG 2021'!A:C,3,FALSE),0),0)</f>
        <v>0</v>
      </c>
      <c r="H342" s="163"/>
      <c r="I342" s="68">
        <f>IF(F342="I",IFERROR(VLOOKUP(C342,'BG 2021'!A:D,4,FALSE),0),0)</f>
        <v>0</v>
      </c>
      <c r="J342" s="40"/>
      <c r="K342" s="47">
        <f>IF(F342="I",SUMIF('BG 2020'!B:B,Clasificaciones!C342,'BG 2020'!D:D),0)</f>
        <v>0</v>
      </c>
      <c r="L342" s="40"/>
      <c r="M342" s="68">
        <f>IF(F342="I",SUMIF('BG 2020'!B:B,Clasificaciones!C342,'BG 2020'!E:E),0)</f>
        <v>0</v>
      </c>
    </row>
    <row r="343" spans="1:13" s="166" customFormat="1" ht="12" customHeight="1">
      <c r="A343" s="163" t="s">
        <v>3</v>
      </c>
      <c r="B343" s="163"/>
      <c r="C343" s="164">
        <v>1210213</v>
      </c>
      <c r="D343" s="164" t="s">
        <v>774</v>
      </c>
      <c r="E343" s="165" t="s">
        <v>6</v>
      </c>
      <c r="F343" s="165" t="s">
        <v>343</v>
      </c>
      <c r="G343" s="47">
        <f>IF(F343="I",IFERROR(VLOOKUP(C343,'BG 2021'!A:C,3,FALSE),0),0)</f>
        <v>0</v>
      </c>
      <c r="H343" s="163"/>
      <c r="I343" s="68">
        <f>IF(F343="I",IFERROR(VLOOKUP(C343,'BG 2021'!A:D,4,FALSE),0),0)</f>
        <v>0</v>
      </c>
      <c r="J343" s="40"/>
      <c r="K343" s="47">
        <f>IF(F343="I",SUMIF('BG 2020'!B:B,Clasificaciones!C343,'BG 2020'!D:D),0)</f>
        <v>0</v>
      </c>
      <c r="L343" s="40"/>
      <c r="M343" s="68">
        <f>IF(F343="I",SUMIF('BG 2020'!B:B,Clasificaciones!C343,'BG 2020'!E:E),0)</f>
        <v>0</v>
      </c>
    </row>
    <row r="344" spans="1:13" s="166" customFormat="1" ht="12" customHeight="1">
      <c r="A344" s="163" t="s">
        <v>3</v>
      </c>
      <c r="B344" s="163"/>
      <c r="C344" s="164">
        <v>1210214</v>
      </c>
      <c r="D344" s="164" t="s">
        <v>779</v>
      </c>
      <c r="E344" s="165" t="s">
        <v>6</v>
      </c>
      <c r="F344" s="165" t="s">
        <v>343</v>
      </c>
      <c r="G344" s="47">
        <f>IF(F344="I",IFERROR(VLOOKUP(C344,'BG 2021'!A:C,3,FALSE),0),0)</f>
        <v>0</v>
      </c>
      <c r="H344" s="163"/>
      <c r="I344" s="68">
        <f>IF(F344="I",IFERROR(VLOOKUP(C344,'BG 2021'!A:D,4,FALSE),0),0)</f>
        <v>0</v>
      </c>
      <c r="J344" s="40"/>
      <c r="K344" s="47">
        <f>IF(F344="I",SUMIF('BG 2020'!B:B,Clasificaciones!C344,'BG 2020'!D:D),0)</f>
        <v>0</v>
      </c>
      <c r="L344" s="40"/>
      <c r="M344" s="68">
        <f>IF(F344="I",SUMIF('BG 2020'!B:B,Clasificaciones!C344,'BG 2020'!E:E),0)</f>
        <v>0</v>
      </c>
    </row>
    <row r="345" spans="1:13" s="166" customFormat="1" ht="12" customHeight="1">
      <c r="A345" s="163" t="s">
        <v>3</v>
      </c>
      <c r="B345" s="163"/>
      <c r="C345" s="164">
        <v>1210215</v>
      </c>
      <c r="D345" s="164" t="s">
        <v>1010</v>
      </c>
      <c r="E345" s="165" t="s">
        <v>6</v>
      </c>
      <c r="F345" s="165" t="s">
        <v>343</v>
      </c>
      <c r="G345" s="47">
        <f>IF(F345="I",IFERROR(VLOOKUP(C345,'BG 2021'!A:C,3,FALSE),0),0)</f>
        <v>0</v>
      </c>
      <c r="H345" s="163"/>
      <c r="I345" s="68">
        <f>IF(F345="I",IFERROR(VLOOKUP(C345,'BG 2021'!A:D,4,FALSE),0),0)</f>
        <v>0</v>
      </c>
      <c r="J345" s="40"/>
      <c r="K345" s="47">
        <f>IF(F345="I",SUMIF('BG 2020'!B:B,Clasificaciones!C345,'BG 2020'!D:D),0)</f>
        <v>0</v>
      </c>
      <c r="L345" s="40"/>
      <c r="M345" s="68">
        <f>IF(F345="I",SUMIF('BG 2020'!B:B,Clasificaciones!C345,'BG 2020'!E:E),0)</f>
        <v>0</v>
      </c>
    </row>
    <row r="346" spans="1:13" s="166" customFormat="1" ht="12" customHeight="1">
      <c r="A346" s="163" t="s">
        <v>3</v>
      </c>
      <c r="B346" s="163"/>
      <c r="C346" s="164">
        <v>1210216</v>
      </c>
      <c r="D346" s="164" t="s">
        <v>1013</v>
      </c>
      <c r="E346" s="165" t="s">
        <v>6</v>
      </c>
      <c r="F346" s="165" t="s">
        <v>343</v>
      </c>
      <c r="G346" s="47">
        <f>IF(F346="I",IFERROR(VLOOKUP(C346,'BG 2021'!A:C,3,FALSE),0),0)</f>
        <v>0</v>
      </c>
      <c r="H346" s="163"/>
      <c r="I346" s="68">
        <f>IF(F346="I",IFERROR(VLOOKUP(C346,'BG 2021'!A:D,4,FALSE),0),0)</f>
        <v>0</v>
      </c>
      <c r="J346" s="40"/>
      <c r="K346" s="47">
        <f>IF(F346="I",SUMIF('BG 2020'!B:B,Clasificaciones!C346,'BG 2020'!D:D),0)</f>
        <v>0</v>
      </c>
      <c r="L346" s="40"/>
      <c r="M346" s="68">
        <f>IF(F346="I",SUMIF('BG 2020'!B:B,Clasificaciones!C346,'BG 2020'!E:E),0)</f>
        <v>0</v>
      </c>
    </row>
    <row r="347" spans="1:13" s="166" customFormat="1" ht="12" customHeight="1">
      <c r="A347" s="163" t="s">
        <v>3</v>
      </c>
      <c r="B347" s="163"/>
      <c r="C347" s="164">
        <v>1210218</v>
      </c>
      <c r="D347" s="164" t="s">
        <v>781</v>
      </c>
      <c r="E347" s="165" t="s">
        <v>6</v>
      </c>
      <c r="F347" s="165" t="s">
        <v>343</v>
      </c>
      <c r="G347" s="47">
        <f>IF(F347="I",IFERROR(VLOOKUP(C347,'BG 2021'!A:C,3,FALSE),0),0)</f>
        <v>0</v>
      </c>
      <c r="H347" s="163"/>
      <c r="I347" s="68">
        <f>IF(F347="I",IFERROR(VLOOKUP(C347,'BG 2021'!A:D,4,FALSE),0),0)</f>
        <v>0</v>
      </c>
      <c r="J347" s="40"/>
      <c r="K347" s="47">
        <f>IF(F347="I",SUMIF('BG 2020'!B:B,Clasificaciones!C347,'BG 2020'!D:D),0)</f>
        <v>0</v>
      </c>
      <c r="L347" s="40"/>
      <c r="M347" s="68">
        <f>IF(F347="I",SUMIF('BG 2020'!B:B,Clasificaciones!C347,'BG 2020'!E:E),0)</f>
        <v>0</v>
      </c>
    </row>
    <row r="348" spans="1:13" s="166" customFormat="1" ht="12" customHeight="1">
      <c r="A348" s="163" t="s">
        <v>3</v>
      </c>
      <c r="B348" s="163"/>
      <c r="C348" s="164">
        <v>12102181</v>
      </c>
      <c r="D348" s="164" t="s">
        <v>782</v>
      </c>
      <c r="E348" s="165" t="s">
        <v>6</v>
      </c>
      <c r="F348" s="165" t="s">
        <v>343</v>
      </c>
      <c r="G348" s="47">
        <f>IF(F348="I",IFERROR(VLOOKUP(C348,'BG 2021'!A:C,3,FALSE),0),0)</f>
        <v>0</v>
      </c>
      <c r="H348" s="163"/>
      <c r="I348" s="68">
        <f>IF(F348="I",IFERROR(VLOOKUP(C348,'BG 2021'!A:D,4,FALSE),0),0)</f>
        <v>0</v>
      </c>
      <c r="J348" s="40"/>
      <c r="K348" s="47">
        <f>IF(F348="I",SUMIF('BG 2020'!B:B,Clasificaciones!C348,'BG 2020'!D:D),0)</f>
        <v>0</v>
      </c>
      <c r="L348" s="40"/>
      <c r="M348" s="68">
        <f>IF(F348="I",SUMIF('BG 2020'!B:B,Clasificaciones!C348,'BG 2020'!E:E),0)</f>
        <v>0</v>
      </c>
    </row>
    <row r="349" spans="1:13" s="166" customFormat="1" ht="12" customHeight="1">
      <c r="A349" s="163" t="s">
        <v>3</v>
      </c>
      <c r="B349" s="163"/>
      <c r="C349" s="164">
        <v>12102182</v>
      </c>
      <c r="D349" s="164" t="s">
        <v>791</v>
      </c>
      <c r="E349" s="165" t="s">
        <v>6</v>
      </c>
      <c r="F349" s="165" t="s">
        <v>343</v>
      </c>
      <c r="G349" s="47">
        <f>IF(F349="I",IFERROR(VLOOKUP(C349,'BG 2021'!A:C,3,FALSE),0),0)</f>
        <v>0</v>
      </c>
      <c r="H349" s="163"/>
      <c r="I349" s="68">
        <f>IF(F349="I",IFERROR(VLOOKUP(C349,'BG 2021'!A:D,4,FALSE),0),0)</f>
        <v>0</v>
      </c>
      <c r="J349" s="40"/>
      <c r="K349" s="47">
        <f>IF(F349="I",SUMIF('BG 2020'!B:B,Clasificaciones!C349,'BG 2020'!D:D),0)</f>
        <v>0</v>
      </c>
      <c r="L349" s="40"/>
      <c r="M349" s="68">
        <f>IF(F349="I",SUMIF('BG 2020'!B:B,Clasificaciones!C349,'BG 2020'!E:E),0)</f>
        <v>0</v>
      </c>
    </row>
    <row r="350" spans="1:13" s="166" customFormat="1" ht="12" customHeight="1">
      <c r="A350" s="163" t="s">
        <v>3</v>
      </c>
      <c r="B350" s="163"/>
      <c r="C350" s="164">
        <v>1210219</v>
      </c>
      <c r="D350" s="164" t="s">
        <v>1105</v>
      </c>
      <c r="E350" s="165" t="s">
        <v>6</v>
      </c>
      <c r="F350" s="165" t="s">
        <v>343</v>
      </c>
      <c r="G350" s="47">
        <f>IF(F350="I",IFERROR(VLOOKUP(C350,'BG 2021'!A:C,3,FALSE),0),0)</f>
        <v>0</v>
      </c>
      <c r="H350" s="163"/>
      <c r="I350" s="68">
        <f>IF(F350="I",IFERROR(VLOOKUP(C350,'BG 2021'!A:D,4,FALSE),0),0)</f>
        <v>0</v>
      </c>
      <c r="J350" s="40"/>
      <c r="K350" s="47">
        <f>IF(F350="I",SUMIF('BG 2020'!B:B,Clasificaciones!C350,'BG 2020'!D:D),0)</f>
        <v>0</v>
      </c>
      <c r="L350" s="40"/>
      <c r="M350" s="68">
        <f>IF(F350="I",SUMIF('BG 2020'!B:B,Clasificaciones!C350,'BG 2020'!E:E),0)</f>
        <v>0</v>
      </c>
    </row>
    <row r="351" spans="1:13" s="166" customFormat="1" ht="12" customHeight="1">
      <c r="A351" s="163" t="s">
        <v>3</v>
      </c>
      <c r="B351" s="163"/>
      <c r="C351" s="164">
        <v>121022</v>
      </c>
      <c r="D351" s="164" t="s">
        <v>1055</v>
      </c>
      <c r="E351" s="165" t="s">
        <v>6</v>
      </c>
      <c r="F351" s="165" t="s">
        <v>343</v>
      </c>
      <c r="G351" s="47">
        <f>IF(F351="I",IFERROR(VLOOKUP(C351,'BG 2021'!A:C,3,FALSE),0),0)</f>
        <v>0</v>
      </c>
      <c r="H351" s="163"/>
      <c r="I351" s="68">
        <f>IF(F351="I",IFERROR(VLOOKUP(C351,'BG 2021'!A:D,4,FALSE),0),0)</f>
        <v>0</v>
      </c>
      <c r="J351" s="40"/>
      <c r="K351" s="47">
        <f>IF(F351="I",SUMIF('BG 2020'!B:B,Clasificaciones!C351,'BG 2020'!D:D),0)</f>
        <v>0</v>
      </c>
      <c r="L351" s="40"/>
      <c r="M351" s="68">
        <f>IF(F351="I",SUMIF('BG 2020'!B:B,Clasificaciones!C351,'BG 2020'!E:E),0)</f>
        <v>0</v>
      </c>
    </row>
    <row r="352" spans="1:13" s="166" customFormat="1" ht="12" customHeight="1">
      <c r="A352" s="163" t="s">
        <v>3</v>
      </c>
      <c r="B352" s="163"/>
      <c r="C352" s="164">
        <v>1210221</v>
      </c>
      <c r="D352" s="164" t="s">
        <v>767</v>
      </c>
      <c r="E352" s="165" t="s">
        <v>6</v>
      </c>
      <c r="F352" s="165" t="s">
        <v>343</v>
      </c>
      <c r="G352" s="47">
        <f>IF(F352="I",IFERROR(VLOOKUP(C352,'BG 2021'!A:C,3,FALSE),0),0)</f>
        <v>0</v>
      </c>
      <c r="H352" s="163"/>
      <c r="I352" s="68">
        <f>IF(F352="I",IFERROR(VLOOKUP(C352,'BG 2021'!A:D,4,FALSE),0),0)</f>
        <v>0</v>
      </c>
      <c r="J352" s="40"/>
      <c r="K352" s="47">
        <f>IF(F352="I",SUMIF('BG 2020'!B:B,Clasificaciones!C352,'BG 2020'!D:D),0)</f>
        <v>0</v>
      </c>
      <c r="L352" s="40"/>
      <c r="M352" s="68">
        <f>IF(F352="I",SUMIF('BG 2020'!B:B,Clasificaciones!C352,'BG 2020'!E:E),0)</f>
        <v>0</v>
      </c>
    </row>
    <row r="353" spans="1:13" s="166" customFormat="1" ht="12" customHeight="1">
      <c r="A353" s="163" t="s">
        <v>3</v>
      </c>
      <c r="B353" s="163"/>
      <c r="C353" s="164">
        <v>1210222</v>
      </c>
      <c r="D353" s="164" t="s">
        <v>770</v>
      </c>
      <c r="E353" s="165" t="s">
        <v>6</v>
      </c>
      <c r="F353" s="165" t="s">
        <v>343</v>
      </c>
      <c r="G353" s="47">
        <f>IF(F353="I",IFERROR(VLOOKUP(C353,'BG 2021'!A:C,3,FALSE),0),0)</f>
        <v>0</v>
      </c>
      <c r="H353" s="163"/>
      <c r="I353" s="68">
        <f>IF(F353="I",IFERROR(VLOOKUP(C353,'BG 2021'!A:D,4,FALSE),0),0)</f>
        <v>0</v>
      </c>
      <c r="J353" s="40"/>
      <c r="K353" s="47">
        <f>IF(F353="I",SUMIF('BG 2020'!B:B,Clasificaciones!C353,'BG 2020'!D:D),0)</f>
        <v>0</v>
      </c>
      <c r="L353" s="40"/>
      <c r="M353" s="68">
        <f>IF(F353="I",SUMIF('BG 2020'!B:B,Clasificaciones!C353,'BG 2020'!E:E),0)</f>
        <v>0</v>
      </c>
    </row>
    <row r="354" spans="1:13" s="166" customFormat="1" ht="12" customHeight="1">
      <c r="A354" s="163" t="s">
        <v>3</v>
      </c>
      <c r="B354" s="163"/>
      <c r="C354" s="164">
        <v>1210223</v>
      </c>
      <c r="D354" s="164" t="s">
        <v>774</v>
      </c>
      <c r="E354" s="165" t="s">
        <v>6</v>
      </c>
      <c r="F354" s="165" t="s">
        <v>343</v>
      </c>
      <c r="G354" s="47">
        <f>IF(F354="I",IFERROR(VLOOKUP(C354,'BG 2021'!A:C,3,FALSE),0),0)</f>
        <v>0</v>
      </c>
      <c r="H354" s="163"/>
      <c r="I354" s="68">
        <f>IF(F354="I",IFERROR(VLOOKUP(C354,'BG 2021'!A:D,4,FALSE),0),0)</f>
        <v>0</v>
      </c>
      <c r="J354" s="40"/>
      <c r="K354" s="47">
        <f>IF(F354="I",SUMIF('BG 2020'!B:B,Clasificaciones!C354,'BG 2020'!D:D),0)</f>
        <v>0</v>
      </c>
      <c r="L354" s="40"/>
      <c r="M354" s="68">
        <f>IF(F354="I",SUMIF('BG 2020'!B:B,Clasificaciones!C354,'BG 2020'!E:E),0)</f>
        <v>0</v>
      </c>
    </row>
    <row r="355" spans="1:13" s="166" customFormat="1" ht="12" customHeight="1">
      <c r="A355" s="163" t="s">
        <v>3</v>
      </c>
      <c r="B355" s="163"/>
      <c r="C355" s="164">
        <v>1210224</v>
      </c>
      <c r="D355" s="164" t="s">
        <v>779</v>
      </c>
      <c r="E355" s="165" t="s">
        <v>6</v>
      </c>
      <c r="F355" s="165" t="s">
        <v>343</v>
      </c>
      <c r="G355" s="47">
        <f>IF(F355="I",IFERROR(VLOOKUP(C355,'BG 2021'!A:C,3,FALSE),0),0)</f>
        <v>0</v>
      </c>
      <c r="H355" s="163"/>
      <c r="I355" s="68">
        <f>IF(F355="I",IFERROR(VLOOKUP(C355,'BG 2021'!A:D,4,FALSE),0),0)</f>
        <v>0</v>
      </c>
      <c r="J355" s="40"/>
      <c r="K355" s="47">
        <f>IF(F355="I",SUMIF('BG 2020'!B:B,Clasificaciones!C355,'BG 2020'!D:D),0)</f>
        <v>0</v>
      </c>
      <c r="L355" s="40"/>
      <c r="M355" s="68">
        <f>IF(F355="I",SUMIF('BG 2020'!B:B,Clasificaciones!C355,'BG 2020'!E:E),0)</f>
        <v>0</v>
      </c>
    </row>
    <row r="356" spans="1:13" s="166" customFormat="1" ht="12" customHeight="1">
      <c r="A356" s="163" t="s">
        <v>3</v>
      </c>
      <c r="B356" s="163"/>
      <c r="C356" s="164">
        <v>1210225</v>
      </c>
      <c r="D356" s="164" t="s">
        <v>1013</v>
      </c>
      <c r="E356" s="165" t="s">
        <v>6</v>
      </c>
      <c r="F356" s="165" t="s">
        <v>343</v>
      </c>
      <c r="G356" s="47">
        <f>IF(F356="I",IFERROR(VLOOKUP(C356,'BG 2021'!A:C,3,FALSE),0),0)</f>
        <v>0</v>
      </c>
      <c r="H356" s="163"/>
      <c r="I356" s="68">
        <f>IF(F356="I",IFERROR(VLOOKUP(C356,'BG 2021'!A:D,4,FALSE),0),0)</f>
        <v>0</v>
      </c>
      <c r="J356" s="40"/>
      <c r="K356" s="47">
        <f>IF(F356="I",SUMIF('BG 2020'!B:B,Clasificaciones!C356,'BG 2020'!D:D),0)</f>
        <v>0</v>
      </c>
      <c r="L356" s="40"/>
      <c r="M356" s="68">
        <f>IF(F356="I",SUMIF('BG 2020'!B:B,Clasificaciones!C356,'BG 2020'!E:E),0)</f>
        <v>0</v>
      </c>
    </row>
    <row r="357" spans="1:13" s="166" customFormat="1" ht="12" customHeight="1">
      <c r="A357" s="163" t="s">
        <v>3</v>
      </c>
      <c r="B357" s="163"/>
      <c r="C357" s="164">
        <v>1210226</v>
      </c>
      <c r="D357" s="164" t="s">
        <v>1108</v>
      </c>
      <c r="E357" s="165" t="s">
        <v>6</v>
      </c>
      <c r="F357" s="165" t="s">
        <v>343</v>
      </c>
      <c r="G357" s="47">
        <f>IF(F357="I",IFERROR(VLOOKUP(C357,'BG 2021'!A:C,3,FALSE),0),0)</f>
        <v>0</v>
      </c>
      <c r="H357" s="163"/>
      <c r="I357" s="68">
        <f>IF(F357="I",IFERROR(VLOOKUP(C357,'BG 2021'!A:D,4,FALSE),0),0)</f>
        <v>0</v>
      </c>
      <c r="J357" s="40"/>
      <c r="K357" s="47">
        <f>IF(F357="I",SUMIF('BG 2020'!B:B,Clasificaciones!C357,'BG 2020'!D:D),0)</f>
        <v>0</v>
      </c>
      <c r="L357" s="40"/>
      <c r="M357" s="68">
        <f>IF(F357="I",SUMIF('BG 2020'!B:B,Clasificaciones!C357,'BG 2020'!E:E),0)</f>
        <v>0</v>
      </c>
    </row>
    <row r="358" spans="1:13" s="166" customFormat="1" ht="12" customHeight="1">
      <c r="A358" s="163" t="s">
        <v>3</v>
      </c>
      <c r="B358" s="163"/>
      <c r="C358" s="164">
        <v>1210227</v>
      </c>
      <c r="D358" s="164" t="s">
        <v>781</v>
      </c>
      <c r="E358" s="165" t="s">
        <v>6</v>
      </c>
      <c r="F358" s="165" t="s">
        <v>343</v>
      </c>
      <c r="G358" s="47">
        <f>IF(F358="I",IFERROR(VLOOKUP(C358,'BG 2021'!A:C,3,FALSE),0),0)</f>
        <v>0</v>
      </c>
      <c r="H358" s="163"/>
      <c r="I358" s="68">
        <f>IF(F358="I",IFERROR(VLOOKUP(C358,'BG 2021'!A:D,4,FALSE),0),0)</f>
        <v>0</v>
      </c>
      <c r="J358" s="40"/>
      <c r="K358" s="47">
        <f>IF(F358="I",SUMIF('BG 2020'!B:B,Clasificaciones!C358,'BG 2020'!D:D),0)</f>
        <v>0</v>
      </c>
      <c r="L358" s="40"/>
      <c r="M358" s="68">
        <f>IF(F358="I",SUMIF('BG 2020'!B:B,Clasificaciones!C358,'BG 2020'!E:E),0)</f>
        <v>0</v>
      </c>
    </row>
    <row r="359" spans="1:13" s="166" customFormat="1" ht="12" customHeight="1">
      <c r="A359" s="163" t="s">
        <v>3</v>
      </c>
      <c r="B359" s="163"/>
      <c r="C359" s="164">
        <v>12102271</v>
      </c>
      <c r="D359" s="164" t="s">
        <v>782</v>
      </c>
      <c r="E359" s="165" t="s">
        <v>6</v>
      </c>
      <c r="F359" s="165" t="s">
        <v>343</v>
      </c>
      <c r="G359" s="47">
        <f>IF(F359="I",IFERROR(VLOOKUP(C359,'BG 2021'!A:C,3,FALSE),0),0)</f>
        <v>0</v>
      </c>
      <c r="H359" s="163"/>
      <c r="I359" s="68">
        <f>IF(F359="I",IFERROR(VLOOKUP(C359,'BG 2021'!A:D,4,FALSE),0),0)</f>
        <v>0</v>
      </c>
      <c r="J359" s="40"/>
      <c r="K359" s="47">
        <f>IF(F359="I",SUMIF('BG 2020'!B:B,Clasificaciones!C359,'BG 2020'!D:D),0)</f>
        <v>0</v>
      </c>
      <c r="L359" s="40"/>
      <c r="M359" s="68">
        <f>IF(F359="I",SUMIF('BG 2020'!B:B,Clasificaciones!C359,'BG 2020'!E:E),0)</f>
        <v>0</v>
      </c>
    </row>
    <row r="360" spans="1:13" s="166" customFormat="1" ht="12" customHeight="1">
      <c r="A360" s="163" t="s">
        <v>3</v>
      </c>
      <c r="B360" s="163"/>
      <c r="C360" s="164">
        <v>12102272</v>
      </c>
      <c r="D360" s="164" t="s">
        <v>791</v>
      </c>
      <c r="E360" s="165" t="s">
        <v>6</v>
      </c>
      <c r="F360" s="165" t="s">
        <v>343</v>
      </c>
      <c r="G360" s="47">
        <f>IF(F360="I",IFERROR(VLOOKUP(C360,'BG 2021'!A:C,3,FALSE),0),0)</f>
        <v>0</v>
      </c>
      <c r="H360" s="163"/>
      <c r="I360" s="68">
        <f>IF(F360="I",IFERROR(VLOOKUP(C360,'BG 2021'!A:D,4,FALSE),0),0)</f>
        <v>0</v>
      </c>
      <c r="J360" s="40"/>
      <c r="K360" s="47">
        <f>IF(F360="I",SUMIF('BG 2020'!B:B,Clasificaciones!C360,'BG 2020'!D:D),0)</f>
        <v>0</v>
      </c>
      <c r="L360" s="40"/>
      <c r="M360" s="68">
        <f>IF(F360="I",SUMIF('BG 2020'!B:B,Clasificaciones!C360,'BG 2020'!E:E),0)</f>
        <v>0</v>
      </c>
    </row>
    <row r="361" spans="1:13" s="166" customFormat="1" ht="12" customHeight="1">
      <c r="A361" s="163" t="s">
        <v>3</v>
      </c>
      <c r="B361" s="163"/>
      <c r="C361" s="164">
        <v>1210228</v>
      </c>
      <c r="D361" s="164" t="s">
        <v>1105</v>
      </c>
      <c r="E361" s="165" t="s">
        <v>6</v>
      </c>
      <c r="F361" s="165" t="s">
        <v>343</v>
      </c>
      <c r="G361" s="47">
        <f>IF(F361="I",IFERROR(VLOOKUP(C361,'BG 2021'!A:C,3,FALSE),0),0)</f>
        <v>0</v>
      </c>
      <c r="H361" s="163"/>
      <c r="I361" s="68">
        <f>IF(F361="I",IFERROR(VLOOKUP(C361,'BG 2021'!A:D,4,FALSE),0),0)</f>
        <v>0</v>
      </c>
      <c r="J361" s="40"/>
      <c r="K361" s="47">
        <f>IF(F361="I",SUMIF('BG 2020'!B:B,Clasificaciones!C361,'BG 2020'!D:D),0)</f>
        <v>0</v>
      </c>
      <c r="L361" s="40"/>
      <c r="M361" s="68">
        <f>IF(F361="I",SUMIF('BG 2020'!B:B,Clasificaciones!C361,'BG 2020'!E:E),0)</f>
        <v>0</v>
      </c>
    </row>
    <row r="362" spans="1:13" s="166" customFormat="1" ht="12" customHeight="1">
      <c r="A362" s="163" t="s">
        <v>3</v>
      </c>
      <c r="B362" s="163"/>
      <c r="C362" s="164">
        <v>12103</v>
      </c>
      <c r="D362" s="164" t="s">
        <v>827</v>
      </c>
      <c r="E362" s="165" t="s">
        <v>6</v>
      </c>
      <c r="F362" s="165" t="s">
        <v>343</v>
      </c>
      <c r="G362" s="47">
        <f>IF(F362="I",IFERROR(VLOOKUP(C362,'BG 2021'!A:C,3,FALSE),0),0)</f>
        <v>0</v>
      </c>
      <c r="H362" s="163"/>
      <c r="I362" s="68">
        <f>IF(F362="I",IFERROR(VLOOKUP(C362,'BG 2021'!A:D,4,FALSE),0),0)</f>
        <v>0</v>
      </c>
      <c r="J362" s="40"/>
      <c r="K362" s="47">
        <f>IF(F362="I",SUMIF('BG 2020'!B:B,Clasificaciones!C362,'BG 2020'!D:D),0)</f>
        <v>0</v>
      </c>
      <c r="L362" s="40"/>
      <c r="M362" s="68">
        <f>IF(F362="I",SUMIF('BG 2020'!B:B,Clasificaciones!C362,'BG 2020'!E:E),0)</f>
        <v>0</v>
      </c>
    </row>
    <row r="363" spans="1:13" s="173" customFormat="1" ht="12" customHeight="1">
      <c r="A363" s="168" t="s">
        <v>3</v>
      </c>
      <c r="B363" s="168" t="s">
        <v>74</v>
      </c>
      <c r="C363" s="169">
        <v>1210301</v>
      </c>
      <c r="D363" s="169" t="s">
        <v>828</v>
      </c>
      <c r="E363" s="170" t="s">
        <v>6</v>
      </c>
      <c r="F363" s="170" t="s">
        <v>344</v>
      </c>
      <c r="G363" s="157">
        <f>IF(F363="I",IFERROR(VLOOKUP(C363,'BG 2021'!A:C,3,FALSE),0),0)</f>
        <v>900000000</v>
      </c>
      <c r="H363" s="168" t="s">
        <v>74</v>
      </c>
      <c r="I363" s="172">
        <f>IF(F363="I",IFERROR(VLOOKUP(C363,'BG 2021'!A:D,4,FALSE),0),0)</f>
        <v>130988.91999999998</v>
      </c>
      <c r="J363" s="171"/>
      <c r="K363" s="157">
        <f>IF(F363="I",SUMIF('BG 2020'!B:B,Clasificaciones!C363,'BG 2020'!D:D),0)</f>
        <v>851000000</v>
      </c>
      <c r="L363" s="171"/>
      <c r="M363" s="172">
        <f>IF(F363="I",SUMIF('BG 2020'!B:B,Clasificaciones!C363,'BG 2020'!E:E),0)</f>
        <v>123477.20999999998</v>
      </c>
    </row>
    <row r="364" spans="1:13" s="166" customFormat="1" ht="12" customHeight="1">
      <c r="A364" s="163" t="s">
        <v>3</v>
      </c>
      <c r="B364" s="163"/>
      <c r="C364" s="164">
        <v>127</v>
      </c>
      <c r="D364" s="164" t="s">
        <v>829</v>
      </c>
      <c r="E364" s="165" t="s">
        <v>6</v>
      </c>
      <c r="F364" s="165" t="s">
        <v>343</v>
      </c>
      <c r="G364" s="47">
        <f>IF(F364="I",IFERROR(VLOOKUP(C364,'BG 2021'!A:C,3,FALSE),0),0)</f>
        <v>0</v>
      </c>
      <c r="H364" s="163"/>
      <c r="I364" s="68">
        <f>IF(F364="I",IFERROR(VLOOKUP(C364,'BG 2021'!A:D,4,FALSE),0),0)</f>
        <v>0</v>
      </c>
      <c r="J364" s="40"/>
      <c r="K364" s="47">
        <f>IF(F364="I",SUMIF('BG 2020'!B:B,Clasificaciones!C364,'BG 2020'!D:D),0)</f>
        <v>0</v>
      </c>
      <c r="L364" s="40"/>
      <c r="M364" s="68">
        <f>IF(F364="I",SUMIF('BG 2020'!B:B,Clasificaciones!C364,'BG 2020'!E:E),0)</f>
        <v>0</v>
      </c>
    </row>
    <row r="365" spans="1:13" s="166" customFormat="1" ht="12" customHeight="1">
      <c r="A365" s="163" t="s">
        <v>3</v>
      </c>
      <c r="B365" s="163"/>
      <c r="C365" s="164">
        <v>12701</v>
      </c>
      <c r="D365" s="164" t="s">
        <v>830</v>
      </c>
      <c r="E365" s="165" t="s">
        <v>6</v>
      </c>
      <c r="F365" s="165" t="s">
        <v>343</v>
      </c>
      <c r="G365" s="47">
        <f>IF(F365="I",IFERROR(VLOOKUP(C365,'BG 2021'!A:C,3,FALSE),0),0)</f>
        <v>0</v>
      </c>
      <c r="H365" s="163"/>
      <c r="I365" s="68">
        <f>IF(F365="I",IFERROR(VLOOKUP(C365,'BG 2021'!A:D,4,FALSE),0),0)</f>
        <v>0</v>
      </c>
      <c r="J365" s="40"/>
      <c r="K365" s="47">
        <f>IF(F365="I",SUMIF('BG 2020'!B:B,Clasificaciones!C365,'BG 2020'!D:D),0)</f>
        <v>0</v>
      </c>
      <c r="L365" s="40"/>
      <c r="M365" s="68">
        <f>IF(F365="I",SUMIF('BG 2020'!B:B,Clasificaciones!C365,'BG 2020'!E:E),0)</f>
        <v>0</v>
      </c>
    </row>
    <row r="366" spans="1:13" s="166" customFormat="1" ht="12" customHeight="1">
      <c r="A366" s="163" t="s">
        <v>3</v>
      </c>
      <c r="B366" s="163"/>
      <c r="C366" s="164">
        <v>1270101</v>
      </c>
      <c r="D366" s="164" t="s">
        <v>1109</v>
      </c>
      <c r="E366" s="165" t="s">
        <v>6</v>
      </c>
      <c r="F366" s="165" t="s">
        <v>344</v>
      </c>
      <c r="G366" s="47">
        <f>IF(F366="I",IFERROR(VLOOKUP(C366,'BG 2021'!A:C,3,FALSE),0),0)</f>
        <v>0</v>
      </c>
      <c r="H366" s="163"/>
      <c r="I366" s="68">
        <f>IF(F366="I",IFERROR(VLOOKUP(C366,'BG 2021'!A:D,4,FALSE),0),0)</f>
        <v>0</v>
      </c>
      <c r="J366" s="40"/>
      <c r="K366" s="47">
        <f>IF(F366="I",SUMIF('BG 2020'!B:B,Clasificaciones!C366,'BG 2020'!D:D),0)</f>
        <v>0</v>
      </c>
      <c r="L366" s="40"/>
      <c r="M366" s="68">
        <f>IF(F366="I",SUMIF('BG 2020'!B:B,Clasificaciones!C366,'BG 2020'!E:E),0)</f>
        <v>0</v>
      </c>
    </row>
    <row r="367" spans="1:13" s="173" customFormat="1" ht="12" customHeight="1">
      <c r="A367" s="168" t="s">
        <v>3</v>
      </c>
      <c r="B367" s="168" t="s">
        <v>1436</v>
      </c>
      <c r="C367" s="169">
        <v>1270102</v>
      </c>
      <c r="D367" s="169" t="s">
        <v>164</v>
      </c>
      <c r="E367" s="170" t="s">
        <v>6</v>
      </c>
      <c r="F367" s="170" t="s">
        <v>344</v>
      </c>
      <c r="G367" s="157">
        <f>IF(F367="I",IFERROR(VLOOKUP(C367,'BG 2021'!A:C,3,FALSE),0),0)</f>
        <v>122540485</v>
      </c>
      <c r="H367" s="168" t="s">
        <v>1436</v>
      </c>
      <c r="I367" s="172">
        <f>IF(F367="I",IFERROR(VLOOKUP(C367,'BG 2021'!A:D,4,FALSE),0),0)</f>
        <v>18105.099999999999</v>
      </c>
      <c r="J367" s="171"/>
      <c r="K367" s="157">
        <f>IF(F367="I",SUMIF('BG 2020'!B:B,Clasificaciones!C367,'BG 2020'!D:D),0)</f>
        <v>0</v>
      </c>
      <c r="L367" s="171"/>
      <c r="M367" s="172">
        <f>IF(F367="I",SUMIF('BG 2020'!B:B,Clasificaciones!C367,'BG 2020'!E:E),0)</f>
        <v>0</v>
      </c>
    </row>
    <row r="368" spans="1:13" s="173" customFormat="1" ht="12" customHeight="1">
      <c r="A368" s="168" t="s">
        <v>3</v>
      </c>
      <c r="B368" s="168" t="s">
        <v>1436</v>
      </c>
      <c r="C368" s="169">
        <v>1270103</v>
      </c>
      <c r="D368" s="169" t="s">
        <v>831</v>
      </c>
      <c r="E368" s="170" t="s">
        <v>6</v>
      </c>
      <c r="F368" s="170" t="s">
        <v>344</v>
      </c>
      <c r="G368" s="157">
        <f>IF(F368="I",IFERROR(VLOOKUP(C368,'BG 2021'!A:C,3,FALSE),0),0)</f>
        <v>249008778</v>
      </c>
      <c r="H368" s="168" t="s">
        <v>1436</v>
      </c>
      <c r="I368" s="172">
        <f>IF(F368="I",IFERROR(VLOOKUP(C368,'BG 2021'!A:D,4,FALSE),0),0)</f>
        <v>36822.800000000003</v>
      </c>
      <c r="J368" s="171"/>
      <c r="K368" s="157">
        <f>IF(F368="I",SUMIF('BG 2020'!B:B,Clasificaciones!C368,'BG 2020'!D:D),0)</f>
        <v>1307727</v>
      </c>
      <c r="L368" s="171"/>
      <c r="M368" s="172">
        <f>IF(F368="I",SUMIF('BG 2020'!B:B,Clasificaciones!C368,'BG 2020'!E:E),0)</f>
        <v>195.77</v>
      </c>
    </row>
    <row r="369" spans="1:13" s="173" customFormat="1" ht="12" customHeight="1">
      <c r="A369" s="168" t="s">
        <v>3</v>
      </c>
      <c r="B369" s="168" t="s">
        <v>1436</v>
      </c>
      <c r="C369" s="169">
        <v>1270104</v>
      </c>
      <c r="D369" s="169" t="s">
        <v>832</v>
      </c>
      <c r="E369" s="170" t="s">
        <v>6</v>
      </c>
      <c r="F369" s="170" t="s">
        <v>344</v>
      </c>
      <c r="G369" s="157">
        <f>IF(F369="I",IFERROR(VLOOKUP(C369,'BG 2021'!A:C,3,FALSE),0),0)</f>
        <v>357508232</v>
      </c>
      <c r="H369" s="168" t="s">
        <v>1436</v>
      </c>
      <c r="I369" s="172">
        <f>IF(F369="I",IFERROR(VLOOKUP(C369,'BG 2021'!A:D,4,FALSE),0),0)</f>
        <v>52550.51</v>
      </c>
      <c r="J369" s="171"/>
      <c r="K369" s="157">
        <f>IF(F369="I",SUMIF('BG 2020'!B:B,Clasificaciones!C369,'BG 2020'!D:D),0)</f>
        <v>16238918</v>
      </c>
      <c r="L369" s="171"/>
      <c r="M369" s="172">
        <f>IF(F369="I",SUMIF('BG 2020'!B:B,Clasificaciones!C369,'BG 2020'!E:E),0)</f>
        <v>2509.09</v>
      </c>
    </row>
    <row r="370" spans="1:13" s="166" customFormat="1">
      <c r="A370" s="163" t="s">
        <v>3</v>
      </c>
      <c r="B370" s="163"/>
      <c r="C370" s="164">
        <v>1270105</v>
      </c>
      <c r="D370" s="164" t="s">
        <v>1110</v>
      </c>
      <c r="E370" s="165" t="s">
        <v>6</v>
      </c>
      <c r="F370" s="165" t="s">
        <v>344</v>
      </c>
      <c r="G370" s="47">
        <f>IF(F370="I",IFERROR(VLOOKUP(C370,'BG 2021'!A:C,3,FALSE),0),0)</f>
        <v>0</v>
      </c>
      <c r="H370" s="163"/>
      <c r="I370" s="68">
        <f>IF(F370="I",IFERROR(VLOOKUP(C370,'BG 2021'!A:D,4,FALSE),0),0)</f>
        <v>0</v>
      </c>
      <c r="J370" s="40"/>
      <c r="K370" s="47">
        <f>IF(F370="I",SUMIF('BG 2020'!B:B,Clasificaciones!C370,'BG 2020'!D:D),0)</f>
        <v>0</v>
      </c>
      <c r="L370" s="40"/>
      <c r="M370" s="68">
        <f>IF(F370="I",SUMIF('BG 2020'!B:B,Clasificaciones!C370,'BG 2020'!E:E),0)</f>
        <v>0</v>
      </c>
    </row>
    <row r="371" spans="1:13" s="166" customFormat="1">
      <c r="A371" s="163" t="s">
        <v>3</v>
      </c>
      <c r="B371" s="163"/>
      <c r="C371" s="164">
        <v>1270106</v>
      </c>
      <c r="D371" s="164" t="s">
        <v>1111</v>
      </c>
      <c r="E371" s="165" t="s">
        <v>6</v>
      </c>
      <c r="F371" s="165" t="s">
        <v>344</v>
      </c>
      <c r="G371" s="47">
        <f>IF(F371="I",IFERROR(VLOOKUP(C371,'BG 2021'!A:C,3,FALSE),0),0)</f>
        <v>0</v>
      </c>
      <c r="H371" s="163"/>
      <c r="I371" s="68">
        <f>IF(F371="I",IFERROR(VLOOKUP(C371,'BG 2021'!A:D,4,FALSE),0),0)</f>
        <v>0</v>
      </c>
      <c r="J371" s="40"/>
      <c r="K371" s="47">
        <f>IF(F371="I",SUMIF('BG 2020'!B:B,Clasificaciones!C371,'BG 2020'!D:D),0)</f>
        <v>0</v>
      </c>
      <c r="L371" s="40"/>
      <c r="M371" s="68">
        <f>IF(F371="I",SUMIF('BG 2020'!B:B,Clasificaciones!C371,'BG 2020'!E:E),0)</f>
        <v>0</v>
      </c>
    </row>
    <row r="372" spans="1:13" s="173" customFormat="1">
      <c r="A372" s="168" t="s">
        <v>3</v>
      </c>
      <c r="B372" s="168" t="s">
        <v>1436</v>
      </c>
      <c r="C372" s="169">
        <v>1270107</v>
      </c>
      <c r="D372" s="169" t="s">
        <v>1120</v>
      </c>
      <c r="E372" s="170" t="s">
        <v>6</v>
      </c>
      <c r="F372" s="170" t="s">
        <v>344</v>
      </c>
      <c r="G372" s="157">
        <f>IF(F372="I",IFERROR(VLOOKUP(C372,'BG 2021'!A:C,3,FALSE),0),0)</f>
        <v>316522493</v>
      </c>
      <c r="H372" s="168" t="s">
        <v>1436</v>
      </c>
      <c r="I372" s="172">
        <f>IF(F372="I",IFERROR(VLOOKUP(C372,'BG 2021'!A:D,4,FALSE),0),0)</f>
        <v>47288.01</v>
      </c>
      <c r="J372" s="171"/>
      <c r="K372" s="157">
        <f>IF(F372="I",SUMIF('BG 2020'!B:B,Clasificaciones!C372,'BG 2020'!D:D),0)</f>
        <v>0</v>
      </c>
      <c r="L372" s="171"/>
      <c r="M372" s="172">
        <f>IF(F372="I",SUMIF('BG 2020'!B:B,Clasificaciones!C372,'BG 2020'!E:E),0)</f>
        <v>0</v>
      </c>
    </row>
    <row r="373" spans="1:13" s="166" customFormat="1">
      <c r="A373" s="163" t="s">
        <v>3</v>
      </c>
      <c r="B373" s="163"/>
      <c r="C373" s="164">
        <v>1270120</v>
      </c>
      <c r="D373" s="164" t="s">
        <v>833</v>
      </c>
      <c r="E373" s="165" t="s">
        <v>6</v>
      </c>
      <c r="F373" s="165" t="s">
        <v>343</v>
      </c>
      <c r="G373" s="47">
        <f>IF(F373="I",IFERROR(VLOOKUP(C373,'BG 2021'!A:C,3,FALSE),0),0)</f>
        <v>0</v>
      </c>
      <c r="H373" s="163"/>
      <c r="I373" s="68">
        <f>IF(F373="I",IFERROR(VLOOKUP(C373,'BG 2021'!A:D,4,FALSE),0),0)</f>
        <v>0</v>
      </c>
      <c r="J373" s="40"/>
      <c r="K373" s="47">
        <f>IF(F373="I",SUMIF('BG 2020'!B:B,Clasificaciones!C373,'BG 2020'!D:D),0)</f>
        <v>0</v>
      </c>
      <c r="L373" s="40"/>
      <c r="M373" s="68">
        <f>IF(F373="I",SUMIF('BG 2020'!B:B,Clasificaciones!C373,'BG 2020'!E:E),0)</f>
        <v>0</v>
      </c>
    </row>
    <row r="374" spans="1:13" s="166" customFormat="1" ht="12" customHeight="1">
      <c r="A374" s="163" t="s">
        <v>3</v>
      </c>
      <c r="B374" s="163"/>
      <c r="C374" s="164">
        <v>127012001</v>
      </c>
      <c r="D374" s="164" t="s">
        <v>1112</v>
      </c>
      <c r="E374" s="165" t="s">
        <v>6</v>
      </c>
      <c r="F374" s="165" t="s">
        <v>344</v>
      </c>
      <c r="G374" s="47">
        <f>IF(F374="I",IFERROR(VLOOKUP(C374,'BG 2021'!A:C,3,FALSE),0),0)</f>
        <v>0</v>
      </c>
      <c r="H374" s="163"/>
      <c r="I374" s="68">
        <f>IF(F374="I",IFERROR(VLOOKUP(C374,'BG 2021'!A:D,4,FALSE),0),0)</f>
        <v>0</v>
      </c>
      <c r="J374" s="40"/>
      <c r="K374" s="47">
        <f>IF(F374="I",SUMIF('BG 2020'!B:B,Clasificaciones!C374,'BG 2020'!D:D),0)</f>
        <v>0</v>
      </c>
      <c r="L374" s="40"/>
      <c r="M374" s="68">
        <f>IF(F374="I",SUMIF('BG 2020'!B:B,Clasificaciones!C374,'BG 2020'!E:E),0)</f>
        <v>0</v>
      </c>
    </row>
    <row r="375" spans="1:13" s="166" customFormat="1" ht="12" customHeight="1">
      <c r="A375" s="163" t="s">
        <v>3</v>
      </c>
      <c r="B375" s="163"/>
      <c r="C375" s="164">
        <v>127012002</v>
      </c>
      <c r="D375" s="164" t="s">
        <v>1113</v>
      </c>
      <c r="E375" s="165" t="s">
        <v>6</v>
      </c>
      <c r="F375" s="165" t="s">
        <v>344</v>
      </c>
      <c r="G375" s="47">
        <f>IF(F375="I",IFERROR(VLOOKUP(C375,'BG 2021'!A:C,3,FALSE),0),0)</f>
        <v>0</v>
      </c>
      <c r="H375" s="163"/>
      <c r="I375" s="68">
        <f>IF(F375="I",IFERROR(VLOOKUP(C375,'BG 2021'!A:D,4,FALSE),0),0)</f>
        <v>0</v>
      </c>
      <c r="J375" s="40"/>
      <c r="K375" s="47">
        <f>IF(F375="I",SUMIF('BG 2020'!B:B,Clasificaciones!C375,'BG 2020'!D:D),0)</f>
        <v>0</v>
      </c>
      <c r="L375" s="40"/>
      <c r="M375" s="68">
        <f>IF(F375="I",SUMIF('BG 2020'!B:B,Clasificaciones!C375,'BG 2020'!E:E),0)</f>
        <v>0</v>
      </c>
    </row>
    <row r="376" spans="1:13" s="173" customFormat="1" ht="12" customHeight="1">
      <c r="A376" s="168" t="s">
        <v>3</v>
      </c>
      <c r="B376" s="168" t="s">
        <v>1437</v>
      </c>
      <c r="C376" s="169">
        <v>127012003</v>
      </c>
      <c r="D376" s="169" t="s">
        <v>834</v>
      </c>
      <c r="E376" s="170" t="s">
        <v>6</v>
      </c>
      <c r="F376" s="170" t="s">
        <v>344</v>
      </c>
      <c r="G376" s="157">
        <f>IF(F376="I",IFERROR(VLOOKUP(C376,'BG 2021'!A:C,3,FALSE),0),0)</f>
        <v>-588477</v>
      </c>
      <c r="H376" s="168" t="s">
        <v>1437</v>
      </c>
      <c r="I376" s="172">
        <f>IF(F376="I",IFERROR(VLOOKUP(C376,'BG 2021'!A:D,4,FALSE),0),0)</f>
        <v>-88.1</v>
      </c>
      <c r="J376" s="171"/>
      <c r="K376" s="157">
        <f>IF(F376="I",SUMIF('BG 2020'!B:B,Clasificaciones!C376,'BG 2020'!D:D),0)</f>
        <v>0</v>
      </c>
      <c r="L376" s="171"/>
      <c r="M376" s="172">
        <f>IF(F376="I",SUMIF('BG 2020'!B:B,Clasificaciones!C376,'BG 2020'!E:E),0)</f>
        <v>0</v>
      </c>
    </row>
    <row r="377" spans="1:13" s="173" customFormat="1" ht="12" customHeight="1">
      <c r="A377" s="168" t="s">
        <v>3</v>
      </c>
      <c r="B377" s="168" t="s">
        <v>1437</v>
      </c>
      <c r="C377" s="169">
        <v>127012004</v>
      </c>
      <c r="D377" s="169" t="s">
        <v>835</v>
      </c>
      <c r="E377" s="170" t="s">
        <v>6</v>
      </c>
      <c r="F377" s="170" t="s">
        <v>344</v>
      </c>
      <c r="G377" s="157">
        <f>IF(F377="I",IFERROR(VLOOKUP(C377,'BG 2021'!A:C,3,FALSE),0),0)</f>
        <v>-9953111</v>
      </c>
      <c r="H377" s="168" t="s">
        <v>1437</v>
      </c>
      <c r="I377" s="172">
        <f>IF(F377="I",IFERROR(VLOOKUP(C377,'BG 2021'!A:D,4,FALSE),0),0)</f>
        <v>-1558.98</v>
      </c>
      <c r="J377" s="171"/>
      <c r="K377" s="157">
        <f>IF(F377="I",SUMIF('BG 2020'!B:B,Clasificaciones!C377,'BG 2020'!D:D),0)</f>
        <v>-2839598</v>
      </c>
      <c r="L377" s="171"/>
      <c r="M377" s="172">
        <f>IF(F377="I",SUMIF('BG 2020'!B:B,Clasificaciones!C377,'BG 2020'!E:E),0)</f>
        <v>-435.97</v>
      </c>
    </row>
    <row r="378" spans="1:13" s="166" customFormat="1" ht="12" customHeight="1">
      <c r="A378" s="163" t="s">
        <v>3</v>
      </c>
      <c r="B378" s="163"/>
      <c r="C378" s="164">
        <v>127012005</v>
      </c>
      <c r="D378" s="164" t="s">
        <v>1114</v>
      </c>
      <c r="E378" s="165" t="s">
        <v>6</v>
      </c>
      <c r="F378" s="165" t="s">
        <v>344</v>
      </c>
      <c r="G378" s="47">
        <f>IF(F378="I",IFERROR(VLOOKUP(C378,'BG 2021'!A:C,3,FALSE),0),0)</f>
        <v>0</v>
      </c>
      <c r="H378" s="163"/>
      <c r="I378" s="68">
        <f>IF(F378="I",IFERROR(VLOOKUP(C378,'BG 2021'!A:D,4,FALSE),0),0)</f>
        <v>0</v>
      </c>
      <c r="J378" s="40"/>
      <c r="K378" s="47">
        <f>IF(F378="I",SUMIF('BG 2020'!B:B,Clasificaciones!C378,'BG 2020'!D:D),0)</f>
        <v>0</v>
      </c>
      <c r="L378" s="40"/>
      <c r="M378" s="68">
        <f>IF(F378="I",SUMIF('BG 2020'!B:B,Clasificaciones!C378,'BG 2020'!E:E),0)</f>
        <v>0</v>
      </c>
    </row>
    <row r="379" spans="1:13" s="166" customFormat="1" ht="12" customHeight="1">
      <c r="A379" s="163" t="s">
        <v>3</v>
      </c>
      <c r="B379" s="163"/>
      <c r="C379" s="164">
        <v>12702</v>
      </c>
      <c r="D379" s="164" t="s">
        <v>1115</v>
      </c>
      <c r="E379" s="165" t="s">
        <v>6</v>
      </c>
      <c r="F379" s="165" t="s">
        <v>343</v>
      </c>
      <c r="G379" s="47">
        <f>IF(F379="I",IFERROR(VLOOKUP(C379,'BG 2021'!A:C,3,FALSE),0),0)</f>
        <v>0</v>
      </c>
      <c r="H379" s="163"/>
      <c r="I379" s="68">
        <f>IF(F379="I",IFERROR(VLOOKUP(C379,'BG 2021'!A:D,4,FALSE),0),0)</f>
        <v>0</v>
      </c>
      <c r="J379" s="40"/>
      <c r="K379" s="47">
        <f>IF(F379="I",SUMIF('BG 2020'!B:B,Clasificaciones!C379,'BG 2020'!D:D),0)</f>
        <v>0</v>
      </c>
      <c r="L379" s="40"/>
      <c r="M379" s="68">
        <f>IF(F379="I",SUMIF('BG 2020'!B:B,Clasificaciones!C379,'BG 2020'!E:E),0)</f>
        <v>0</v>
      </c>
    </row>
    <row r="380" spans="1:13" s="166" customFormat="1" ht="12" customHeight="1">
      <c r="A380" s="163" t="s">
        <v>3</v>
      </c>
      <c r="B380" s="163"/>
      <c r="C380" s="164">
        <v>1270201</v>
      </c>
      <c r="D380" s="164" t="s">
        <v>1116</v>
      </c>
      <c r="E380" s="165" t="s">
        <v>6</v>
      </c>
      <c r="F380" s="165" t="s">
        <v>344</v>
      </c>
      <c r="G380" s="47">
        <f>IF(F380="I",IFERROR(VLOOKUP(C380,'BG 2021'!A:C,3,FALSE),0),0)</f>
        <v>0</v>
      </c>
      <c r="H380" s="163"/>
      <c r="I380" s="68">
        <f>IF(F380="I",IFERROR(VLOOKUP(C380,'BG 2021'!A:D,4,FALSE),0),0)</f>
        <v>0</v>
      </c>
      <c r="J380" s="40"/>
      <c r="K380" s="47">
        <f>IF(F380="I",SUMIF('BG 2020'!B:B,Clasificaciones!C380,'BG 2020'!D:D),0)</f>
        <v>0</v>
      </c>
      <c r="L380" s="40"/>
      <c r="M380" s="68">
        <f>IF(F380="I",SUMIF('BG 2020'!B:B,Clasificaciones!C380,'BG 2020'!E:E),0)</f>
        <v>0</v>
      </c>
    </row>
    <row r="381" spans="1:13" s="166" customFormat="1" ht="12" customHeight="1">
      <c r="A381" s="163" t="s">
        <v>3</v>
      </c>
      <c r="B381" s="163"/>
      <c r="C381" s="164">
        <v>1270202</v>
      </c>
      <c r="D381" s="164" t="s">
        <v>1117</v>
      </c>
      <c r="E381" s="165" t="s">
        <v>6</v>
      </c>
      <c r="F381" s="165" t="s">
        <v>344</v>
      </c>
      <c r="G381" s="47">
        <f>IF(F381="I",IFERROR(VLOOKUP(C381,'BG 2021'!A:C,3,FALSE),0),0)</f>
        <v>0</v>
      </c>
      <c r="H381" s="163"/>
      <c r="I381" s="68">
        <f>IF(F381="I",IFERROR(VLOOKUP(C381,'BG 2021'!A:D,4,FALSE),0),0)</f>
        <v>0</v>
      </c>
      <c r="J381" s="40"/>
      <c r="K381" s="47">
        <f>IF(F381="I",SUMIF('BG 2020'!B:B,Clasificaciones!C381,'BG 2020'!D:D),0)</f>
        <v>0</v>
      </c>
      <c r="L381" s="40"/>
      <c r="M381" s="68">
        <f>IF(F381="I",SUMIF('BG 2020'!B:B,Clasificaciones!C381,'BG 2020'!E:E),0)</f>
        <v>0</v>
      </c>
    </row>
    <row r="382" spans="1:13" s="166" customFormat="1" ht="12" customHeight="1">
      <c r="A382" s="163" t="s">
        <v>3</v>
      </c>
      <c r="B382" s="163"/>
      <c r="C382" s="164">
        <v>1270203</v>
      </c>
      <c r="D382" s="164" t="s">
        <v>1118</v>
      </c>
      <c r="E382" s="165" t="s">
        <v>6</v>
      </c>
      <c r="F382" s="165" t="s">
        <v>344</v>
      </c>
      <c r="G382" s="47">
        <f>IF(F382="I",IFERROR(VLOOKUP(C382,'BG 2021'!A:C,3,FALSE),0),0)</f>
        <v>0</v>
      </c>
      <c r="H382" s="163"/>
      <c r="I382" s="68">
        <f>IF(F382="I",IFERROR(VLOOKUP(C382,'BG 2021'!A:D,4,FALSE),0),0)</f>
        <v>0</v>
      </c>
      <c r="J382" s="40"/>
      <c r="K382" s="47">
        <f>IF(F382="I",SUMIF('BG 2020'!B:B,Clasificaciones!C382,'BG 2020'!D:D),0)</f>
        <v>0</v>
      </c>
      <c r="L382" s="40"/>
      <c r="M382" s="68">
        <f>IF(F382="I",SUMIF('BG 2020'!B:B,Clasificaciones!C382,'BG 2020'!E:E),0)</f>
        <v>0</v>
      </c>
    </row>
    <row r="383" spans="1:13" s="166" customFormat="1" ht="12" customHeight="1">
      <c r="A383" s="163" t="s">
        <v>3</v>
      </c>
      <c r="B383" s="163"/>
      <c r="C383" s="164">
        <v>1270220</v>
      </c>
      <c r="D383" s="164" t="s">
        <v>833</v>
      </c>
      <c r="E383" s="165" t="s">
        <v>6</v>
      </c>
      <c r="F383" s="165" t="s">
        <v>344</v>
      </c>
      <c r="G383" s="47">
        <f>IF(F383="I",IFERROR(VLOOKUP(C383,'BG 2021'!A:C,3,FALSE),0),0)</f>
        <v>0</v>
      </c>
      <c r="H383" s="163"/>
      <c r="I383" s="68">
        <f>IF(F383="I",IFERROR(VLOOKUP(C383,'BG 2021'!A:D,4,FALSE),0),0)</f>
        <v>0</v>
      </c>
      <c r="J383" s="40"/>
      <c r="K383" s="47">
        <f>IF(F383="I",SUMIF('BG 2020'!B:B,Clasificaciones!C383,'BG 2020'!D:D),0)</f>
        <v>0</v>
      </c>
      <c r="L383" s="40"/>
      <c r="M383" s="68">
        <f>IF(F383="I",SUMIF('BG 2020'!B:B,Clasificaciones!C383,'BG 2020'!E:E),0)</f>
        <v>0</v>
      </c>
    </row>
    <row r="384" spans="1:13" s="166" customFormat="1" ht="12" customHeight="1">
      <c r="A384" s="163" t="s">
        <v>3</v>
      </c>
      <c r="B384" s="163"/>
      <c r="C384" s="164">
        <v>128</v>
      </c>
      <c r="D384" s="164" t="s">
        <v>836</v>
      </c>
      <c r="E384" s="165" t="s">
        <v>6</v>
      </c>
      <c r="F384" s="165" t="s">
        <v>343</v>
      </c>
      <c r="G384" s="47">
        <f>IF(F384="I",IFERROR(VLOOKUP(C384,'BG 2021'!A:C,3,FALSE),0),0)</f>
        <v>0</v>
      </c>
      <c r="H384" s="163"/>
      <c r="I384" s="68">
        <f>IF(F384="I",IFERROR(VLOOKUP(C384,'BG 2021'!A:D,4,FALSE),0),0)</f>
        <v>0</v>
      </c>
      <c r="J384" s="40"/>
      <c r="K384" s="47">
        <f>IF(F384="I",SUMIF('BG 2020'!B:B,Clasificaciones!C384,'BG 2020'!D:D),0)</f>
        <v>0</v>
      </c>
      <c r="L384" s="40"/>
      <c r="M384" s="68">
        <f>IF(F384="I",SUMIF('BG 2020'!B:B,Clasificaciones!C384,'BG 2020'!E:E),0)</f>
        <v>0</v>
      </c>
    </row>
    <row r="385" spans="1:13" s="166" customFormat="1" ht="12" customHeight="1">
      <c r="A385" s="163" t="s">
        <v>3</v>
      </c>
      <c r="B385" s="163"/>
      <c r="C385" s="164">
        <v>12801</v>
      </c>
      <c r="D385" s="164" t="s">
        <v>96</v>
      </c>
      <c r="E385" s="165" t="s">
        <v>6</v>
      </c>
      <c r="F385" s="165" t="s">
        <v>343</v>
      </c>
      <c r="G385" s="47">
        <f>IF(F385="I",IFERROR(VLOOKUP(C385,'BG 2021'!A:C,3,FALSE),0),0)</f>
        <v>0</v>
      </c>
      <c r="H385" s="163"/>
      <c r="I385" s="68">
        <f>IF(F385="I",IFERROR(VLOOKUP(C385,'BG 2021'!A:D,4,FALSE),0),0)</f>
        <v>0</v>
      </c>
      <c r="J385" s="40"/>
      <c r="K385" s="47">
        <f>IF(F385="I",SUMIF('BG 2020'!B:B,Clasificaciones!C385,'BG 2020'!D:D),0)</f>
        <v>0</v>
      </c>
      <c r="L385" s="40"/>
      <c r="M385" s="68">
        <f>IF(F385="I",SUMIF('BG 2020'!B:B,Clasificaciones!C385,'BG 2020'!E:E),0)</f>
        <v>0</v>
      </c>
    </row>
    <row r="386" spans="1:13" s="166" customFormat="1" ht="12" customHeight="1">
      <c r="A386" s="163" t="s">
        <v>3</v>
      </c>
      <c r="B386" s="163"/>
      <c r="C386" s="164">
        <v>1280101</v>
      </c>
      <c r="D386" s="164" t="s">
        <v>1119</v>
      </c>
      <c r="E386" s="165" t="s">
        <v>6</v>
      </c>
      <c r="F386" s="165" t="s">
        <v>344</v>
      </c>
      <c r="G386" s="47">
        <f>IF(F386="I",IFERROR(VLOOKUP(C386,'BG 2021'!A:C,3,FALSE),0),0)</f>
        <v>0</v>
      </c>
      <c r="H386" s="163"/>
      <c r="I386" s="68">
        <f>IF(F386="I",IFERROR(VLOOKUP(C386,'BG 2021'!A:D,4,FALSE),0),0)</f>
        <v>0</v>
      </c>
      <c r="J386" s="40"/>
      <c r="K386" s="47">
        <f>IF(F386="I",SUMIF('BG 2020'!B:B,Clasificaciones!C386,'BG 2020'!D:D),0)</f>
        <v>0</v>
      </c>
      <c r="L386" s="40"/>
      <c r="M386" s="68">
        <f>IF(F386="I",SUMIF('BG 2020'!B:B,Clasificaciones!C386,'BG 2020'!E:E),0)</f>
        <v>0</v>
      </c>
    </row>
    <row r="387" spans="1:13" s="173" customFormat="1" ht="12" customHeight="1">
      <c r="A387" s="168" t="s">
        <v>3</v>
      </c>
      <c r="B387" s="168" t="s">
        <v>96</v>
      </c>
      <c r="C387" s="169">
        <v>1280102</v>
      </c>
      <c r="D387" s="169" t="s">
        <v>1626</v>
      </c>
      <c r="E387" s="170" t="s">
        <v>229</v>
      </c>
      <c r="F387" s="170" t="s">
        <v>344</v>
      </c>
      <c r="G387" s="157">
        <f>IF(F387="I",IFERROR(VLOOKUP(C387,'BG 2021'!A:C,3,FALSE),0),0)</f>
        <v>345173952</v>
      </c>
      <c r="H387" s="168" t="s">
        <v>96</v>
      </c>
      <c r="I387" s="172">
        <f>IF(F387="I",IFERROR(VLOOKUP(C387,'BG 2021'!A:D,4,FALSE),0),0)</f>
        <v>50632.63</v>
      </c>
      <c r="J387" s="171"/>
      <c r="K387" s="157">
        <f>IF(F387="I",SUMIF('BG 2020'!B:B,Clasificaciones!C387,'BG 2020'!D:D),0)</f>
        <v>190189175</v>
      </c>
      <c r="L387" s="171"/>
      <c r="M387" s="172">
        <f>IF(F387="I",SUMIF('BG 2020'!B:B,Clasificaciones!C387,'BG 2020'!E:E),0)</f>
        <v>27917.77</v>
      </c>
    </row>
    <row r="388" spans="1:13" s="173" customFormat="1" ht="12" customHeight="1">
      <c r="A388" s="168" t="s">
        <v>3</v>
      </c>
      <c r="B388" s="168" t="s">
        <v>841</v>
      </c>
      <c r="C388" s="169">
        <v>12802</v>
      </c>
      <c r="D388" s="169" t="s">
        <v>838</v>
      </c>
      <c r="E388" s="170" t="s">
        <v>6</v>
      </c>
      <c r="F388" s="170" t="s">
        <v>344</v>
      </c>
      <c r="G388" s="157">
        <f>IF(F388="I",IFERROR(VLOOKUP(C388,'BG 2021'!A:C,3,FALSE),0),0)</f>
        <v>690611542</v>
      </c>
      <c r="H388" s="168" t="s">
        <v>841</v>
      </c>
      <c r="I388" s="172">
        <f>IF(F388="I",IFERROR(VLOOKUP(C388,'BG 2021'!A:D,4,FALSE),0),0)</f>
        <v>111079.05</v>
      </c>
      <c r="J388" s="171"/>
      <c r="K388" s="157">
        <f>IF(F388="I",SUMIF('BG 2020'!B:B,Clasificaciones!C388,'BG 2020'!D:D),0)</f>
        <v>664927388</v>
      </c>
      <c r="L388" s="171"/>
      <c r="M388" s="172">
        <f>IF(F388="I",SUMIF('BG 2020'!B:B,Clasificaciones!C388,'BG 2020'!E:E),0)</f>
        <v>107531.73999999999</v>
      </c>
    </row>
    <row r="389" spans="1:13" s="173" customFormat="1" ht="12" customHeight="1">
      <c r="A389" s="168" t="s">
        <v>3</v>
      </c>
      <c r="B389" s="168" t="s">
        <v>97</v>
      </c>
      <c r="C389" s="169">
        <v>12803</v>
      </c>
      <c r="D389" s="169" t="s">
        <v>97</v>
      </c>
      <c r="E389" s="170" t="s">
        <v>6</v>
      </c>
      <c r="F389" s="170" t="s">
        <v>344</v>
      </c>
      <c r="G389" s="157">
        <f>IF(F389="I",IFERROR(VLOOKUP(C389,'BG 2021'!A:C,3,FALSE),0),0)</f>
        <v>8000000</v>
      </c>
      <c r="H389" s="168" t="s">
        <v>97</v>
      </c>
      <c r="I389" s="172">
        <f>IF(F389="I",IFERROR(VLOOKUP(C389,'BG 2021'!A:D,4,FALSE),0),0)</f>
        <v>1288.27</v>
      </c>
      <c r="J389" s="171"/>
      <c r="K389" s="157">
        <f>IF(F389="I",SUMIF('BG 2020'!B:B,Clasificaciones!C389,'BG 2020'!D:D),0)</f>
        <v>8000000</v>
      </c>
      <c r="L389" s="171"/>
      <c r="M389" s="172">
        <f>IF(F389="I",SUMIF('BG 2020'!B:B,Clasificaciones!C389,'BG 2020'!E:E),0)</f>
        <v>1288.27</v>
      </c>
    </row>
    <row r="390" spans="1:13" s="166" customFormat="1" ht="12" customHeight="1">
      <c r="A390" s="163" t="s">
        <v>3</v>
      </c>
      <c r="B390" s="163"/>
      <c r="C390" s="164">
        <v>12804</v>
      </c>
      <c r="D390" s="164" t="s">
        <v>331</v>
      </c>
      <c r="E390" s="165" t="s">
        <v>6</v>
      </c>
      <c r="F390" s="165" t="s">
        <v>343</v>
      </c>
      <c r="G390" s="47">
        <f>IF(F390="I",IFERROR(VLOOKUP(C390,'BG 2021'!A:C,3,FALSE),0),0)</f>
        <v>0</v>
      </c>
      <c r="H390" s="163"/>
      <c r="I390" s="68">
        <f>IF(F390="I",IFERROR(VLOOKUP(C390,'BG 2021'!A:D,4,FALSE),0),0)</f>
        <v>0</v>
      </c>
      <c r="J390" s="40"/>
      <c r="K390" s="47">
        <f>IF(F390="I",SUMIF('BG 2020'!B:B,Clasificaciones!C390,'BG 2020'!D:D),0)</f>
        <v>0</v>
      </c>
      <c r="L390" s="40"/>
      <c r="M390" s="68">
        <f>IF(F390="I",SUMIF('BG 2020'!B:B,Clasificaciones!C390,'BG 2020'!E:E),0)</f>
        <v>0</v>
      </c>
    </row>
    <row r="391" spans="1:13" s="173" customFormat="1" ht="12" customHeight="1">
      <c r="A391" s="168" t="s">
        <v>3</v>
      </c>
      <c r="B391" s="168" t="s">
        <v>331</v>
      </c>
      <c r="C391" s="169">
        <v>1280401</v>
      </c>
      <c r="D391" s="169" t="s">
        <v>170</v>
      </c>
      <c r="E391" s="170" t="s">
        <v>6</v>
      </c>
      <c r="F391" s="170" t="s">
        <v>344</v>
      </c>
      <c r="G391" s="157">
        <f>IF(F391="I",IFERROR(VLOOKUP(C391,'BG 2021'!A:C,3,FALSE),0),0)</f>
        <v>57764419</v>
      </c>
      <c r="H391" s="168" t="s">
        <v>331</v>
      </c>
      <c r="I391" s="172">
        <f>IF(F391="I",IFERROR(VLOOKUP(C391,'BG 2021'!A:D,4,FALSE),0),0)</f>
        <v>9621.58</v>
      </c>
      <c r="J391" s="171"/>
      <c r="K391" s="157">
        <f>IF(F391="I",SUMIF('BG 2020'!B:B,Clasificaciones!C391,'BG 2020'!D:D),0)</f>
        <v>57764419</v>
      </c>
      <c r="L391" s="171"/>
      <c r="M391" s="172">
        <f>IF(F391="I",SUMIF('BG 2020'!B:B,Clasificaciones!C391,'BG 2020'!E:E),0)</f>
        <v>9621.58</v>
      </c>
    </row>
    <row r="392" spans="1:13" s="166" customFormat="1" ht="12" customHeight="1">
      <c r="A392" s="163" t="s">
        <v>3</v>
      </c>
      <c r="B392" s="163"/>
      <c r="C392" s="164">
        <v>12805</v>
      </c>
      <c r="D392" s="164" t="s">
        <v>1120</v>
      </c>
      <c r="E392" s="165" t="s">
        <v>6</v>
      </c>
      <c r="F392" s="165" t="s">
        <v>344</v>
      </c>
      <c r="G392" s="47">
        <f>IF(F392="I",IFERROR(VLOOKUP(C392,'BG 2021'!A:C,3,FALSE),0),0)</f>
        <v>0</v>
      </c>
      <c r="H392" s="163"/>
      <c r="I392" s="68">
        <f>IF(F392="I",IFERROR(VLOOKUP(C392,'BG 2021'!A:D,4,FALSE),0),0)</f>
        <v>0</v>
      </c>
      <c r="J392" s="40"/>
      <c r="K392" s="47">
        <f>IF(F392="I",SUMIF('BG 2020'!B:B,Clasificaciones!C392,'BG 2020'!D:D),0)</f>
        <v>0</v>
      </c>
      <c r="L392" s="40"/>
      <c r="M392" s="68">
        <f>IF(F392="I",SUMIF('BG 2020'!B:B,Clasificaciones!C392,'BG 2020'!E:E),0)</f>
        <v>0</v>
      </c>
    </row>
    <row r="393" spans="1:13" s="166" customFormat="1" ht="12" customHeight="1">
      <c r="A393" s="163" t="s">
        <v>3</v>
      </c>
      <c r="B393" s="163"/>
      <c r="C393" s="164">
        <v>12806</v>
      </c>
      <c r="D393" s="164" t="s">
        <v>1121</v>
      </c>
      <c r="E393" s="165" t="s">
        <v>6</v>
      </c>
      <c r="F393" s="165" t="s">
        <v>344</v>
      </c>
      <c r="G393" s="47">
        <f>IF(F393="I",IFERROR(VLOOKUP(C393,'BG 2021'!A:C,3,FALSE),0),0)</f>
        <v>0</v>
      </c>
      <c r="H393" s="163"/>
      <c r="I393" s="68">
        <f>IF(F393="I",IFERROR(VLOOKUP(C393,'BG 2021'!A:D,4,FALSE),0),0)</f>
        <v>0</v>
      </c>
      <c r="J393" s="40"/>
      <c r="K393" s="47">
        <f>IF(F393="I",SUMIF('BG 2020'!B:B,Clasificaciones!C393,'BG 2020'!D:D),0)</f>
        <v>0</v>
      </c>
      <c r="L393" s="40"/>
      <c r="M393" s="68">
        <f>IF(F393="I",SUMIF('BG 2020'!B:B,Clasificaciones!C393,'BG 2020'!E:E),0)</f>
        <v>0</v>
      </c>
    </row>
    <row r="394" spans="1:13" s="166" customFormat="1" ht="12" customHeight="1">
      <c r="A394" s="163" t="s">
        <v>3</v>
      </c>
      <c r="B394" s="163" t="s">
        <v>19</v>
      </c>
      <c r="C394" s="164">
        <v>12807</v>
      </c>
      <c r="D394" s="164" t="s">
        <v>839</v>
      </c>
      <c r="E394" s="165" t="s">
        <v>6</v>
      </c>
      <c r="F394" s="165" t="s">
        <v>344</v>
      </c>
      <c r="G394" s="47">
        <f>IF(F394="I",IFERROR(VLOOKUP(C394,'BG 2021'!A:C,3,FALSE),0),0)</f>
        <v>0</v>
      </c>
      <c r="H394" s="163" t="s">
        <v>19</v>
      </c>
      <c r="I394" s="68">
        <f>IF(F394="I",IFERROR(VLOOKUP(C394,'BG 2021'!A:D,4,FALSE),0),0)</f>
        <v>0</v>
      </c>
      <c r="J394" s="40"/>
      <c r="K394" s="47">
        <f>IF(F394="I",SUMIF('BG 2020'!B:B,Clasificaciones!C394,'BG 2020'!D:D),0)</f>
        <v>0</v>
      </c>
      <c r="L394" s="40"/>
      <c r="M394" s="68">
        <f>IF(F394="I",SUMIF('BG 2020'!B:B,Clasificaciones!C394,'BG 2020'!E:E),0)</f>
        <v>0</v>
      </c>
    </row>
    <row r="395" spans="1:13" s="173" customFormat="1" ht="12" customHeight="1">
      <c r="A395" s="168" t="s">
        <v>3</v>
      </c>
      <c r="B395" s="168" t="s">
        <v>841</v>
      </c>
      <c r="C395" s="169">
        <v>12808</v>
      </c>
      <c r="D395" s="169" t="s">
        <v>1416</v>
      </c>
      <c r="E395" s="170" t="s">
        <v>6</v>
      </c>
      <c r="F395" s="170" t="s">
        <v>344</v>
      </c>
      <c r="G395" s="157">
        <f>IF(F395="I",IFERROR(VLOOKUP(C395,'BG 2021'!A:C,3,FALSE),0),0)</f>
        <v>45425205</v>
      </c>
      <c r="H395" s="168" t="s">
        <v>841</v>
      </c>
      <c r="I395" s="172">
        <f>IF(F395="I",IFERROR(VLOOKUP(C395,'BG 2021'!A:D,4,FALSE),0),0)</f>
        <v>6681.81</v>
      </c>
      <c r="J395" s="171"/>
      <c r="K395" s="157">
        <f>IF(F395="I",SUMIF('BG 2020'!B:B,Clasificaciones!C395,'BG 2020'!D:D),0)</f>
        <v>0</v>
      </c>
      <c r="L395" s="171"/>
      <c r="M395" s="172">
        <f>IF(F395="I",SUMIF('BG 2020'!B:B,Clasificaciones!C395,'BG 2020'!E:E),0)</f>
        <v>0</v>
      </c>
    </row>
    <row r="396" spans="1:13" s="166" customFormat="1" ht="12" customHeight="1">
      <c r="A396" s="163" t="s">
        <v>3</v>
      </c>
      <c r="B396" s="163"/>
      <c r="C396" s="164">
        <v>12820</v>
      </c>
      <c r="D396" s="164" t="s">
        <v>840</v>
      </c>
      <c r="E396" s="165" t="s">
        <v>6</v>
      </c>
      <c r="F396" s="165" t="s">
        <v>343</v>
      </c>
      <c r="G396" s="47">
        <f>IF(F396="I",IFERROR(VLOOKUP(C396,'BG 2021'!A:C,3,FALSE),0),0)</f>
        <v>0</v>
      </c>
      <c r="H396" s="163"/>
      <c r="I396" s="68">
        <f>IF(F396="I",IFERROR(VLOOKUP(C396,'BG 2021'!A:D,4,FALSE),0),0)</f>
        <v>0</v>
      </c>
      <c r="J396" s="40"/>
      <c r="K396" s="47">
        <f>IF(F396="I",SUMIF('BG 2020'!B:B,Clasificaciones!C396,'BG 2020'!D:D),0)</f>
        <v>0</v>
      </c>
      <c r="L396" s="40"/>
      <c r="M396" s="68">
        <f>IF(F396="I",SUMIF('BG 2020'!B:B,Clasificaciones!C396,'BG 2020'!E:E),0)</f>
        <v>0</v>
      </c>
    </row>
    <row r="397" spans="1:13" s="173" customFormat="1" ht="12" customHeight="1">
      <c r="A397" s="168" t="s">
        <v>3</v>
      </c>
      <c r="B397" s="168" t="s">
        <v>1438</v>
      </c>
      <c r="C397" s="169">
        <v>1282001</v>
      </c>
      <c r="D397" s="169" t="s">
        <v>96</v>
      </c>
      <c r="E397" s="170" t="s">
        <v>6</v>
      </c>
      <c r="F397" s="170" t="s">
        <v>344</v>
      </c>
      <c r="G397" s="157">
        <f>IF(F397="I",IFERROR(VLOOKUP(C397,'BG 2021'!A:C,3,FALSE),0),0)</f>
        <v>-39032934</v>
      </c>
      <c r="H397" s="168" t="s">
        <v>1438</v>
      </c>
      <c r="I397" s="172">
        <f>IF(F397="I",IFERROR(VLOOKUP(C397,'BG 2021'!A:D,4,FALSE),0),0)</f>
        <v>-5745.34</v>
      </c>
      <c r="J397" s="171"/>
      <c r="K397" s="157">
        <f>IF(F397="I",SUMIF('BG 2020'!B:B,Clasificaciones!C397,'BG 2020'!D:D),0)</f>
        <v>-994992</v>
      </c>
      <c r="L397" s="171"/>
      <c r="M397" s="172">
        <f>IF(F397="I",SUMIF('BG 2020'!B:B,Clasificaciones!C397,'BG 2020'!E:E),0)</f>
        <v>-209.76</v>
      </c>
    </row>
    <row r="398" spans="1:13" s="173" customFormat="1" ht="12" customHeight="1">
      <c r="A398" s="168" t="s">
        <v>3</v>
      </c>
      <c r="B398" s="168" t="s">
        <v>1438</v>
      </c>
      <c r="C398" s="169">
        <v>1282002</v>
      </c>
      <c r="D398" s="169" t="s">
        <v>97</v>
      </c>
      <c r="E398" s="170" t="s">
        <v>6</v>
      </c>
      <c r="F398" s="170" t="s">
        <v>344</v>
      </c>
      <c r="G398" s="157">
        <f>IF(F398="I",IFERROR(VLOOKUP(C398,'BG 2021'!A:C,3,FALSE),0),0)</f>
        <v>-3200012</v>
      </c>
      <c r="H398" s="168" t="s">
        <v>1438</v>
      </c>
      <c r="I398" s="172">
        <f>IF(F398="I",IFERROR(VLOOKUP(C398,'BG 2021'!A:D,4,FALSE),0),0)</f>
        <v>-515.30999999999995</v>
      </c>
      <c r="J398" s="171"/>
      <c r="K398" s="157">
        <f>IF(F398="I",SUMIF('BG 2020'!B:B,Clasificaciones!C398,'BG 2020'!D:D),0)</f>
        <v>-1600008</v>
      </c>
      <c r="L398" s="171"/>
      <c r="M398" s="172">
        <f>IF(F398="I",SUMIF('BG 2020'!B:B,Clasificaciones!C398,'BG 2020'!E:E),0)</f>
        <v>-269.64</v>
      </c>
    </row>
    <row r="399" spans="1:13" s="173" customFormat="1" ht="12" customHeight="1">
      <c r="A399" s="168" t="s">
        <v>3</v>
      </c>
      <c r="B399" s="168" t="s">
        <v>1438</v>
      </c>
      <c r="C399" s="169">
        <v>1282003</v>
      </c>
      <c r="D399" s="169" t="s">
        <v>170</v>
      </c>
      <c r="E399" s="170" t="s">
        <v>6</v>
      </c>
      <c r="F399" s="170" t="s">
        <v>344</v>
      </c>
      <c r="G399" s="157">
        <f>IF(F399="I",IFERROR(VLOOKUP(C399,'BG 2021'!A:C,3,FALSE),0),0)</f>
        <v>-43292732</v>
      </c>
      <c r="H399" s="168" t="s">
        <v>1438</v>
      </c>
      <c r="I399" s="172">
        <f>IF(F399="I",IFERROR(VLOOKUP(C399,'BG 2021'!A:D,4,FALSE),0),0)</f>
        <v>-7233.58</v>
      </c>
      <c r="J399" s="171"/>
      <c r="K399" s="157">
        <f>IF(F399="I",SUMIF('BG 2020'!B:B,Clasificaciones!C399,'BG 2020'!D:D),0)</f>
        <v>-36056876</v>
      </c>
      <c r="L399" s="171"/>
      <c r="M399" s="172">
        <f>IF(F399="I",SUMIF('BG 2020'!B:B,Clasificaciones!C399,'BG 2020'!E:E),0)</f>
        <v>-6033.58</v>
      </c>
    </row>
    <row r="400" spans="1:13" s="173" customFormat="1" ht="12" customHeight="1">
      <c r="A400" s="168" t="s">
        <v>3</v>
      </c>
      <c r="B400" s="168" t="s">
        <v>1438</v>
      </c>
      <c r="C400" s="169">
        <v>1282004</v>
      </c>
      <c r="D400" s="169" t="s">
        <v>841</v>
      </c>
      <c r="E400" s="170" t="s">
        <v>6</v>
      </c>
      <c r="F400" s="170" t="s">
        <v>344</v>
      </c>
      <c r="G400" s="157">
        <f>IF(F400="I",IFERROR(VLOOKUP(C400,'BG 2021'!A:C,3,FALSE),0),0)</f>
        <v>-254552247</v>
      </c>
      <c r="H400" s="168" t="s">
        <v>1438</v>
      </c>
      <c r="I400" s="172">
        <f>IF(F400="I",IFERROR(VLOOKUP(C400,'BG 2021'!A:D,4,FALSE),0),0)</f>
        <v>-41281.35</v>
      </c>
      <c r="J400" s="171"/>
      <c r="K400" s="157">
        <f>IF(F400="I",SUMIF('BG 2020'!B:B,Clasificaciones!C400,'BG 2020'!D:D),0)</f>
        <v>-126222828</v>
      </c>
      <c r="L400" s="171"/>
      <c r="M400" s="172">
        <f>IF(F400="I",SUMIF('BG 2020'!B:B,Clasificaciones!C400,'BG 2020'!E:E),0)</f>
        <v>-20601.72</v>
      </c>
    </row>
    <row r="401" spans="1:13" s="166" customFormat="1" ht="12" customHeight="1">
      <c r="A401" s="163" t="s">
        <v>3</v>
      </c>
      <c r="B401" s="163"/>
      <c r="C401" s="164">
        <v>1282005</v>
      </c>
      <c r="D401" s="164" t="s">
        <v>1121</v>
      </c>
      <c r="E401" s="165" t="s">
        <v>6</v>
      </c>
      <c r="F401" s="165" t="s">
        <v>344</v>
      </c>
      <c r="G401" s="47">
        <f>IF(F401="I",IFERROR(VLOOKUP(C401,'BG 2021'!A:C,3,FALSE),0),0)</f>
        <v>0</v>
      </c>
      <c r="H401" s="163"/>
      <c r="I401" s="68">
        <f>IF(F401="I",IFERROR(VLOOKUP(C401,'BG 2021'!A:D,4,FALSE),0),0)</f>
        <v>0</v>
      </c>
      <c r="J401" s="40"/>
      <c r="K401" s="47">
        <f>IF(F401="I",SUMIF('BG 2020'!B:B,Clasificaciones!C401,'BG 2020'!D:D),0)</f>
        <v>0</v>
      </c>
      <c r="L401" s="40"/>
      <c r="M401" s="68">
        <f>IF(F401="I",SUMIF('BG 2020'!B:B,Clasificaciones!C401,'BG 2020'!E:E),0)</f>
        <v>0</v>
      </c>
    </row>
    <row r="402" spans="1:13" s="166" customFormat="1" ht="12" customHeight="1">
      <c r="A402" s="163" t="s">
        <v>3</v>
      </c>
      <c r="B402" s="163"/>
      <c r="C402" s="164">
        <v>129</v>
      </c>
      <c r="D402" s="164" t="s">
        <v>1317</v>
      </c>
      <c r="E402" s="165" t="s">
        <v>6</v>
      </c>
      <c r="F402" s="165" t="s">
        <v>343</v>
      </c>
      <c r="G402" s="47">
        <f>IF(F402="I",IFERROR(VLOOKUP(C402,'BG 2021'!A:C,3,FALSE),0),0)</f>
        <v>0</v>
      </c>
      <c r="H402" s="163"/>
      <c r="I402" s="68">
        <f>IF(F402="I",IFERROR(VLOOKUP(C402,'BG 2021'!A:D,4,FALSE),0),0)</f>
        <v>0</v>
      </c>
      <c r="J402" s="40"/>
      <c r="K402" s="47">
        <f>IF(F402="I",SUMIF('BG 2020'!B:B,Clasificaciones!C402,'BG 2020'!D:D),0)</f>
        <v>0</v>
      </c>
      <c r="L402" s="40"/>
      <c r="M402" s="68">
        <f>IF(F402="I",SUMIF('BG 2020'!B:B,Clasificaciones!C402,'BG 2020'!E:E),0)</f>
        <v>0</v>
      </c>
    </row>
    <row r="403" spans="1:13" s="173" customFormat="1" ht="12" customHeight="1">
      <c r="A403" s="168" t="s">
        <v>3</v>
      </c>
      <c r="B403" s="168" t="s">
        <v>1333</v>
      </c>
      <c r="C403" s="169">
        <v>12901</v>
      </c>
      <c r="D403" s="169" t="s">
        <v>1318</v>
      </c>
      <c r="E403" s="170" t="s">
        <v>229</v>
      </c>
      <c r="F403" s="170" t="s">
        <v>344</v>
      </c>
      <c r="G403" s="157">
        <f>IF(F403="I",IFERROR(VLOOKUP(C403,'BG 2021'!A:C,3,FALSE),0),0)</f>
        <v>12374918</v>
      </c>
      <c r="H403" s="168" t="s">
        <v>1333</v>
      </c>
      <c r="I403" s="172">
        <f>IF(F403="I",IFERROR(VLOOKUP(C403,'BG 2021'!A:D,4,FALSE),0),0)</f>
        <v>1920</v>
      </c>
      <c r="J403" s="171"/>
      <c r="K403" s="157">
        <f>IF(F403="I",SUMIF('BG 2020'!B:B,Clasificaciones!C403,'BG 2020'!D:D),0)</f>
        <v>0</v>
      </c>
      <c r="L403" s="171"/>
      <c r="M403" s="172">
        <f>IF(F403="I",SUMIF('BG 2020'!B:B,Clasificaciones!C403,'BG 2020'!E:E),0)</f>
        <v>0</v>
      </c>
    </row>
    <row r="404" spans="1:13" s="166" customFormat="1" ht="12" customHeight="1">
      <c r="A404" s="163" t="s">
        <v>8</v>
      </c>
      <c r="B404" s="163"/>
      <c r="C404" s="164">
        <v>2</v>
      </c>
      <c r="D404" s="164" t="s">
        <v>8</v>
      </c>
      <c r="E404" s="165" t="s">
        <v>6</v>
      </c>
      <c r="F404" s="165" t="s">
        <v>343</v>
      </c>
      <c r="G404" s="47">
        <f>-IF(F404="I",IFERROR(VLOOKUP(C404,'BG 2021'!A:C,3,FALSE),0),0)</f>
        <v>0</v>
      </c>
      <c r="H404" s="163"/>
      <c r="I404" s="68">
        <f>-IF(F404="I",IFERROR(VLOOKUP(C404,'BG 2021'!A:D,4,FALSE),0),0)</f>
        <v>0</v>
      </c>
      <c r="J404" s="40"/>
      <c r="K404" s="47">
        <f>-IF(F404="I",SUMIF('BG 2020'!B:B,Clasificaciones!C404,'BG 2020'!D:D),0)</f>
        <v>0</v>
      </c>
      <c r="L404" s="40"/>
      <c r="M404" s="68">
        <f>-IF(F404="I",SUMIF('BG 2020'!B:B,Clasificaciones!C404,'BG 2020'!E:E),0)</f>
        <v>0</v>
      </c>
    </row>
    <row r="405" spans="1:13" s="166" customFormat="1" ht="12" customHeight="1">
      <c r="A405" s="163" t="s">
        <v>8</v>
      </c>
      <c r="B405" s="163"/>
      <c r="C405" s="164">
        <v>21</v>
      </c>
      <c r="D405" s="164" t="s">
        <v>9</v>
      </c>
      <c r="E405" s="165" t="s">
        <v>6</v>
      </c>
      <c r="F405" s="165" t="s">
        <v>343</v>
      </c>
      <c r="G405" s="47">
        <f>-IF(F405="I",IFERROR(VLOOKUP(C405,'BG 2021'!A:C,3,FALSE),0),0)</f>
        <v>0</v>
      </c>
      <c r="H405" s="163"/>
      <c r="I405" s="68">
        <f>-IF(F405="I",IFERROR(VLOOKUP(C405,'BG 2021'!A:D,4,FALSE),0),0)</f>
        <v>0</v>
      </c>
      <c r="J405" s="40"/>
      <c r="K405" s="47">
        <f>-IF(F405="I",SUMIF('BG 2020'!B:B,Clasificaciones!C405,'BG 2020'!D:D),0)</f>
        <v>0</v>
      </c>
      <c r="L405" s="40"/>
      <c r="M405" s="68">
        <f>-IF(F405="I",SUMIF('BG 2020'!B:B,Clasificaciones!C405,'BG 2020'!E:E),0)</f>
        <v>0</v>
      </c>
    </row>
    <row r="406" spans="1:13" s="166" customFormat="1" ht="12" customHeight="1">
      <c r="A406" s="163" t="s">
        <v>8</v>
      </c>
      <c r="B406" s="163"/>
      <c r="C406" s="164">
        <v>211</v>
      </c>
      <c r="D406" s="164" t="s">
        <v>842</v>
      </c>
      <c r="E406" s="165" t="s">
        <v>6</v>
      </c>
      <c r="F406" s="165" t="s">
        <v>343</v>
      </c>
      <c r="G406" s="47">
        <f>-IF(F406="I",IFERROR(VLOOKUP(C406,'BG 2021'!A:C,3,FALSE),0),0)</f>
        <v>0</v>
      </c>
      <c r="H406" s="163"/>
      <c r="I406" s="68">
        <f>-IF(F406="I",IFERROR(VLOOKUP(C406,'BG 2021'!A:D,4,FALSE),0),0)</f>
        <v>0</v>
      </c>
      <c r="J406" s="40"/>
      <c r="K406" s="47">
        <f>-IF(F406="I",SUMIF('BG 2020'!B:B,Clasificaciones!C406,'BG 2020'!D:D),0)</f>
        <v>0</v>
      </c>
      <c r="L406" s="40"/>
      <c r="M406" s="68">
        <f>-IF(F406="I",SUMIF('BG 2020'!B:B,Clasificaciones!C406,'BG 2020'!E:E),0)</f>
        <v>0</v>
      </c>
    </row>
    <row r="407" spans="1:13" s="166" customFormat="1" ht="12" customHeight="1">
      <c r="A407" s="163" t="s">
        <v>8</v>
      </c>
      <c r="B407" s="163"/>
      <c r="C407" s="164">
        <v>21101</v>
      </c>
      <c r="D407" s="164" t="s">
        <v>843</v>
      </c>
      <c r="E407" s="165" t="s">
        <v>6</v>
      </c>
      <c r="F407" s="165" t="s">
        <v>343</v>
      </c>
      <c r="G407" s="47">
        <f>-IF(F407="I",IFERROR(VLOOKUP(C407,'BG 2021'!A:C,3,FALSE),0),0)</f>
        <v>0</v>
      </c>
      <c r="H407" s="163"/>
      <c r="I407" s="68">
        <f>-IF(F407="I",IFERROR(VLOOKUP(C407,'BG 2021'!A:D,4,FALSE),0),0)</f>
        <v>0</v>
      </c>
      <c r="J407" s="40"/>
      <c r="K407" s="47">
        <f>-IF(F407="I",SUMIF('BG 2020'!B:B,Clasificaciones!C407,'BG 2020'!D:D),0)</f>
        <v>0</v>
      </c>
      <c r="L407" s="40"/>
      <c r="M407" s="68">
        <f>-IF(F407="I",SUMIF('BG 2020'!B:B,Clasificaciones!C407,'BG 2020'!E:E),0)</f>
        <v>0</v>
      </c>
    </row>
    <row r="408" spans="1:13" s="166" customFormat="1" ht="12" customHeight="1">
      <c r="A408" s="163" t="s">
        <v>8</v>
      </c>
      <c r="B408" s="163"/>
      <c r="C408" s="164">
        <v>2110101</v>
      </c>
      <c r="D408" s="164" t="s">
        <v>623</v>
      </c>
      <c r="E408" s="165" t="s">
        <v>6</v>
      </c>
      <c r="F408" s="165" t="s">
        <v>343</v>
      </c>
      <c r="G408" s="47">
        <f>-IF(F408="I",IFERROR(VLOOKUP(C408,'BG 2021'!A:C,3,FALSE),0),0)</f>
        <v>0</v>
      </c>
      <c r="H408" s="163"/>
      <c r="I408" s="68">
        <f>-IF(F408="I",IFERROR(VLOOKUP(C408,'BG 2021'!A:D,4,FALSE),0),0)</f>
        <v>0</v>
      </c>
      <c r="J408" s="40"/>
      <c r="K408" s="47">
        <f>-IF(F408="I",SUMIF('BG 2020'!B:B,Clasificaciones!C408,'BG 2020'!D:D),0)</f>
        <v>0</v>
      </c>
      <c r="L408" s="40"/>
      <c r="M408" s="68">
        <f>-IF(F408="I",SUMIF('BG 2020'!B:B,Clasificaciones!C408,'BG 2020'!E:E),0)</f>
        <v>0</v>
      </c>
    </row>
    <row r="409" spans="1:13" s="173" customFormat="1" ht="12" customHeight="1">
      <c r="A409" s="168" t="s">
        <v>8</v>
      </c>
      <c r="B409" s="168" t="s">
        <v>725</v>
      </c>
      <c r="C409" s="169">
        <v>211010101</v>
      </c>
      <c r="D409" s="169" t="s">
        <v>1605</v>
      </c>
      <c r="E409" s="170" t="s">
        <v>6</v>
      </c>
      <c r="F409" s="170" t="s">
        <v>344</v>
      </c>
      <c r="G409" s="157">
        <f>-IF(F409="I",IFERROR(VLOOKUP(C409,'BG 2021'!A:C,3,FALSE),0),0)</f>
        <v>-121171240</v>
      </c>
      <c r="H409" s="168" t="s">
        <v>725</v>
      </c>
      <c r="I409" s="172">
        <f>-IF(F409="I",IFERROR(VLOOKUP(C409,'BG 2021'!A:D,4,FALSE),0),0)</f>
        <v>-17593.170000001788</v>
      </c>
      <c r="J409" s="171"/>
      <c r="K409" s="157">
        <f>-IF(F409="I",SUMIF('BG 2020'!B:B,Clasificaciones!C409,'BG 2020'!D:D),0)</f>
        <v>-20367047</v>
      </c>
      <c r="L409" s="171"/>
      <c r="M409" s="172">
        <f>-IF(F409="I",SUMIF('BG 2020'!B:B,Clasificaciones!C409,'BG 2020'!E:E),0)</f>
        <v>-2934.0400000000373</v>
      </c>
    </row>
    <row r="410" spans="1:13" s="173" customFormat="1" ht="12" customHeight="1">
      <c r="A410" s="168" t="s">
        <v>8</v>
      </c>
      <c r="B410" s="168" t="s">
        <v>725</v>
      </c>
      <c r="C410" s="169">
        <v>211010102</v>
      </c>
      <c r="D410" s="169" t="s">
        <v>1627</v>
      </c>
      <c r="E410" s="170" t="s">
        <v>229</v>
      </c>
      <c r="F410" s="170" t="s">
        <v>344</v>
      </c>
      <c r="G410" s="157">
        <f>-IF(F410="I",IFERROR(VLOOKUP(C410,'BG 2021'!A:C,3,FALSE),0),0)</f>
        <v>-1073195</v>
      </c>
      <c r="H410" s="168" t="s">
        <v>725</v>
      </c>
      <c r="I410" s="172">
        <f>-IF(F410="I",IFERROR(VLOOKUP(C410,'BG 2021'!A:D,4,FALSE),0),0)</f>
        <v>-155.82000000029802</v>
      </c>
      <c r="J410" s="171"/>
      <c r="K410" s="157">
        <f>-IF(F410="I",SUMIF('BG 2020'!B:B,Clasificaciones!C410,'BG 2020'!D:D),0)</f>
        <v>0</v>
      </c>
      <c r="L410" s="171"/>
      <c r="M410" s="172">
        <f>-IF(F410="I",SUMIF('BG 2020'!B:B,Clasificaciones!C410,'BG 2020'!E:E),0)</f>
        <v>0</v>
      </c>
    </row>
    <row r="411" spans="1:13" s="173" customFormat="1" ht="12" customHeight="1">
      <c r="A411" s="168" t="s">
        <v>8</v>
      </c>
      <c r="B411" s="168" t="s">
        <v>725</v>
      </c>
      <c r="C411" s="169">
        <v>211010103</v>
      </c>
      <c r="D411" s="169" t="s">
        <v>1319</v>
      </c>
      <c r="E411" s="170" t="s">
        <v>6</v>
      </c>
      <c r="F411" s="170" t="s">
        <v>344</v>
      </c>
      <c r="G411" s="157">
        <f>-IF(F411="I",IFERROR(VLOOKUP(C411,'BG 2021'!A:C,3,FALSE),0),0)</f>
        <v>-18310822</v>
      </c>
      <c r="H411" s="168" t="s">
        <v>725</v>
      </c>
      <c r="I411" s="172">
        <f>-IF(F411="I",IFERROR(VLOOKUP(C411,'BG 2021'!A:D,4,FALSE),0),0)</f>
        <v>-2658.5999999999767</v>
      </c>
      <c r="J411" s="171"/>
      <c r="K411" s="157">
        <f>-IF(F411="I",SUMIF('BG 2020'!B:B,Clasificaciones!C411,'BG 2020'!D:D),0)</f>
        <v>-8975342</v>
      </c>
      <c r="L411" s="171"/>
      <c r="M411" s="172">
        <f>-IF(F411="I",SUMIF('BG 2020'!B:B,Clasificaciones!C411,'BG 2020'!E:E),0)</f>
        <v>-1292.9699999997392</v>
      </c>
    </row>
    <row r="412" spans="1:13" s="173" customFormat="1" ht="12" customHeight="1">
      <c r="A412" s="168" t="s">
        <v>8</v>
      </c>
      <c r="B412" s="168" t="s">
        <v>725</v>
      </c>
      <c r="C412" s="169">
        <v>211010104</v>
      </c>
      <c r="D412" s="169" t="s">
        <v>1608</v>
      </c>
      <c r="E412" s="170" t="s">
        <v>229</v>
      </c>
      <c r="F412" s="170" t="s">
        <v>344</v>
      </c>
      <c r="G412" s="157">
        <f>-IF(F412="I",IFERROR(VLOOKUP(C412,'BG 2021'!A:C,3,FALSE),0),0)</f>
        <v>-4507528</v>
      </c>
      <c r="H412" s="168" t="s">
        <v>725</v>
      </c>
      <c r="I412" s="172">
        <f>-IF(F412="I",IFERROR(VLOOKUP(C412,'BG 2021'!A:D,4,FALSE),0),0)</f>
        <v>-654.46000000007905</v>
      </c>
      <c r="J412" s="171"/>
      <c r="K412" s="157">
        <f>-IF(F412="I",SUMIF('BG 2020'!B:B,Clasificaciones!C412,'BG 2020'!D:D),0)</f>
        <v>0</v>
      </c>
      <c r="L412" s="171"/>
      <c r="M412" s="172">
        <f>-IF(F412="I",SUMIF('BG 2020'!B:B,Clasificaciones!C412,'BG 2020'!E:E),0)</f>
        <v>0</v>
      </c>
    </row>
    <row r="413" spans="1:13" s="166" customFormat="1" ht="12" customHeight="1">
      <c r="A413" s="163" t="s">
        <v>8</v>
      </c>
      <c r="B413" s="163"/>
      <c r="C413" s="164">
        <v>2110102</v>
      </c>
      <c r="D413" s="164" t="s">
        <v>1122</v>
      </c>
      <c r="E413" s="165" t="s">
        <v>6</v>
      </c>
      <c r="F413" s="165" t="s">
        <v>343</v>
      </c>
      <c r="G413" s="47">
        <f>-IF(F413="I",IFERROR(VLOOKUP(C413,'BG 2021'!A:C,3,FALSE),0),0)</f>
        <v>0</v>
      </c>
      <c r="H413" s="163"/>
      <c r="I413" s="68">
        <f>-IF(F413="I",IFERROR(VLOOKUP(C413,'BG 2021'!A:D,4,FALSE),0),0)</f>
        <v>0</v>
      </c>
      <c r="J413" s="40"/>
      <c r="K413" s="47">
        <f>-IF(F413="I",SUMIF('BG 2020'!B:B,Clasificaciones!C413,'BG 2020'!D:D),0)</f>
        <v>0</v>
      </c>
      <c r="L413" s="40"/>
      <c r="M413" s="68">
        <f>-IF(F413="I",SUMIF('BG 2020'!B:B,Clasificaciones!C413,'BG 2020'!E:E),0)</f>
        <v>0</v>
      </c>
    </row>
    <row r="414" spans="1:13" s="166" customFormat="1" ht="12" customHeight="1">
      <c r="A414" s="163" t="s">
        <v>8</v>
      </c>
      <c r="B414" s="163" t="s">
        <v>725</v>
      </c>
      <c r="C414" s="164">
        <v>211010201</v>
      </c>
      <c r="D414" s="164" t="s">
        <v>1123</v>
      </c>
      <c r="E414" s="165" t="s">
        <v>6</v>
      </c>
      <c r="F414" s="165" t="s">
        <v>344</v>
      </c>
      <c r="G414" s="47">
        <f>-IF(F414="I",IFERROR(VLOOKUP(C414,'BG 2021'!A:C,3,FALSE),0),0)</f>
        <v>0</v>
      </c>
      <c r="H414" s="163" t="s">
        <v>725</v>
      </c>
      <c r="I414" s="68">
        <f>-IF(F414="I",IFERROR(VLOOKUP(C414,'BG 2021'!A:D,4,FALSE),0),0)</f>
        <v>0</v>
      </c>
      <c r="J414" s="40"/>
      <c r="K414" s="47">
        <f>-IF(F414="I",SUMIF('BG 2020'!B:B,Clasificaciones!C414,'BG 2020'!D:D),0)</f>
        <v>0</v>
      </c>
      <c r="L414" s="40"/>
      <c r="M414" s="68">
        <f>-IF(F414="I",SUMIF('BG 2020'!B:B,Clasificaciones!C414,'BG 2020'!E:E),0)</f>
        <v>0</v>
      </c>
    </row>
    <row r="415" spans="1:13" s="166" customFormat="1" ht="12" customHeight="1">
      <c r="A415" s="163" t="s">
        <v>8</v>
      </c>
      <c r="B415" s="163"/>
      <c r="C415" s="164">
        <v>211010202</v>
      </c>
      <c r="D415" s="164" t="s">
        <v>1124</v>
      </c>
      <c r="E415" s="165" t="s">
        <v>229</v>
      </c>
      <c r="F415" s="165" t="s">
        <v>344</v>
      </c>
      <c r="G415" s="47">
        <f>-IF(F415="I",IFERROR(VLOOKUP(C415,'BG 2021'!A:C,3,FALSE),0),0)</f>
        <v>0</v>
      </c>
      <c r="H415" s="163"/>
      <c r="I415" s="68">
        <f>-IF(F415="I",IFERROR(VLOOKUP(C415,'BG 2021'!A:D,4,FALSE),0),0)</f>
        <v>0</v>
      </c>
      <c r="J415" s="40"/>
      <c r="K415" s="47">
        <f>-IF(F415="I",SUMIF('BG 2020'!B:B,Clasificaciones!C415,'BG 2020'!D:D),0)</f>
        <v>0</v>
      </c>
      <c r="L415" s="40"/>
      <c r="M415" s="68">
        <f>-IF(F415="I",SUMIF('BG 2020'!B:B,Clasificaciones!C415,'BG 2020'!E:E),0)</f>
        <v>0</v>
      </c>
    </row>
    <row r="416" spans="1:13" s="166" customFormat="1" ht="12" customHeight="1">
      <c r="A416" s="163" t="s">
        <v>8</v>
      </c>
      <c r="B416" s="163"/>
      <c r="C416" s="164">
        <v>2110103</v>
      </c>
      <c r="D416" s="164" t="s">
        <v>845</v>
      </c>
      <c r="E416" s="165" t="s">
        <v>6</v>
      </c>
      <c r="F416" s="165" t="s">
        <v>343</v>
      </c>
      <c r="G416" s="47">
        <f>-IF(F416="I",IFERROR(VLOOKUP(C416,'BG 2021'!A:C,3,FALSE),0),0)</f>
        <v>0</v>
      </c>
      <c r="H416" s="163"/>
      <c r="I416" s="68">
        <f>-IF(F416="I",IFERROR(VLOOKUP(C416,'BG 2021'!A:D,4,FALSE),0),0)</f>
        <v>0</v>
      </c>
      <c r="J416" s="40"/>
      <c r="K416" s="47">
        <f>-IF(F416="I",SUMIF('BG 2020'!B:B,Clasificaciones!C416,'BG 2020'!D:D),0)</f>
        <v>0</v>
      </c>
      <c r="L416" s="40"/>
      <c r="M416" s="68">
        <f>-IF(F416="I",SUMIF('BG 2020'!B:B,Clasificaciones!C416,'BG 2020'!E:E),0)</f>
        <v>0</v>
      </c>
    </row>
    <row r="417" spans="1:13" s="173" customFormat="1" ht="12" customHeight="1">
      <c r="A417" s="168" t="s">
        <v>8</v>
      </c>
      <c r="B417" s="168" t="s">
        <v>725</v>
      </c>
      <c r="C417" s="169">
        <v>211010301</v>
      </c>
      <c r="D417" s="169" t="s">
        <v>1604</v>
      </c>
      <c r="E417" s="170" t="s">
        <v>6</v>
      </c>
      <c r="F417" s="170" t="s">
        <v>344</v>
      </c>
      <c r="G417" s="157">
        <f>-IF(F417="I",IFERROR(VLOOKUP(C417,'BG 2021'!A:C,3,FALSE),0),0)</f>
        <v>-2895175</v>
      </c>
      <c r="H417" s="168" t="s">
        <v>725</v>
      </c>
      <c r="I417" s="172">
        <f>-IF(F417="I",IFERROR(VLOOKUP(C417,'BG 2021'!A:D,4,FALSE),0),0)</f>
        <v>-423.78999999999724</v>
      </c>
      <c r="J417" s="171"/>
      <c r="K417" s="157">
        <f>-IF(F417="I",SUMIF('BG 2020'!B:B,Clasificaciones!C417,'BG 2020'!D:D),0)</f>
        <v>-8705788</v>
      </c>
      <c r="L417" s="171"/>
      <c r="M417" s="172">
        <f>-IF(F417="I",SUMIF('BG 2020'!B:B,Clasificaciones!C417,'BG 2020'!E:E),0)</f>
        <v>-1254.1399999999999</v>
      </c>
    </row>
    <row r="418" spans="1:13" s="166" customFormat="1" ht="12" customHeight="1">
      <c r="A418" s="163" t="s">
        <v>8</v>
      </c>
      <c r="B418" s="163" t="s">
        <v>725</v>
      </c>
      <c r="C418" s="164">
        <v>211010302</v>
      </c>
      <c r="D418" s="164" t="s">
        <v>505</v>
      </c>
      <c r="E418" s="165" t="s">
        <v>229</v>
      </c>
      <c r="F418" s="165" t="s">
        <v>344</v>
      </c>
      <c r="G418" s="47">
        <f>-IF(F418="I",IFERROR(VLOOKUP(C418,'BG 2021'!A:C,3,FALSE),0),0)</f>
        <v>0</v>
      </c>
      <c r="H418" s="163" t="s">
        <v>725</v>
      </c>
      <c r="I418" s="68">
        <f>-IF(F418="I",IFERROR(VLOOKUP(C418,'BG 2021'!A:D,4,FALSE),0),0)</f>
        <v>0</v>
      </c>
      <c r="J418" s="40"/>
      <c r="K418" s="47">
        <f>-IF(F418="I",SUMIF('BG 2020'!B:B,Clasificaciones!C418,'BG 2020'!D:D),0)</f>
        <v>-1068598</v>
      </c>
      <c r="L418" s="40"/>
      <c r="M418" s="68">
        <f>-IF(F418="I",SUMIF('BG 2020'!B:B,Clasificaciones!C418,'BG 2020'!E:E),0)</f>
        <v>-153.94</v>
      </c>
    </row>
    <row r="419" spans="1:13" s="166" customFormat="1" ht="12" customHeight="1">
      <c r="A419" s="163" t="s">
        <v>8</v>
      </c>
      <c r="B419" s="163"/>
      <c r="C419" s="164">
        <v>2110121</v>
      </c>
      <c r="D419" s="164" t="s">
        <v>1125</v>
      </c>
      <c r="E419" s="165" t="s">
        <v>6</v>
      </c>
      <c r="F419" s="165" t="s">
        <v>343</v>
      </c>
      <c r="G419" s="47">
        <f>-IF(F419="I",IFERROR(VLOOKUP(C419,'BG 2021'!A:C,3,FALSE),0),0)</f>
        <v>0</v>
      </c>
      <c r="H419" s="163"/>
      <c r="I419" s="68">
        <f>-IF(F419="I",IFERROR(VLOOKUP(C419,'BG 2021'!A:D,4,FALSE),0),0)</f>
        <v>0</v>
      </c>
      <c r="J419" s="40"/>
      <c r="K419" s="47">
        <f>-IF(F419="I",SUMIF('BG 2020'!B:B,Clasificaciones!C419,'BG 2020'!D:D),0)</f>
        <v>0</v>
      </c>
      <c r="L419" s="40"/>
      <c r="M419" s="68">
        <f>-IF(F419="I",SUMIF('BG 2020'!B:B,Clasificaciones!C419,'BG 2020'!E:E),0)</f>
        <v>0</v>
      </c>
    </row>
    <row r="420" spans="1:13" s="166" customFormat="1" ht="12" customHeight="1">
      <c r="A420" s="163" t="s">
        <v>8</v>
      </c>
      <c r="B420" s="163"/>
      <c r="C420" s="164">
        <v>21103</v>
      </c>
      <c r="D420" s="164" t="s">
        <v>1126</v>
      </c>
      <c r="E420" s="165" t="s">
        <v>6</v>
      </c>
      <c r="F420" s="165" t="s">
        <v>343</v>
      </c>
      <c r="G420" s="47">
        <f>-IF(F420="I",IFERROR(VLOOKUP(C420,'BG 2021'!A:C,3,FALSE),0),0)</f>
        <v>0</v>
      </c>
      <c r="H420" s="163"/>
      <c r="I420" s="68">
        <f>-IF(F420="I",IFERROR(VLOOKUP(C420,'BG 2021'!A:D,4,FALSE),0),0)</f>
        <v>0</v>
      </c>
      <c r="J420" s="40"/>
      <c r="K420" s="47">
        <f>-IF(F420="I",SUMIF('BG 2020'!B:B,Clasificaciones!C420,'BG 2020'!D:D),0)</f>
        <v>0</v>
      </c>
      <c r="L420" s="40"/>
      <c r="M420" s="68">
        <f>-IF(F420="I",SUMIF('BG 2020'!B:B,Clasificaciones!C420,'BG 2020'!E:E),0)</f>
        <v>0</v>
      </c>
    </row>
    <row r="421" spans="1:13" s="166" customFormat="1" ht="12" customHeight="1">
      <c r="A421" s="163" t="s">
        <v>8</v>
      </c>
      <c r="B421" s="163" t="s">
        <v>101</v>
      </c>
      <c r="C421" s="164">
        <v>211030101</v>
      </c>
      <c r="D421" s="164" t="s">
        <v>1126</v>
      </c>
      <c r="E421" s="165" t="s">
        <v>6</v>
      </c>
      <c r="F421" s="165" t="s">
        <v>344</v>
      </c>
      <c r="G421" s="47">
        <f>-IF(F421="I",IFERROR(VLOOKUP(C421,'BG 2021'!A:C,3,FALSE),0),0)</f>
        <v>0</v>
      </c>
      <c r="H421" s="163" t="s">
        <v>101</v>
      </c>
      <c r="I421" s="68">
        <f>-IF(F421="I",IFERROR(VLOOKUP(C421,'BG 2021'!A:D,4,FALSE),0),0)</f>
        <v>0</v>
      </c>
      <c r="J421" s="40"/>
      <c r="K421" s="47">
        <f>-IF(F421="I",SUMIF('BG 2020'!B:B,Clasificaciones!C421,'BG 2020'!D:D),0)</f>
        <v>0</v>
      </c>
      <c r="L421" s="40"/>
      <c r="M421" s="68">
        <f>-IF(F421="I",SUMIF('BG 2020'!B:B,Clasificaciones!C421,'BG 2020'!E:E),0)</f>
        <v>0</v>
      </c>
    </row>
    <row r="422" spans="1:13" s="166" customFormat="1" ht="12" customHeight="1">
      <c r="A422" s="163" t="s">
        <v>8</v>
      </c>
      <c r="B422" s="163"/>
      <c r="C422" s="164">
        <v>211030102</v>
      </c>
      <c r="D422" s="164" t="s">
        <v>1126</v>
      </c>
      <c r="E422" s="165" t="s">
        <v>229</v>
      </c>
      <c r="F422" s="165" t="s">
        <v>344</v>
      </c>
      <c r="G422" s="47">
        <f>-IF(F422="I",IFERROR(VLOOKUP(C422,'BG 2021'!A:C,3,FALSE),0),0)</f>
        <v>0</v>
      </c>
      <c r="H422" s="163"/>
      <c r="I422" s="68">
        <f>-IF(F422="I",IFERROR(VLOOKUP(C422,'BG 2021'!A:D,4,FALSE),0),0)</f>
        <v>0</v>
      </c>
      <c r="J422" s="40"/>
      <c r="K422" s="47">
        <f>-IF(F422="I",SUMIF('BG 2020'!B:B,Clasificaciones!C422,'BG 2020'!D:D),0)</f>
        <v>0</v>
      </c>
      <c r="L422" s="40"/>
      <c r="M422" s="68">
        <f>-IF(F422="I",SUMIF('BG 2020'!B:B,Clasificaciones!C422,'BG 2020'!E:E),0)</f>
        <v>0</v>
      </c>
    </row>
    <row r="423" spans="1:13" s="173" customFormat="1" ht="12" customHeight="1">
      <c r="A423" s="168" t="s">
        <v>8</v>
      </c>
      <c r="B423" s="168" t="s">
        <v>1439</v>
      </c>
      <c r="C423" s="169">
        <v>211030103</v>
      </c>
      <c r="D423" s="169" t="s">
        <v>1366</v>
      </c>
      <c r="E423" s="170" t="s">
        <v>6</v>
      </c>
      <c r="F423" s="170" t="s">
        <v>344</v>
      </c>
      <c r="G423" s="157">
        <f>-IF(F423="I",IFERROR(VLOOKUP(C423,'BG 2021'!A:C,3,FALSE),0),0)</f>
        <v>-4059103</v>
      </c>
      <c r="H423" s="168" t="s">
        <v>1439</v>
      </c>
      <c r="I423" s="172">
        <f>-IF(F423="I",IFERROR(VLOOKUP(C423,'BG 2021'!A:D,4,FALSE),0),0)</f>
        <v>-589.35000000000036</v>
      </c>
      <c r="J423" s="171"/>
      <c r="K423" s="157">
        <f>-IF(F423="I",SUMIF('BG 2020'!B:B,Clasificaciones!C423,'BG 2020'!D:D),0)</f>
        <v>0</v>
      </c>
      <c r="L423" s="171"/>
      <c r="M423" s="172">
        <f>-IF(F423="I",SUMIF('BG 2020'!B:B,Clasificaciones!C423,'BG 2020'!E:E),0)</f>
        <v>0</v>
      </c>
    </row>
    <row r="424" spans="1:13" s="166" customFormat="1" ht="12" customHeight="1">
      <c r="A424" s="163" t="s">
        <v>8</v>
      </c>
      <c r="B424" s="163"/>
      <c r="C424" s="164">
        <v>21104</v>
      </c>
      <c r="D424" s="164" t="s">
        <v>1127</v>
      </c>
      <c r="E424" s="165" t="s">
        <v>6</v>
      </c>
      <c r="F424" s="165" t="s">
        <v>344</v>
      </c>
      <c r="G424" s="47">
        <f>-IF(F424="I",IFERROR(VLOOKUP(C424,'BG 2021'!A:C,3,FALSE),0),0)</f>
        <v>0</v>
      </c>
      <c r="H424" s="163"/>
      <c r="I424" s="68">
        <f>-IF(F424="I",IFERROR(VLOOKUP(C424,'BG 2021'!A:D,4,FALSE),0),0)</f>
        <v>0</v>
      </c>
      <c r="J424" s="40"/>
      <c r="K424" s="47">
        <f>-IF(F424="I",SUMIF('BG 2020'!B:B,Clasificaciones!C424,'BG 2020'!D:D),0)</f>
        <v>0</v>
      </c>
      <c r="L424" s="40"/>
      <c r="M424" s="68">
        <f>-IF(F424="I",SUMIF('BG 2020'!B:B,Clasificaciones!C424,'BG 2020'!E:E),0)</f>
        <v>0</v>
      </c>
    </row>
    <row r="425" spans="1:13" s="166" customFormat="1" ht="12" customHeight="1">
      <c r="A425" s="163" t="s">
        <v>8</v>
      </c>
      <c r="B425" s="163"/>
      <c r="C425" s="164">
        <v>21105</v>
      </c>
      <c r="D425" s="164" t="s">
        <v>1128</v>
      </c>
      <c r="E425" s="165" t="s">
        <v>6</v>
      </c>
      <c r="F425" s="165" t="s">
        <v>344</v>
      </c>
      <c r="G425" s="47">
        <f>-IF(F425="I",IFERROR(VLOOKUP(C425,'BG 2021'!A:C,3,FALSE),0),0)</f>
        <v>0</v>
      </c>
      <c r="H425" s="163"/>
      <c r="I425" s="68">
        <f>-IF(F425="I",IFERROR(VLOOKUP(C425,'BG 2021'!A:D,4,FALSE),0),0)</f>
        <v>0</v>
      </c>
      <c r="J425" s="40"/>
      <c r="K425" s="47">
        <f>-IF(F425="I",SUMIF('BG 2020'!B:B,Clasificaciones!C425,'BG 2020'!D:D),0)</f>
        <v>0</v>
      </c>
      <c r="L425" s="40"/>
      <c r="M425" s="68">
        <f>-IF(F425="I",SUMIF('BG 2020'!B:B,Clasificaciones!C425,'BG 2020'!E:E),0)</f>
        <v>0</v>
      </c>
    </row>
    <row r="426" spans="1:13" s="166" customFormat="1" ht="12" customHeight="1">
      <c r="A426" s="163" t="s">
        <v>8</v>
      </c>
      <c r="B426" s="163"/>
      <c r="C426" s="164">
        <v>21106</v>
      </c>
      <c r="D426" s="164" t="s">
        <v>349</v>
      </c>
      <c r="E426" s="165" t="s">
        <v>6</v>
      </c>
      <c r="F426" s="165" t="s">
        <v>343</v>
      </c>
      <c r="G426" s="47">
        <f>-IF(F426="I",IFERROR(VLOOKUP(C426,'BG 2021'!A:C,3,FALSE),0),0)</f>
        <v>0</v>
      </c>
      <c r="H426" s="163"/>
      <c r="I426" s="68">
        <f>-IF(F426="I",IFERROR(VLOOKUP(C426,'BG 2021'!A:D,4,FALSE),0),0)</f>
        <v>0</v>
      </c>
      <c r="J426" s="40"/>
      <c r="K426" s="47">
        <f>-IF(F426="I",SUMIF('BG 2020'!B:B,Clasificaciones!C426,'BG 2020'!D:D),0)</f>
        <v>0</v>
      </c>
      <c r="L426" s="40"/>
      <c r="M426" s="68">
        <f>-IF(F426="I",SUMIF('BG 2020'!B:B,Clasificaciones!C426,'BG 2020'!E:E),0)</f>
        <v>0</v>
      </c>
    </row>
    <row r="427" spans="1:13" s="166" customFormat="1" ht="12" customHeight="1">
      <c r="A427" s="163" t="s">
        <v>8</v>
      </c>
      <c r="B427" s="163"/>
      <c r="C427" s="164">
        <v>2110601</v>
      </c>
      <c r="D427" s="164" t="s">
        <v>1129</v>
      </c>
      <c r="E427" s="165" t="s">
        <v>6</v>
      </c>
      <c r="F427" s="165" t="s">
        <v>344</v>
      </c>
      <c r="G427" s="47">
        <f>-IF(F427="I",IFERROR(VLOOKUP(C427,'BG 2021'!A:C,3,FALSE),0),0)</f>
        <v>0</v>
      </c>
      <c r="H427" s="163"/>
      <c r="I427" s="68">
        <f>-IF(F427="I",IFERROR(VLOOKUP(C427,'BG 2021'!A:D,4,FALSE),0),0)</f>
        <v>0</v>
      </c>
      <c r="J427" s="40"/>
      <c r="K427" s="47">
        <f>-IF(F427="I",SUMIF('BG 2020'!B:B,Clasificaciones!C427,'BG 2020'!D:D),0)</f>
        <v>0</v>
      </c>
      <c r="L427" s="40"/>
      <c r="M427" s="68">
        <f>-IF(F427="I",SUMIF('BG 2020'!B:B,Clasificaciones!C427,'BG 2020'!E:E),0)</f>
        <v>0</v>
      </c>
    </row>
    <row r="428" spans="1:13" s="166" customFormat="1" ht="12" customHeight="1">
      <c r="A428" s="163" t="s">
        <v>8</v>
      </c>
      <c r="B428" s="163"/>
      <c r="C428" s="164">
        <v>21107</v>
      </c>
      <c r="D428" s="164" t="s">
        <v>847</v>
      </c>
      <c r="E428" s="165" t="s">
        <v>6</v>
      </c>
      <c r="F428" s="165" t="s">
        <v>343</v>
      </c>
      <c r="G428" s="47">
        <f>-IF(F428="I",IFERROR(VLOOKUP(C428,'BG 2021'!A:C,3,FALSE),0),0)</f>
        <v>0</v>
      </c>
      <c r="H428" s="163"/>
      <c r="I428" s="68">
        <f>-IF(F428="I",IFERROR(VLOOKUP(C428,'BG 2021'!A:D,4,FALSE),0),0)</f>
        <v>0</v>
      </c>
      <c r="J428" s="40"/>
      <c r="K428" s="47">
        <f>-IF(F428="I",SUMIF('BG 2020'!B:B,Clasificaciones!C428,'BG 2020'!D:D),0)</f>
        <v>0</v>
      </c>
      <c r="L428" s="40"/>
      <c r="M428" s="68">
        <f>-IF(F428="I",SUMIF('BG 2020'!B:B,Clasificaciones!C428,'BG 2020'!E:E),0)</f>
        <v>0</v>
      </c>
    </row>
    <row r="429" spans="1:13" s="173" customFormat="1" ht="12" customHeight="1">
      <c r="A429" s="168" t="s">
        <v>8</v>
      </c>
      <c r="B429" s="168" t="s">
        <v>349</v>
      </c>
      <c r="C429" s="169">
        <v>2110701</v>
      </c>
      <c r="D429" s="169" t="s">
        <v>1283</v>
      </c>
      <c r="E429" s="170" t="s">
        <v>6</v>
      </c>
      <c r="F429" s="170" t="s">
        <v>344</v>
      </c>
      <c r="G429" s="157">
        <f>-IF(F429="I",IFERROR(VLOOKUP(C429,'BG 2021'!A:C,3,FALSE),0),0)</f>
        <v>-136664966</v>
      </c>
      <c r="H429" s="168" t="s">
        <v>349</v>
      </c>
      <c r="I429" s="172">
        <f>-IF(F429="I",IFERROR(VLOOKUP(C429,'BG 2021'!A:D,4,FALSE),0),0)</f>
        <v>-19842.75</v>
      </c>
      <c r="J429" s="171"/>
      <c r="K429" s="157">
        <f>-IF(F429="I",SUMIF('BG 2020'!B:B,Clasificaciones!C429,'BG 2020'!D:D),0)</f>
        <v>-72104042</v>
      </c>
      <c r="L429" s="171"/>
      <c r="M429" s="172">
        <f>-IF(F429="I",SUMIF('BG 2020'!B:B,Clasificaciones!C429,'BG 2020'!E:E),0)</f>
        <v>-10387.159999999916</v>
      </c>
    </row>
    <row r="430" spans="1:13" s="173" customFormat="1" ht="12" customHeight="1">
      <c r="A430" s="168" t="s">
        <v>8</v>
      </c>
      <c r="B430" s="168" t="s">
        <v>349</v>
      </c>
      <c r="C430" s="169">
        <v>2110702</v>
      </c>
      <c r="D430" s="169" t="s">
        <v>1607</v>
      </c>
      <c r="E430" s="170" t="s">
        <v>229</v>
      </c>
      <c r="F430" s="170" t="s">
        <v>344</v>
      </c>
      <c r="G430" s="157">
        <f>-IF(F430="I",IFERROR(VLOOKUP(C430,'BG 2021'!A:C,3,FALSE),0),0)</f>
        <v>-18833871</v>
      </c>
      <c r="H430" s="168" t="s">
        <v>349</v>
      </c>
      <c r="I430" s="172">
        <f>-IF(F430="I",IFERROR(VLOOKUP(C430,'BG 2021'!A:D,4,FALSE),0),0)</f>
        <v>-2734.5400000000373</v>
      </c>
      <c r="J430" s="171"/>
      <c r="K430" s="157">
        <f>-IF(F430="I",SUMIF('BG 2020'!B:B,Clasificaciones!C430,'BG 2020'!D:D),0)</f>
        <v>-3566689</v>
      </c>
      <c r="L430" s="171"/>
      <c r="M430" s="172">
        <f>-IF(F430="I",SUMIF('BG 2020'!B:B,Clasificaciones!C430,'BG 2020'!E:E),0)</f>
        <v>-513.81000000002678</v>
      </c>
    </row>
    <row r="431" spans="1:13" s="173" customFormat="1" ht="12" customHeight="1">
      <c r="A431" s="168" t="s">
        <v>8</v>
      </c>
      <c r="B431" s="168" t="s">
        <v>349</v>
      </c>
      <c r="C431" s="169">
        <v>2110703</v>
      </c>
      <c r="D431" s="169" t="s">
        <v>1606</v>
      </c>
      <c r="E431" s="170" t="s">
        <v>229</v>
      </c>
      <c r="F431" s="170" t="s">
        <v>344</v>
      </c>
      <c r="G431" s="157">
        <f>-IF(F431="I",IFERROR(VLOOKUP(C431,'BG 2021'!A:C,3,FALSE),0),0)</f>
        <v>-92979900</v>
      </c>
      <c r="H431" s="168" t="s">
        <v>349</v>
      </c>
      <c r="I431" s="172">
        <f>-IF(F431="I",IFERROR(VLOOKUP(C431,'BG 2021'!A:D,4,FALSE),0),0)</f>
        <v>-13500</v>
      </c>
      <c r="J431" s="171"/>
      <c r="K431" s="157">
        <f>-IF(F431="I",SUMIF('BG 2020'!B:B,Clasificaciones!C431,'BG 2020'!D:D),0)</f>
        <v>0</v>
      </c>
      <c r="L431" s="171"/>
      <c r="M431" s="172">
        <f>-IF(F431="I",SUMIF('BG 2020'!B:B,Clasificaciones!C431,'BG 2020'!E:E),0)</f>
        <v>0</v>
      </c>
    </row>
    <row r="432" spans="1:13" s="166" customFormat="1" ht="12" customHeight="1">
      <c r="A432" s="163" t="s">
        <v>8</v>
      </c>
      <c r="B432" s="163"/>
      <c r="C432" s="164">
        <v>212</v>
      </c>
      <c r="D432" s="164" t="s">
        <v>1131</v>
      </c>
      <c r="E432" s="165" t="s">
        <v>6</v>
      </c>
      <c r="F432" s="165" t="s">
        <v>343</v>
      </c>
      <c r="G432" s="47">
        <f>-IF(F432="I",IFERROR(VLOOKUP(C432,'BG 2021'!A:C,3,FALSE),0),0)</f>
        <v>0</v>
      </c>
      <c r="H432" s="163"/>
      <c r="I432" s="68">
        <f>-IF(F432="I",IFERROR(VLOOKUP(C432,'BG 2021'!A:D,4,FALSE),0),0)</f>
        <v>0</v>
      </c>
      <c r="J432" s="40"/>
      <c r="K432" s="47">
        <f>-IF(F432="I",SUMIF('BG 2020'!B:B,Clasificaciones!C432,'BG 2020'!D:D),0)</f>
        <v>0</v>
      </c>
      <c r="L432" s="40"/>
      <c r="M432" s="68">
        <f>-IF(F432="I",SUMIF('BG 2020'!B:B,Clasificaciones!C432,'BG 2020'!E:E),0)</f>
        <v>0</v>
      </c>
    </row>
    <row r="433" spans="1:13" s="166" customFormat="1" ht="12" customHeight="1">
      <c r="A433" s="163" t="s">
        <v>8</v>
      </c>
      <c r="B433" s="163"/>
      <c r="C433" s="164">
        <v>21201</v>
      </c>
      <c r="D433" s="164" t="s">
        <v>1127</v>
      </c>
      <c r="E433" s="165" t="s">
        <v>6</v>
      </c>
      <c r="F433" s="165" t="s">
        <v>344</v>
      </c>
      <c r="G433" s="47">
        <f>-IF(F433="I",IFERROR(VLOOKUP(C433,'BG 2021'!A:C,3,FALSE),0),0)</f>
        <v>0</v>
      </c>
      <c r="H433" s="163"/>
      <c r="I433" s="68">
        <f>-IF(F433="I",IFERROR(VLOOKUP(C433,'BG 2021'!A:D,4,FALSE),0),0)</f>
        <v>0</v>
      </c>
      <c r="J433" s="40"/>
      <c r="K433" s="47">
        <f>-IF(F433="I",SUMIF('BG 2020'!B:B,Clasificaciones!C433,'BG 2020'!D:D),0)</f>
        <v>0</v>
      </c>
      <c r="L433" s="40"/>
      <c r="M433" s="68">
        <f>-IF(F433="I",SUMIF('BG 2020'!B:B,Clasificaciones!C433,'BG 2020'!E:E),0)</f>
        <v>0</v>
      </c>
    </row>
    <row r="434" spans="1:13" s="166" customFormat="1" ht="12" customHeight="1">
      <c r="A434" s="163" t="s">
        <v>8</v>
      </c>
      <c r="B434" s="163"/>
      <c r="C434" s="164">
        <v>21202</v>
      </c>
      <c r="D434" s="164" t="s">
        <v>843</v>
      </c>
      <c r="E434" s="165" t="s">
        <v>6</v>
      </c>
      <c r="F434" s="165" t="s">
        <v>344</v>
      </c>
      <c r="G434" s="47">
        <f>-IF(F434="I",IFERROR(VLOOKUP(C434,'BG 2021'!A:C,3,FALSE),0),0)</f>
        <v>0</v>
      </c>
      <c r="H434" s="163"/>
      <c r="I434" s="68">
        <f>-IF(F434="I",IFERROR(VLOOKUP(C434,'BG 2021'!A:D,4,FALSE),0),0)</f>
        <v>0</v>
      </c>
      <c r="J434" s="40"/>
      <c r="K434" s="47">
        <f>-IF(F434="I",SUMIF('BG 2020'!B:B,Clasificaciones!C434,'BG 2020'!D:D),0)</f>
        <v>0</v>
      </c>
      <c r="L434" s="40"/>
      <c r="M434" s="68">
        <f>-IF(F434="I",SUMIF('BG 2020'!B:B,Clasificaciones!C434,'BG 2020'!E:E),0)</f>
        <v>0</v>
      </c>
    </row>
    <row r="435" spans="1:13" s="166" customFormat="1" ht="12" customHeight="1">
      <c r="A435" s="163" t="s">
        <v>8</v>
      </c>
      <c r="B435" s="163"/>
      <c r="C435" s="164">
        <v>21203</v>
      </c>
      <c r="D435" s="164" t="s">
        <v>1128</v>
      </c>
      <c r="E435" s="165" t="s">
        <v>6</v>
      </c>
      <c r="F435" s="165" t="s">
        <v>344</v>
      </c>
      <c r="G435" s="47">
        <f>-IF(F435="I",IFERROR(VLOOKUP(C435,'BG 2021'!A:C,3,FALSE),0),0)</f>
        <v>0</v>
      </c>
      <c r="H435" s="163"/>
      <c r="I435" s="68">
        <f>-IF(F435="I",IFERROR(VLOOKUP(C435,'BG 2021'!A:D,4,FALSE),0),0)</f>
        <v>0</v>
      </c>
      <c r="J435" s="40"/>
      <c r="K435" s="47">
        <f>-IF(F435="I",SUMIF('BG 2020'!B:B,Clasificaciones!C435,'BG 2020'!D:D),0)</f>
        <v>0</v>
      </c>
      <c r="L435" s="40"/>
      <c r="M435" s="68">
        <f>-IF(F435="I",SUMIF('BG 2020'!B:B,Clasificaciones!C435,'BG 2020'!E:E),0)</f>
        <v>0</v>
      </c>
    </row>
    <row r="436" spans="1:13" s="166" customFormat="1" ht="12" customHeight="1">
      <c r="A436" s="163" t="s">
        <v>8</v>
      </c>
      <c r="B436" s="163"/>
      <c r="C436" s="164">
        <v>21204</v>
      </c>
      <c r="D436" s="164" t="s">
        <v>1126</v>
      </c>
      <c r="E436" s="165" t="s">
        <v>6</v>
      </c>
      <c r="F436" s="165" t="s">
        <v>344</v>
      </c>
      <c r="G436" s="47">
        <f>-IF(F436="I",IFERROR(VLOOKUP(C436,'BG 2021'!A:C,3,FALSE),0),0)</f>
        <v>0</v>
      </c>
      <c r="H436" s="163"/>
      <c r="I436" s="68">
        <f>-IF(F436="I",IFERROR(VLOOKUP(C436,'BG 2021'!A:D,4,FALSE),0),0)</f>
        <v>0</v>
      </c>
      <c r="J436" s="40"/>
      <c r="K436" s="47">
        <f>-IF(F436="I",SUMIF('BG 2020'!B:B,Clasificaciones!C436,'BG 2020'!D:D),0)</f>
        <v>0</v>
      </c>
      <c r="L436" s="40"/>
      <c r="M436" s="68">
        <f>-IF(F436="I",SUMIF('BG 2020'!B:B,Clasificaciones!C436,'BG 2020'!E:E),0)</f>
        <v>0</v>
      </c>
    </row>
    <row r="437" spans="1:13" s="166" customFormat="1" ht="12" customHeight="1">
      <c r="A437" s="163" t="s">
        <v>8</v>
      </c>
      <c r="B437" s="163"/>
      <c r="C437" s="164">
        <v>21205</v>
      </c>
      <c r="D437" s="164" t="s">
        <v>349</v>
      </c>
      <c r="E437" s="165" t="s">
        <v>6</v>
      </c>
      <c r="F437" s="165" t="s">
        <v>343</v>
      </c>
      <c r="G437" s="47">
        <f>-IF(F437="I",IFERROR(VLOOKUP(C437,'BG 2021'!A:C,3,FALSE),0),0)</f>
        <v>0</v>
      </c>
      <c r="H437" s="163"/>
      <c r="I437" s="68">
        <f>-IF(F437="I",IFERROR(VLOOKUP(C437,'BG 2021'!A:D,4,FALSE),0),0)</f>
        <v>0</v>
      </c>
      <c r="J437" s="40"/>
      <c r="K437" s="47">
        <f>-IF(F437="I",SUMIF('BG 2020'!B:B,Clasificaciones!C437,'BG 2020'!D:D),0)</f>
        <v>0</v>
      </c>
      <c r="L437" s="40"/>
      <c r="M437" s="68">
        <f>-IF(F437="I",SUMIF('BG 2020'!B:B,Clasificaciones!C437,'BG 2020'!E:E),0)</f>
        <v>0</v>
      </c>
    </row>
    <row r="438" spans="1:13" s="166" customFormat="1" ht="12" customHeight="1">
      <c r="A438" s="163" t="s">
        <v>8</v>
      </c>
      <c r="B438" s="163"/>
      <c r="C438" s="164">
        <v>2120501</v>
      </c>
      <c r="D438" s="164" t="s">
        <v>1132</v>
      </c>
      <c r="E438" s="165" t="s">
        <v>6</v>
      </c>
      <c r="F438" s="165" t="s">
        <v>343</v>
      </c>
      <c r="G438" s="47">
        <f>-IF(F438="I",IFERROR(VLOOKUP(C438,'BG 2021'!A:C,3,FALSE),0),0)</f>
        <v>0</v>
      </c>
      <c r="H438" s="163"/>
      <c r="I438" s="68">
        <f>-IF(F438="I",IFERROR(VLOOKUP(C438,'BG 2021'!A:D,4,FALSE),0),0)</f>
        <v>0</v>
      </c>
      <c r="J438" s="40"/>
      <c r="K438" s="47">
        <f>-IF(F438="I",SUMIF('BG 2020'!B:B,Clasificaciones!C438,'BG 2020'!D:D),0)</f>
        <v>0</v>
      </c>
      <c r="L438" s="40"/>
      <c r="M438" s="68">
        <f>-IF(F438="I",SUMIF('BG 2020'!B:B,Clasificaciones!C438,'BG 2020'!E:E),0)</f>
        <v>0</v>
      </c>
    </row>
    <row r="439" spans="1:13" s="166" customFormat="1" ht="12" customHeight="1">
      <c r="A439" s="163" t="s">
        <v>8</v>
      </c>
      <c r="B439" s="163"/>
      <c r="C439" s="164">
        <v>212050101</v>
      </c>
      <c r="D439" s="164" t="s">
        <v>1133</v>
      </c>
      <c r="E439" s="165" t="s">
        <v>6</v>
      </c>
      <c r="F439" s="165" t="s">
        <v>344</v>
      </c>
      <c r="G439" s="47">
        <f>-IF(F439="I",IFERROR(VLOOKUP(C439,'BG 2021'!A:C,3,FALSE),0),0)</f>
        <v>0</v>
      </c>
      <c r="H439" s="163"/>
      <c r="I439" s="68">
        <f>-IF(F439="I",IFERROR(VLOOKUP(C439,'BG 2021'!A:D,4,FALSE),0),0)</f>
        <v>0</v>
      </c>
      <c r="J439" s="40"/>
      <c r="K439" s="47">
        <f>-IF(F439="I",SUMIF('BG 2020'!B:B,Clasificaciones!C439,'BG 2020'!D:D),0)</f>
        <v>0</v>
      </c>
      <c r="L439" s="40"/>
      <c r="M439" s="68">
        <f>-IF(F439="I",SUMIF('BG 2020'!B:B,Clasificaciones!C439,'BG 2020'!E:E),0)</f>
        <v>0</v>
      </c>
    </row>
    <row r="440" spans="1:13" s="166" customFormat="1" ht="12" customHeight="1">
      <c r="A440" s="163" t="s">
        <v>8</v>
      </c>
      <c r="B440" s="163"/>
      <c r="C440" s="164">
        <v>212050102</v>
      </c>
      <c r="D440" s="164" t="s">
        <v>1134</v>
      </c>
      <c r="E440" s="165" t="s">
        <v>229</v>
      </c>
      <c r="F440" s="165" t="s">
        <v>344</v>
      </c>
      <c r="G440" s="47">
        <f>-IF(F440="I",IFERROR(VLOOKUP(C440,'BG 2021'!A:C,3,FALSE),0),0)</f>
        <v>0</v>
      </c>
      <c r="H440" s="163"/>
      <c r="I440" s="68">
        <f>-IF(F440="I",IFERROR(VLOOKUP(C440,'BG 2021'!A:D,4,FALSE),0),0)</f>
        <v>0</v>
      </c>
      <c r="J440" s="40"/>
      <c r="K440" s="47">
        <f>-IF(F440="I",SUMIF('BG 2020'!B:B,Clasificaciones!C440,'BG 2020'!D:D),0)</f>
        <v>0</v>
      </c>
      <c r="L440" s="40"/>
      <c r="M440" s="68">
        <f>-IF(F440="I",SUMIF('BG 2020'!B:B,Clasificaciones!C440,'BG 2020'!E:E),0)</f>
        <v>0</v>
      </c>
    </row>
    <row r="441" spans="1:13" s="166" customFormat="1" ht="12" customHeight="1">
      <c r="A441" s="163" t="s">
        <v>8</v>
      </c>
      <c r="B441" s="163"/>
      <c r="C441" s="164">
        <v>213</v>
      </c>
      <c r="D441" s="164" t="s">
        <v>850</v>
      </c>
      <c r="E441" s="165" t="s">
        <v>6</v>
      </c>
      <c r="F441" s="165" t="s">
        <v>343</v>
      </c>
      <c r="G441" s="47">
        <f>-IF(F441="I",IFERROR(VLOOKUP(C441,'BG 2021'!A:C,3,FALSE),0),0)</f>
        <v>0</v>
      </c>
      <c r="H441" s="163"/>
      <c r="I441" s="68">
        <f>-IF(F441="I",IFERROR(VLOOKUP(C441,'BG 2021'!A:D,4,FALSE),0),0)</f>
        <v>0</v>
      </c>
      <c r="J441" s="40"/>
      <c r="K441" s="47">
        <f>-IF(F441="I",SUMIF('BG 2020'!B:B,Clasificaciones!C441,'BG 2020'!D:D),0)</f>
        <v>0</v>
      </c>
      <c r="L441" s="40"/>
      <c r="M441" s="68">
        <f>-IF(F441="I",SUMIF('BG 2020'!B:B,Clasificaciones!C441,'BG 2020'!E:E),0)</f>
        <v>0</v>
      </c>
    </row>
    <row r="442" spans="1:13" s="166" customFormat="1" ht="12" customHeight="1">
      <c r="A442" s="163" t="s">
        <v>8</v>
      </c>
      <c r="B442" s="163"/>
      <c r="C442" s="164">
        <v>21301</v>
      </c>
      <c r="D442" s="164" t="s">
        <v>726</v>
      </c>
      <c r="E442" s="165" t="s">
        <v>6</v>
      </c>
      <c r="F442" s="165" t="s">
        <v>343</v>
      </c>
      <c r="G442" s="47">
        <f>-IF(F442="I",IFERROR(VLOOKUP(C442,'BG 2021'!A:C,3,FALSE),0),0)</f>
        <v>0</v>
      </c>
      <c r="H442" s="163"/>
      <c r="I442" s="68">
        <f>-IF(F442="I",IFERROR(VLOOKUP(C442,'BG 2021'!A:D,4,FALSE),0),0)</f>
        <v>0</v>
      </c>
      <c r="J442" s="40"/>
      <c r="K442" s="47">
        <f>-IF(F442="I",SUMIF('BG 2020'!B:B,Clasificaciones!C442,'BG 2020'!D:D),0)</f>
        <v>0</v>
      </c>
      <c r="L442" s="40"/>
      <c r="M442" s="68">
        <f>-IF(F442="I",SUMIF('BG 2020'!B:B,Clasificaciones!C442,'BG 2020'!E:E),0)</f>
        <v>0</v>
      </c>
    </row>
    <row r="443" spans="1:13" s="166" customFormat="1" ht="12" customHeight="1">
      <c r="A443" s="163" t="s">
        <v>8</v>
      </c>
      <c r="B443" s="163"/>
      <c r="C443" s="164">
        <v>2130101</v>
      </c>
      <c r="D443" s="164" t="s">
        <v>851</v>
      </c>
      <c r="E443" s="165" t="s">
        <v>6</v>
      </c>
      <c r="F443" s="165" t="s">
        <v>343</v>
      </c>
      <c r="G443" s="47">
        <f>-IF(F443="I",IFERROR(VLOOKUP(C443,'BG 2021'!A:C,3,FALSE),0),0)</f>
        <v>0</v>
      </c>
      <c r="H443" s="163"/>
      <c r="I443" s="68">
        <f>-IF(F443="I",IFERROR(VLOOKUP(C443,'BG 2021'!A:D,4,FALSE),0),0)</f>
        <v>0</v>
      </c>
      <c r="J443" s="40"/>
      <c r="K443" s="47">
        <f>-IF(F443="I",SUMIF('BG 2020'!B:B,Clasificaciones!C443,'BG 2020'!D:D),0)</f>
        <v>0</v>
      </c>
      <c r="L443" s="40"/>
      <c r="M443" s="68">
        <f>-IF(F443="I",SUMIF('BG 2020'!B:B,Clasificaciones!C443,'BG 2020'!E:E),0)</f>
        <v>0</v>
      </c>
    </row>
    <row r="444" spans="1:13" s="166" customFormat="1" ht="12" customHeight="1">
      <c r="A444" s="163" t="s">
        <v>8</v>
      </c>
      <c r="B444" s="163" t="s">
        <v>726</v>
      </c>
      <c r="C444" s="164">
        <v>213010101</v>
      </c>
      <c r="D444" s="164" t="s">
        <v>852</v>
      </c>
      <c r="E444" s="165" t="s">
        <v>6</v>
      </c>
      <c r="F444" s="165" t="s">
        <v>344</v>
      </c>
      <c r="G444" s="47">
        <f>-IF(F444="I",IFERROR(VLOOKUP(C444,'BG 2021'!A:C,3,FALSE),0),0)</f>
        <v>0</v>
      </c>
      <c r="H444" s="163" t="s">
        <v>726</v>
      </c>
      <c r="I444" s="68">
        <f>-IF(F444="I",IFERROR(VLOOKUP(C444,'BG 2021'!A:D,4,FALSE),0),0)</f>
        <v>0</v>
      </c>
      <c r="J444" s="40"/>
      <c r="K444" s="47">
        <f>-IF(F444="I",SUMIF('BG 2020'!B:B,Clasificaciones!C444,'BG 2020'!D:D),0)</f>
        <v>0</v>
      </c>
      <c r="L444" s="40"/>
      <c r="M444" s="68">
        <f>-IF(F444="I",SUMIF('BG 2020'!B:B,Clasificaciones!C444,'BG 2020'!E:E),0)</f>
        <v>0</v>
      </c>
    </row>
    <row r="445" spans="1:13" s="166" customFormat="1" ht="12" customHeight="1">
      <c r="A445" s="163" t="s">
        <v>8</v>
      </c>
      <c r="B445" s="163" t="s">
        <v>726</v>
      </c>
      <c r="C445" s="164">
        <v>213010102</v>
      </c>
      <c r="D445" s="164" t="s">
        <v>1135</v>
      </c>
      <c r="E445" s="165" t="s">
        <v>229</v>
      </c>
      <c r="F445" s="165" t="s">
        <v>344</v>
      </c>
      <c r="G445" s="47">
        <f>-IF(F445="I",IFERROR(VLOOKUP(C445,'BG 2021'!A:C,3,FALSE),0),0)</f>
        <v>0</v>
      </c>
      <c r="H445" s="163" t="s">
        <v>726</v>
      </c>
      <c r="I445" s="68">
        <f>-IF(F445="I",IFERROR(VLOOKUP(C445,'BG 2021'!A:D,4,FALSE),0),0)</f>
        <v>0</v>
      </c>
      <c r="J445" s="40"/>
      <c r="K445" s="47">
        <f>-IF(F445="I",SUMIF('BG 2020'!B:B,Clasificaciones!C445,'BG 2020'!D:D),0)</f>
        <v>0</v>
      </c>
      <c r="L445" s="40"/>
      <c r="M445" s="68">
        <f>-IF(F445="I",SUMIF('BG 2020'!B:B,Clasificaciones!C445,'BG 2020'!E:E),0)</f>
        <v>0</v>
      </c>
    </row>
    <row r="446" spans="1:13" s="166" customFormat="1" ht="12" customHeight="1">
      <c r="A446" s="163" t="s">
        <v>8</v>
      </c>
      <c r="B446" s="163"/>
      <c r="C446" s="164">
        <v>2130102</v>
      </c>
      <c r="D446" s="164" t="s">
        <v>853</v>
      </c>
      <c r="E446" s="165" t="s">
        <v>229</v>
      </c>
      <c r="F446" s="165" t="s">
        <v>343</v>
      </c>
      <c r="G446" s="47">
        <f>-IF(F446="I",IFERROR(VLOOKUP(C446,'BG 2021'!A:C,3,FALSE),0),0)</f>
        <v>0</v>
      </c>
      <c r="H446" s="163"/>
      <c r="I446" s="68">
        <f>-IF(F446="I",IFERROR(VLOOKUP(C446,'BG 2021'!A:D,4,FALSE),0),0)</f>
        <v>0</v>
      </c>
      <c r="J446" s="40"/>
      <c r="K446" s="47">
        <f>-IF(F446="I",SUMIF('BG 2020'!B:B,Clasificaciones!C446,'BG 2020'!D:D),0)</f>
        <v>0</v>
      </c>
      <c r="L446" s="40"/>
      <c r="M446" s="68">
        <f>-IF(F446="I",SUMIF('BG 2020'!B:B,Clasificaciones!C446,'BG 2020'!E:E),0)</f>
        <v>0</v>
      </c>
    </row>
    <row r="447" spans="1:13" s="173" customFormat="1" ht="12" customHeight="1">
      <c r="A447" s="168" t="s">
        <v>8</v>
      </c>
      <c r="B447" s="168" t="s">
        <v>726</v>
      </c>
      <c r="C447" s="169">
        <v>213010201</v>
      </c>
      <c r="D447" s="169" t="s">
        <v>854</v>
      </c>
      <c r="E447" s="170" t="s">
        <v>229</v>
      </c>
      <c r="F447" s="170" t="s">
        <v>344</v>
      </c>
      <c r="G447" s="157">
        <f>-IF(F447="I",IFERROR(VLOOKUP(C447,'BG 2021'!A:C,3,FALSE),0),0)</f>
        <v>-1848050034</v>
      </c>
      <c r="H447" s="168" t="s">
        <v>726</v>
      </c>
      <c r="I447" s="172">
        <f>-IF(F447="I",IFERROR(VLOOKUP(C447,'BG 2021'!A:D,4,FALSE),0),0)</f>
        <v>-268323.31999999983</v>
      </c>
      <c r="J447" s="171"/>
      <c r="K447" s="157">
        <f>-IF(F447="I",SUMIF('BG 2020'!B:B,Clasificaciones!C447,'BG 2020'!D:D),0)</f>
        <v>-1047146584</v>
      </c>
      <c r="L447" s="171"/>
      <c r="M447" s="172">
        <f>-IF(F447="I",SUMIF('BG 2020'!B:B,Clasificaciones!C447,'BG 2020'!E:E),0)</f>
        <v>-150849.80999999994</v>
      </c>
    </row>
    <row r="448" spans="1:13" s="166" customFormat="1" ht="12" customHeight="1">
      <c r="A448" s="163" t="s">
        <v>8</v>
      </c>
      <c r="B448" s="163"/>
      <c r="C448" s="164">
        <v>21302</v>
      </c>
      <c r="D448" s="164" t="s">
        <v>1136</v>
      </c>
      <c r="E448" s="165" t="s">
        <v>6</v>
      </c>
      <c r="F448" s="165" t="s">
        <v>343</v>
      </c>
      <c r="G448" s="47">
        <f>-IF(F448="I",IFERROR(VLOOKUP(C448,'BG 2021'!A:C,3,FALSE),0),0)</f>
        <v>0</v>
      </c>
      <c r="H448" s="163"/>
      <c r="I448" s="68">
        <f>-IF(F448="I",IFERROR(VLOOKUP(C448,'BG 2021'!A:D,4,FALSE),0),0)</f>
        <v>0</v>
      </c>
      <c r="J448" s="40"/>
      <c r="K448" s="47">
        <f>-IF(F448="I",SUMIF('BG 2020'!B:B,Clasificaciones!C448,'BG 2020'!D:D),0)</f>
        <v>0</v>
      </c>
      <c r="L448" s="40"/>
      <c r="M448" s="68">
        <f>-IF(F448="I",SUMIF('BG 2020'!B:B,Clasificaciones!C448,'BG 2020'!E:E),0)</f>
        <v>0</v>
      </c>
    </row>
    <row r="449" spans="1:13" s="166" customFormat="1" ht="12" customHeight="1">
      <c r="A449" s="163" t="s">
        <v>8</v>
      </c>
      <c r="B449" s="163"/>
      <c r="C449" s="164">
        <v>2130201</v>
      </c>
      <c r="D449" s="164" t="s">
        <v>1137</v>
      </c>
      <c r="E449" s="165" t="s">
        <v>6</v>
      </c>
      <c r="F449" s="165" t="s">
        <v>343</v>
      </c>
      <c r="G449" s="47">
        <f>-IF(F449="I",IFERROR(VLOOKUP(C449,'BG 2021'!A:C,3,FALSE),0),0)</f>
        <v>0</v>
      </c>
      <c r="H449" s="163"/>
      <c r="I449" s="68">
        <f>-IF(F449="I",IFERROR(VLOOKUP(C449,'BG 2021'!A:D,4,FALSE),0),0)</f>
        <v>0</v>
      </c>
      <c r="J449" s="40"/>
      <c r="K449" s="47">
        <f>-IF(F449="I",SUMIF('BG 2020'!B:B,Clasificaciones!C449,'BG 2020'!D:D),0)</f>
        <v>0</v>
      </c>
      <c r="L449" s="40"/>
      <c r="M449" s="68">
        <f>-IF(F449="I",SUMIF('BG 2020'!B:B,Clasificaciones!C449,'BG 2020'!E:E),0)</f>
        <v>0</v>
      </c>
    </row>
    <row r="450" spans="1:13" s="166" customFormat="1" ht="12" customHeight="1">
      <c r="A450" s="163" t="s">
        <v>8</v>
      </c>
      <c r="B450" s="163"/>
      <c r="C450" s="164">
        <v>213020101</v>
      </c>
      <c r="D450" s="164" t="s">
        <v>1138</v>
      </c>
      <c r="E450" s="165" t="s">
        <v>6</v>
      </c>
      <c r="F450" s="165" t="s">
        <v>343</v>
      </c>
      <c r="G450" s="47">
        <f>-IF(F450="I",IFERROR(VLOOKUP(C450,'BG 2021'!A:C,3,FALSE),0),0)</f>
        <v>0</v>
      </c>
      <c r="H450" s="163"/>
      <c r="I450" s="68">
        <f>-IF(F450="I",IFERROR(VLOOKUP(C450,'BG 2021'!A:D,4,FALSE),0),0)</f>
        <v>0</v>
      </c>
      <c r="J450" s="40"/>
      <c r="K450" s="47">
        <f>-IF(F450="I",SUMIF('BG 2020'!B:B,Clasificaciones!C450,'BG 2020'!D:D),0)</f>
        <v>0</v>
      </c>
      <c r="L450" s="40"/>
      <c r="M450" s="68">
        <f>-IF(F450="I",SUMIF('BG 2020'!B:B,Clasificaciones!C450,'BG 2020'!E:E),0)</f>
        <v>0</v>
      </c>
    </row>
    <row r="451" spans="1:13" s="166" customFormat="1" ht="12" customHeight="1">
      <c r="A451" s="163" t="s">
        <v>8</v>
      </c>
      <c r="B451" s="163"/>
      <c r="C451" s="164">
        <v>21302010101</v>
      </c>
      <c r="D451" s="164" t="s">
        <v>1138</v>
      </c>
      <c r="E451" s="165" t="s">
        <v>6</v>
      </c>
      <c r="F451" s="165" t="s">
        <v>344</v>
      </c>
      <c r="G451" s="47">
        <f>-IF(F451="I",IFERROR(VLOOKUP(C451,'BG 2021'!A:C,3,FALSE),0),0)</f>
        <v>0</v>
      </c>
      <c r="H451" s="163"/>
      <c r="I451" s="68">
        <f>-IF(F451="I",IFERROR(VLOOKUP(C451,'BG 2021'!A:D,4,FALSE),0),0)</f>
        <v>0</v>
      </c>
      <c r="J451" s="40"/>
      <c r="K451" s="47">
        <f>-IF(F451="I",SUMIF('BG 2020'!B:B,Clasificaciones!C451,'BG 2020'!D:D),0)</f>
        <v>0</v>
      </c>
      <c r="L451" s="40"/>
      <c r="M451" s="68">
        <f>-IF(F451="I",SUMIF('BG 2020'!B:B,Clasificaciones!C451,'BG 2020'!E:E),0)</f>
        <v>0</v>
      </c>
    </row>
    <row r="452" spans="1:13" s="166" customFormat="1" ht="12" customHeight="1">
      <c r="A452" s="163" t="s">
        <v>8</v>
      </c>
      <c r="B452" s="163"/>
      <c r="C452" s="164">
        <v>21302010102</v>
      </c>
      <c r="D452" s="164" t="s">
        <v>1138</v>
      </c>
      <c r="E452" s="165" t="s">
        <v>229</v>
      </c>
      <c r="F452" s="165" t="s">
        <v>344</v>
      </c>
      <c r="G452" s="47">
        <f>-IF(F452="I",IFERROR(VLOOKUP(C452,'BG 2021'!A:C,3,FALSE),0),0)</f>
        <v>0</v>
      </c>
      <c r="H452" s="163"/>
      <c r="I452" s="68">
        <f>-IF(F452="I",IFERROR(VLOOKUP(C452,'BG 2021'!A:D,4,FALSE),0),0)</f>
        <v>0</v>
      </c>
      <c r="J452" s="40"/>
      <c r="K452" s="47">
        <f>-IF(F452="I",SUMIF('BG 2020'!B:B,Clasificaciones!C452,'BG 2020'!D:D),0)</f>
        <v>0</v>
      </c>
      <c r="L452" s="40"/>
      <c r="M452" s="68">
        <f>-IF(F452="I",SUMIF('BG 2020'!B:B,Clasificaciones!C452,'BG 2020'!E:E),0)</f>
        <v>0</v>
      </c>
    </row>
    <row r="453" spans="1:13" s="166" customFormat="1" ht="12" customHeight="1">
      <c r="A453" s="163" t="s">
        <v>8</v>
      </c>
      <c r="B453" s="163"/>
      <c r="C453" s="164">
        <v>213020102</v>
      </c>
      <c r="D453" s="164" t="s">
        <v>1139</v>
      </c>
      <c r="E453" s="165" t="s">
        <v>6</v>
      </c>
      <c r="F453" s="165" t="s">
        <v>343</v>
      </c>
      <c r="G453" s="47">
        <f>-IF(F453="I",IFERROR(VLOOKUP(C453,'BG 2021'!A:C,3,FALSE),0),0)</f>
        <v>0</v>
      </c>
      <c r="H453" s="163"/>
      <c r="I453" s="68">
        <f>-IF(F453="I",IFERROR(VLOOKUP(C453,'BG 2021'!A:D,4,FALSE),0),0)</f>
        <v>0</v>
      </c>
      <c r="J453" s="40"/>
      <c r="K453" s="47">
        <f>-IF(F453="I",SUMIF('BG 2020'!B:B,Clasificaciones!C453,'BG 2020'!D:D),0)</f>
        <v>0</v>
      </c>
      <c r="L453" s="40"/>
      <c r="M453" s="68">
        <f>-IF(F453="I",SUMIF('BG 2020'!B:B,Clasificaciones!C453,'BG 2020'!E:E),0)</f>
        <v>0</v>
      </c>
    </row>
    <row r="454" spans="1:13" s="166" customFormat="1" ht="12" customHeight="1">
      <c r="A454" s="163" t="s">
        <v>8</v>
      </c>
      <c r="B454" s="163"/>
      <c r="C454" s="164">
        <v>21302010201</v>
      </c>
      <c r="D454" s="164" t="s">
        <v>1139</v>
      </c>
      <c r="E454" s="165" t="s">
        <v>6</v>
      </c>
      <c r="F454" s="165" t="s">
        <v>344</v>
      </c>
      <c r="G454" s="47">
        <f>-IF(F454="I",IFERROR(VLOOKUP(C454,'BG 2021'!A:C,3,FALSE),0),0)</f>
        <v>0</v>
      </c>
      <c r="H454" s="163"/>
      <c r="I454" s="68">
        <f>-IF(F454="I",IFERROR(VLOOKUP(C454,'BG 2021'!A:D,4,FALSE),0),0)</f>
        <v>0</v>
      </c>
      <c r="J454" s="40"/>
      <c r="K454" s="47">
        <f>-IF(F454="I",SUMIF('BG 2020'!B:B,Clasificaciones!C454,'BG 2020'!D:D),0)</f>
        <v>0</v>
      </c>
      <c r="L454" s="40"/>
      <c r="M454" s="68">
        <f>-IF(F454="I",SUMIF('BG 2020'!B:B,Clasificaciones!C454,'BG 2020'!E:E),0)</f>
        <v>0</v>
      </c>
    </row>
    <row r="455" spans="1:13" s="166" customFormat="1" ht="12" customHeight="1">
      <c r="A455" s="163" t="s">
        <v>8</v>
      </c>
      <c r="B455" s="163"/>
      <c r="C455" s="164">
        <v>21302010202</v>
      </c>
      <c r="D455" s="164" t="s">
        <v>1139</v>
      </c>
      <c r="E455" s="165" t="s">
        <v>229</v>
      </c>
      <c r="F455" s="165" t="s">
        <v>344</v>
      </c>
      <c r="G455" s="47">
        <f>-IF(F455="I",IFERROR(VLOOKUP(C455,'BG 2021'!A:C,3,FALSE),0),0)</f>
        <v>0</v>
      </c>
      <c r="H455" s="163"/>
      <c r="I455" s="68">
        <f>-IF(F455="I",IFERROR(VLOOKUP(C455,'BG 2021'!A:D,4,FALSE),0),0)</f>
        <v>0</v>
      </c>
      <c r="J455" s="40"/>
      <c r="K455" s="47">
        <f>-IF(F455="I",SUMIF('BG 2020'!B:B,Clasificaciones!C455,'BG 2020'!D:D),0)</f>
        <v>0</v>
      </c>
      <c r="L455" s="40"/>
      <c r="M455" s="68">
        <f>-IF(F455="I",SUMIF('BG 2020'!B:B,Clasificaciones!C455,'BG 2020'!E:E),0)</f>
        <v>0</v>
      </c>
    </row>
    <row r="456" spans="1:13" s="166" customFormat="1" ht="12" customHeight="1">
      <c r="A456" s="163" t="s">
        <v>8</v>
      </c>
      <c r="B456" s="163"/>
      <c r="C456" s="164">
        <v>21303</v>
      </c>
      <c r="D456" s="164" t="s">
        <v>855</v>
      </c>
      <c r="E456" s="165" t="s">
        <v>6</v>
      </c>
      <c r="F456" s="165" t="s">
        <v>343</v>
      </c>
      <c r="G456" s="47">
        <f>-IF(F456="I",IFERROR(VLOOKUP(C456,'BG 2021'!A:C,3,FALSE),0),0)</f>
        <v>0</v>
      </c>
      <c r="H456" s="163"/>
      <c r="I456" s="68">
        <f>-IF(F456="I",IFERROR(VLOOKUP(C456,'BG 2021'!A:D,4,FALSE),0),0)</f>
        <v>0</v>
      </c>
      <c r="J456" s="40"/>
      <c r="K456" s="47">
        <f>-IF(F456="I",SUMIF('BG 2020'!B:B,Clasificaciones!C456,'BG 2020'!D:D),0)</f>
        <v>0</v>
      </c>
      <c r="L456" s="40"/>
      <c r="M456" s="68">
        <f>-IF(F456="I",SUMIF('BG 2020'!B:B,Clasificaciones!C456,'BG 2020'!E:E),0)</f>
        <v>0</v>
      </c>
    </row>
    <row r="457" spans="1:13" s="166" customFormat="1" ht="12" customHeight="1">
      <c r="A457" s="163" t="s">
        <v>8</v>
      </c>
      <c r="B457" s="163"/>
      <c r="C457" s="164">
        <v>2130301</v>
      </c>
      <c r="D457" s="164" t="s">
        <v>856</v>
      </c>
      <c r="E457" s="165" t="s">
        <v>6</v>
      </c>
      <c r="F457" s="165" t="s">
        <v>343</v>
      </c>
      <c r="G457" s="47">
        <f>-IF(F457="I",IFERROR(VLOOKUP(C457,'BG 2021'!A:C,3,FALSE),0),0)</f>
        <v>0</v>
      </c>
      <c r="H457" s="163"/>
      <c r="I457" s="68">
        <f>-IF(F457="I",IFERROR(VLOOKUP(C457,'BG 2021'!A:D,4,FALSE),0),0)</f>
        <v>0</v>
      </c>
      <c r="J457" s="40"/>
      <c r="K457" s="47">
        <f>-IF(F457="I",SUMIF('BG 2020'!B:B,Clasificaciones!C457,'BG 2020'!D:D),0)</f>
        <v>0</v>
      </c>
      <c r="L457" s="40"/>
      <c r="M457" s="68">
        <f>-IF(F457="I",SUMIF('BG 2020'!B:B,Clasificaciones!C457,'BG 2020'!E:E),0)</f>
        <v>0</v>
      </c>
    </row>
    <row r="458" spans="1:13" s="173" customFormat="1" ht="12" customHeight="1">
      <c r="A458" s="168" t="s">
        <v>8</v>
      </c>
      <c r="B458" s="168" t="s">
        <v>636</v>
      </c>
      <c r="C458" s="169">
        <v>213030101</v>
      </c>
      <c r="D458" s="169" t="s">
        <v>857</v>
      </c>
      <c r="E458" s="170" t="s">
        <v>6</v>
      </c>
      <c r="F458" s="170" t="s">
        <v>344</v>
      </c>
      <c r="G458" s="157">
        <f>-IF(F458="I",IFERROR(VLOOKUP(C458,'BG 2021'!A:C,3,FALSE),0),0)</f>
        <v>-648860354</v>
      </c>
      <c r="H458" s="168" t="s">
        <v>636</v>
      </c>
      <c r="I458" s="172">
        <f>-IF(F458="I",IFERROR(VLOOKUP(C458,'BG 2021'!A:D,4,FALSE),0),0)</f>
        <v>-94209.76999999999</v>
      </c>
      <c r="J458" s="171"/>
      <c r="K458" s="157">
        <f>-IF(F458="I",SUMIF('BG 2020'!B:B,Clasificaciones!C458,'BG 2020'!D:D),0)</f>
        <v>-36332893</v>
      </c>
      <c r="L458" s="171"/>
      <c r="M458" s="172">
        <f>-IF(F458="I",SUMIF('BG 2020'!B:B,Clasificaciones!C458,'BG 2020'!E:E),0)</f>
        <v>-5234.0399999999991</v>
      </c>
    </row>
    <row r="459" spans="1:13" s="173" customFormat="1" ht="12" customHeight="1">
      <c r="A459" s="168" t="s">
        <v>8</v>
      </c>
      <c r="B459" s="168" t="s">
        <v>636</v>
      </c>
      <c r="C459" s="169">
        <v>213030102</v>
      </c>
      <c r="D459" s="169" t="s">
        <v>1140</v>
      </c>
      <c r="E459" s="170" t="s">
        <v>229</v>
      </c>
      <c r="F459" s="170" t="s">
        <v>344</v>
      </c>
      <c r="G459" s="157">
        <f>-IF(F459="I",IFERROR(VLOOKUP(C459,'BG 2021'!A:C,3,FALSE),0),0)</f>
        <v>-313652678</v>
      </c>
      <c r="H459" s="168" t="s">
        <v>636</v>
      </c>
      <c r="I459" s="172">
        <f>-IF(F459="I",IFERROR(VLOOKUP(C459,'BG 2021'!A:D,4,FALSE),0),0)</f>
        <v>-45540.07</v>
      </c>
      <c r="J459" s="171"/>
      <c r="K459" s="157">
        <f>-IF(F459="I",SUMIF('BG 2020'!B:B,Clasificaciones!C459,'BG 2020'!D:D),0)</f>
        <v>0</v>
      </c>
      <c r="L459" s="171"/>
      <c r="M459" s="172">
        <f>-IF(F459="I",SUMIF('BG 2020'!B:B,Clasificaciones!C459,'BG 2020'!E:E),0)</f>
        <v>0</v>
      </c>
    </row>
    <row r="460" spans="1:13" s="173" customFormat="1" ht="12" customHeight="1">
      <c r="A460" s="168" t="s">
        <v>8</v>
      </c>
      <c r="B460" s="168" t="s">
        <v>636</v>
      </c>
      <c r="C460" s="169">
        <v>213030103</v>
      </c>
      <c r="D460" s="169" t="s">
        <v>1321</v>
      </c>
      <c r="E460" s="170" t="s">
        <v>6</v>
      </c>
      <c r="F460" s="170" t="s">
        <v>344</v>
      </c>
      <c r="G460" s="157">
        <f>-IF(F460="I",IFERROR(VLOOKUP(C460,'BG 2021'!A:C,3,FALSE),0),0)</f>
        <v>-222412925</v>
      </c>
      <c r="H460" s="168" t="s">
        <v>636</v>
      </c>
      <c r="I460" s="172">
        <f>-IF(F460="I",IFERROR(VLOOKUP(C460,'BG 2021'!A:D,4,FALSE),0),0)</f>
        <v>-32292.730000000007</v>
      </c>
      <c r="J460" s="171"/>
      <c r="K460" s="157">
        <f>-IF(F460="I",SUMIF('BG 2020'!B:B,Clasificaciones!C460,'BG 2020'!D:D),0)</f>
        <v>0</v>
      </c>
      <c r="L460" s="171"/>
      <c r="M460" s="172">
        <f>-IF(F460="I",SUMIF('BG 2020'!B:B,Clasificaciones!C460,'BG 2020'!E:E),0)</f>
        <v>0</v>
      </c>
    </row>
    <row r="461" spans="1:13" s="166" customFormat="1" ht="12" customHeight="1">
      <c r="A461" s="163" t="s">
        <v>8</v>
      </c>
      <c r="B461" s="163"/>
      <c r="C461" s="164">
        <v>2130302</v>
      </c>
      <c r="D461" s="164" t="s">
        <v>1141</v>
      </c>
      <c r="E461" s="165" t="s">
        <v>6</v>
      </c>
      <c r="F461" s="165" t="s">
        <v>343</v>
      </c>
      <c r="G461" s="47">
        <f>-IF(F461="I",IFERROR(VLOOKUP(C461,'BG 2021'!A:C,3,FALSE),0),0)</f>
        <v>0</v>
      </c>
      <c r="H461" s="163"/>
      <c r="I461" s="68">
        <f>-IF(F461="I",IFERROR(VLOOKUP(C461,'BG 2021'!A:D,4,FALSE),0),0)</f>
        <v>0</v>
      </c>
      <c r="J461" s="40"/>
      <c r="K461" s="47">
        <f>-IF(F461="I",SUMIF('BG 2020'!B:B,Clasificaciones!C461,'BG 2020'!D:D),0)</f>
        <v>0</v>
      </c>
      <c r="L461" s="40"/>
      <c r="M461" s="68">
        <f>-IF(F461="I",SUMIF('BG 2020'!B:B,Clasificaciones!C461,'BG 2020'!E:E),0)</f>
        <v>0</v>
      </c>
    </row>
    <row r="462" spans="1:13" s="173" customFormat="1" ht="12" customHeight="1">
      <c r="A462" s="168" t="s">
        <v>8</v>
      </c>
      <c r="B462" s="168" t="s">
        <v>636</v>
      </c>
      <c r="C462" s="169">
        <v>213030201</v>
      </c>
      <c r="D462" s="169" t="s">
        <v>1142</v>
      </c>
      <c r="E462" s="170" t="s">
        <v>6</v>
      </c>
      <c r="F462" s="170" t="s">
        <v>344</v>
      </c>
      <c r="G462" s="157">
        <f>-IF(F462="I",IFERROR(VLOOKUP(C462,'BG 2021'!A:C,3,FALSE),0),0)</f>
        <v>526765661</v>
      </c>
      <c r="H462" s="168" t="s">
        <v>636</v>
      </c>
      <c r="I462" s="172">
        <f>-IF(F462="I",IFERROR(VLOOKUP(C462,'BG 2021'!A:D,4,FALSE),0),0)</f>
        <v>76482.509999999995</v>
      </c>
      <c r="J462" s="171"/>
      <c r="K462" s="157">
        <f>-IF(F462="I",SUMIF('BG 2020'!B:B,Clasificaciones!C462,'BG 2020'!D:D),0)</f>
        <v>0</v>
      </c>
      <c r="L462" s="171"/>
      <c r="M462" s="172">
        <f>-IF(F462="I",SUMIF('BG 2020'!B:B,Clasificaciones!C462,'BG 2020'!E:E),0)</f>
        <v>0</v>
      </c>
    </row>
    <row r="463" spans="1:13" s="173" customFormat="1" ht="12" customHeight="1">
      <c r="A463" s="168" t="s">
        <v>8</v>
      </c>
      <c r="B463" s="168" t="s">
        <v>636</v>
      </c>
      <c r="C463" s="169">
        <v>213030202</v>
      </c>
      <c r="D463" s="169" t="s">
        <v>1143</v>
      </c>
      <c r="E463" s="170" t="s">
        <v>229</v>
      </c>
      <c r="F463" s="170" t="s">
        <v>344</v>
      </c>
      <c r="G463" s="157">
        <f>-IF(F463="I",IFERROR(VLOOKUP(C463,'BG 2021'!A:C,3,FALSE),0),0)</f>
        <v>253980245</v>
      </c>
      <c r="H463" s="168" t="s">
        <v>636</v>
      </c>
      <c r="I463" s="172">
        <f>-IF(F463="I",IFERROR(VLOOKUP(C463,'BG 2021'!A:D,4,FALSE),0),0)</f>
        <v>36876.07</v>
      </c>
      <c r="J463" s="171"/>
      <c r="K463" s="157">
        <f>-IF(F463="I",SUMIF('BG 2020'!B:B,Clasificaciones!C463,'BG 2020'!D:D),0)</f>
        <v>0</v>
      </c>
      <c r="L463" s="171"/>
      <c r="M463" s="172">
        <f>-IF(F463="I",SUMIF('BG 2020'!B:B,Clasificaciones!C463,'BG 2020'!E:E),0)</f>
        <v>0</v>
      </c>
    </row>
    <row r="464" spans="1:13" s="166" customFormat="1" ht="12" customHeight="1">
      <c r="A464" s="163" t="s">
        <v>8</v>
      </c>
      <c r="B464" s="163" t="s">
        <v>636</v>
      </c>
      <c r="C464" s="164">
        <v>213030203</v>
      </c>
      <c r="D464" s="164" t="s">
        <v>1323</v>
      </c>
      <c r="E464" s="165" t="s">
        <v>6</v>
      </c>
      <c r="F464" s="165" t="s">
        <v>344</v>
      </c>
      <c r="G464" s="47">
        <f>-IF(F464="I",IFERROR(VLOOKUP(C464,'BG 2021'!A:C,3,FALSE),0),0)</f>
        <v>132229054</v>
      </c>
      <c r="H464" s="163" t="s">
        <v>636</v>
      </c>
      <c r="I464" s="68">
        <f>-IF(F464="I",IFERROR(VLOOKUP(C464,'BG 2021'!A:D,4,FALSE),0),0)</f>
        <v>19198.690000000002</v>
      </c>
      <c r="J464" s="40"/>
      <c r="K464" s="47">
        <f>-IF(F464="I",SUMIF('BG 2020'!B:B,Clasificaciones!C464,'BG 2020'!D:D),0)</f>
        <v>0</v>
      </c>
      <c r="L464" s="40"/>
      <c r="M464" s="68">
        <f>-IF(F464="I",SUMIF('BG 2020'!B:B,Clasificaciones!C464,'BG 2020'!E:E),0)</f>
        <v>0</v>
      </c>
    </row>
    <row r="465" spans="1:13" s="166" customFormat="1" ht="12" customHeight="1">
      <c r="A465" s="163" t="s">
        <v>8</v>
      </c>
      <c r="B465" s="163"/>
      <c r="C465" s="164">
        <v>2130303</v>
      </c>
      <c r="D465" s="164" t="s">
        <v>858</v>
      </c>
      <c r="E465" s="165" t="s">
        <v>6</v>
      </c>
      <c r="F465" s="165" t="s">
        <v>343</v>
      </c>
      <c r="G465" s="47">
        <f>-IF(F465="I",IFERROR(VLOOKUP(C465,'BG 2021'!A:C,3,FALSE),0),0)</f>
        <v>0</v>
      </c>
      <c r="H465" s="163"/>
      <c r="I465" s="68">
        <f>-IF(F465="I",IFERROR(VLOOKUP(C465,'BG 2021'!A:D,4,FALSE),0),0)</f>
        <v>0</v>
      </c>
      <c r="J465" s="40"/>
      <c r="K465" s="47">
        <f>-IF(F465="I",SUMIF('BG 2020'!B:B,Clasificaciones!C465,'BG 2020'!D:D),0)</f>
        <v>0</v>
      </c>
      <c r="L465" s="40"/>
      <c r="M465" s="68">
        <f>-IF(F465="I",SUMIF('BG 2020'!B:B,Clasificaciones!C465,'BG 2020'!E:E),0)</f>
        <v>0</v>
      </c>
    </row>
    <row r="466" spans="1:13" s="173" customFormat="1" ht="12" customHeight="1">
      <c r="A466" s="168" t="s">
        <v>8</v>
      </c>
      <c r="B466" s="168" t="s">
        <v>636</v>
      </c>
      <c r="C466" s="169">
        <v>213030301</v>
      </c>
      <c r="D466" s="169" t="s">
        <v>859</v>
      </c>
      <c r="E466" s="170" t="s">
        <v>6</v>
      </c>
      <c r="F466" s="170" t="s">
        <v>344</v>
      </c>
      <c r="G466" s="157">
        <f>-IF(F466="I",IFERROR(VLOOKUP(C466,'BG 2021'!A:C,3,FALSE),0),0)</f>
        <v>-41634795848</v>
      </c>
      <c r="H466" s="168" t="s">
        <v>636</v>
      </c>
      <c r="I466" s="172">
        <f>-IF(F466="I",IFERROR(VLOOKUP(C466,'BG 2021'!A:D,4,FALSE),0),0)</f>
        <v>-6045067.200000003</v>
      </c>
      <c r="J466" s="171"/>
      <c r="K466" s="157">
        <f>-IF(F466="I",SUMIF('BG 2020'!B:B,Clasificaciones!C466,'BG 2020'!D:D),0)</f>
        <v>-15184256164</v>
      </c>
      <c r="L466" s="171"/>
      <c r="M466" s="172">
        <f>-IF(F466="I",SUMIF('BG 2020'!B:B,Clasificaciones!C466,'BG 2020'!E:E),0)</f>
        <v>-2187413.0999999996</v>
      </c>
    </row>
    <row r="467" spans="1:13" s="173" customFormat="1" ht="12" customHeight="1">
      <c r="A467" s="168" t="s">
        <v>8</v>
      </c>
      <c r="B467" s="168" t="s">
        <v>636</v>
      </c>
      <c r="C467" s="169">
        <v>213030302</v>
      </c>
      <c r="D467" s="169" t="s">
        <v>1640</v>
      </c>
      <c r="E467" s="170" t="s">
        <v>229</v>
      </c>
      <c r="F467" s="170" t="s">
        <v>344</v>
      </c>
      <c r="G467" s="157">
        <f>-IF(F467="I",IFERROR(VLOOKUP(C467,'BG 2021'!A:C,3,FALSE),0),0)</f>
        <v>-22910175411</v>
      </c>
      <c r="H467" s="168" t="s">
        <v>636</v>
      </c>
      <c r="I467" s="172">
        <f>-IF(F467="I",IFERROR(VLOOKUP(C467,'BG 2021'!A:D,4,FALSE),0),0)</f>
        <v>-3326389.5534999985</v>
      </c>
      <c r="J467" s="171"/>
      <c r="K467" s="157">
        <f>-IF(F467="I",SUMIF('BG 2020'!B:B,Clasificaciones!C467,'BG 2020'!D:D),0)</f>
        <v>-5275654000</v>
      </c>
      <c r="L467" s="171"/>
      <c r="M467" s="172">
        <f>-IF(F467="I",SUMIF('BG 2020'!B:B,Clasificaciones!C467,'BG 2020'!E:E),0)</f>
        <v>-760000</v>
      </c>
    </row>
    <row r="468" spans="1:13" s="173" customFormat="1" ht="12" customHeight="1">
      <c r="A468" s="168" t="s">
        <v>8</v>
      </c>
      <c r="B468" s="168" t="s">
        <v>636</v>
      </c>
      <c r="C468" s="169">
        <v>213030303</v>
      </c>
      <c r="D468" s="169" t="s">
        <v>1324</v>
      </c>
      <c r="E468" s="170" t="s">
        <v>6</v>
      </c>
      <c r="F468" s="170" t="s">
        <v>344</v>
      </c>
      <c r="G468" s="157">
        <f>-IF(F468="I",IFERROR(VLOOKUP(C468,'BG 2021'!A:C,3,FALSE),0),0)</f>
        <v>-3287513797</v>
      </c>
      <c r="H468" s="168" t="s">
        <v>636</v>
      </c>
      <c r="I468" s="172">
        <f>-IF(F468="I",IFERROR(VLOOKUP(C468,'BG 2021'!A:D,4,FALSE),0),0)</f>
        <v>-477322.91000000009</v>
      </c>
      <c r="J468" s="171"/>
      <c r="K468" s="157">
        <f>-IF(F468="I",SUMIF('BG 2020'!B:B,Clasificaciones!C468,'BG 2020'!D:D),0)</f>
        <v>0</v>
      </c>
      <c r="L468" s="171"/>
      <c r="M468" s="172">
        <f>-IF(F468="I",SUMIF('BG 2020'!B:B,Clasificaciones!C468,'BG 2020'!E:E),0)</f>
        <v>0</v>
      </c>
    </row>
    <row r="469" spans="1:13" s="166" customFormat="1" ht="12" customHeight="1">
      <c r="A469" s="163" t="s">
        <v>8</v>
      </c>
      <c r="B469" s="163"/>
      <c r="C469" s="164">
        <v>2130340</v>
      </c>
      <c r="D469" s="164" t="s">
        <v>1144</v>
      </c>
      <c r="E469" s="165" t="s">
        <v>6</v>
      </c>
      <c r="F469" s="165" t="s">
        <v>343</v>
      </c>
      <c r="G469" s="47">
        <f>-IF(F469="I",IFERROR(VLOOKUP(C469,'BG 2021'!A:C,3,FALSE),0),0)</f>
        <v>0</v>
      </c>
      <c r="H469" s="163"/>
      <c r="I469" s="68">
        <f>-IF(F469="I",IFERROR(VLOOKUP(C469,'BG 2021'!A:D,4,FALSE),0),0)</f>
        <v>0</v>
      </c>
      <c r="J469" s="40"/>
      <c r="K469" s="47">
        <f>-IF(F469="I",SUMIF('BG 2020'!B:B,Clasificaciones!C469,'BG 2020'!D:D),0)</f>
        <v>0</v>
      </c>
      <c r="L469" s="40"/>
      <c r="M469" s="68">
        <f>-IF(F469="I",SUMIF('BG 2020'!B:B,Clasificaciones!C469,'BG 2020'!E:E),0)</f>
        <v>0</v>
      </c>
    </row>
    <row r="470" spans="1:13" s="166" customFormat="1" ht="12" customHeight="1">
      <c r="A470" s="163" t="s">
        <v>8</v>
      </c>
      <c r="B470" s="163"/>
      <c r="C470" s="164">
        <v>213034001</v>
      </c>
      <c r="D470" s="164" t="s">
        <v>1138</v>
      </c>
      <c r="E470" s="165" t="s">
        <v>6</v>
      </c>
      <c r="F470" s="165" t="s">
        <v>343</v>
      </c>
      <c r="G470" s="47">
        <f>-IF(F470="I",IFERROR(VLOOKUP(C470,'BG 2021'!A:C,3,FALSE),0),0)</f>
        <v>0</v>
      </c>
      <c r="H470" s="163"/>
      <c r="I470" s="68">
        <f>-IF(F470="I",IFERROR(VLOOKUP(C470,'BG 2021'!A:D,4,FALSE),0),0)</f>
        <v>0</v>
      </c>
      <c r="J470" s="40"/>
      <c r="K470" s="47">
        <f>-IF(F470="I",SUMIF('BG 2020'!B:B,Clasificaciones!C470,'BG 2020'!D:D),0)</f>
        <v>0</v>
      </c>
      <c r="L470" s="40"/>
      <c r="M470" s="68">
        <f>-IF(F470="I",SUMIF('BG 2020'!B:B,Clasificaciones!C470,'BG 2020'!E:E),0)</f>
        <v>0</v>
      </c>
    </row>
    <row r="471" spans="1:13" s="166" customFormat="1" ht="12" customHeight="1">
      <c r="A471" s="163" t="s">
        <v>8</v>
      </c>
      <c r="B471" s="163"/>
      <c r="C471" s="164">
        <v>21303400101</v>
      </c>
      <c r="D471" s="164" t="s">
        <v>1138</v>
      </c>
      <c r="E471" s="165" t="s">
        <v>6</v>
      </c>
      <c r="F471" s="165" t="s">
        <v>344</v>
      </c>
      <c r="G471" s="47">
        <f>-IF(F471="I",IFERROR(VLOOKUP(C471,'BG 2021'!A:C,3,FALSE),0),0)</f>
        <v>0</v>
      </c>
      <c r="H471" s="163"/>
      <c r="I471" s="68">
        <f>-IF(F471="I",IFERROR(VLOOKUP(C471,'BG 2021'!A:D,4,FALSE),0),0)</f>
        <v>0</v>
      </c>
      <c r="J471" s="40"/>
      <c r="K471" s="47">
        <f>-IF(F471="I",SUMIF('BG 2020'!B:B,Clasificaciones!C471,'BG 2020'!D:D),0)</f>
        <v>0</v>
      </c>
      <c r="L471" s="40"/>
      <c r="M471" s="68">
        <f>-IF(F471="I",SUMIF('BG 2020'!B:B,Clasificaciones!C471,'BG 2020'!E:E),0)</f>
        <v>0</v>
      </c>
    </row>
    <row r="472" spans="1:13" s="166" customFormat="1" ht="12" customHeight="1">
      <c r="A472" s="163" t="s">
        <v>8</v>
      </c>
      <c r="B472" s="163"/>
      <c r="C472" s="164">
        <v>21303400102</v>
      </c>
      <c r="D472" s="164" t="s">
        <v>1138</v>
      </c>
      <c r="E472" s="165" t="s">
        <v>229</v>
      </c>
      <c r="F472" s="165" t="s">
        <v>344</v>
      </c>
      <c r="G472" s="47">
        <f>-IF(F472="I",IFERROR(VLOOKUP(C472,'BG 2021'!A:C,3,FALSE),0),0)</f>
        <v>0</v>
      </c>
      <c r="H472" s="163"/>
      <c r="I472" s="68">
        <f>-IF(F472="I",IFERROR(VLOOKUP(C472,'BG 2021'!A:D,4,FALSE),0),0)</f>
        <v>0</v>
      </c>
      <c r="J472" s="40"/>
      <c r="K472" s="47">
        <f>-IF(F472="I",SUMIF('BG 2020'!B:B,Clasificaciones!C472,'BG 2020'!D:D),0)</f>
        <v>0</v>
      </c>
      <c r="L472" s="40"/>
      <c r="M472" s="68">
        <f>-IF(F472="I",SUMIF('BG 2020'!B:B,Clasificaciones!C472,'BG 2020'!E:E),0)</f>
        <v>0</v>
      </c>
    </row>
    <row r="473" spans="1:13" s="166" customFormat="1" ht="12" customHeight="1">
      <c r="A473" s="163" t="s">
        <v>8</v>
      </c>
      <c r="B473" s="163"/>
      <c r="C473" s="164">
        <v>213034002</v>
      </c>
      <c r="D473" s="164" t="s">
        <v>1139</v>
      </c>
      <c r="E473" s="165" t="s">
        <v>6</v>
      </c>
      <c r="F473" s="165" t="s">
        <v>343</v>
      </c>
      <c r="G473" s="47">
        <f>-IF(F473="I",IFERROR(VLOOKUP(C473,'BG 2021'!A:C,3,FALSE),0),0)</f>
        <v>0</v>
      </c>
      <c r="H473" s="163"/>
      <c r="I473" s="68">
        <f>-IF(F473="I",IFERROR(VLOOKUP(C473,'BG 2021'!A:D,4,FALSE),0),0)</f>
        <v>0</v>
      </c>
      <c r="J473" s="40"/>
      <c r="K473" s="47">
        <f>-IF(F473="I",SUMIF('BG 2020'!B:B,Clasificaciones!C473,'BG 2020'!D:D),0)</f>
        <v>0</v>
      </c>
      <c r="L473" s="40"/>
      <c r="M473" s="68">
        <f>-IF(F473="I",SUMIF('BG 2020'!B:B,Clasificaciones!C473,'BG 2020'!E:E),0)</f>
        <v>0</v>
      </c>
    </row>
    <row r="474" spans="1:13" s="166" customFormat="1" ht="12" customHeight="1">
      <c r="A474" s="163" t="s">
        <v>8</v>
      </c>
      <c r="B474" s="163"/>
      <c r="C474" s="164">
        <v>21303400201</v>
      </c>
      <c r="D474" s="164" t="s">
        <v>1139</v>
      </c>
      <c r="E474" s="165" t="s">
        <v>6</v>
      </c>
      <c r="F474" s="165" t="s">
        <v>344</v>
      </c>
      <c r="G474" s="47">
        <f>-IF(F474="I",IFERROR(VLOOKUP(C474,'BG 2021'!A:C,3,FALSE),0),0)</f>
        <v>0</v>
      </c>
      <c r="H474" s="163"/>
      <c r="I474" s="68">
        <f>-IF(F474="I",IFERROR(VLOOKUP(C474,'BG 2021'!A:D,4,FALSE),0),0)</f>
        <v>0</v>
      </c>
      <c r="J474" s="40"/>
      <c r="K474" s="47">
        <f>-IF(F474="I",SUMIF('BG 2020'!B:B,Clasificaciones!C474,'BG 2020'!D:D),0)</f>
        <v>0</v>
      </c>
      <c r="L474" s="40"/>
      <c r="M474" s="68">
        <f>-IF(F474="I",SUMIF('BG 2020'!B:B,Clasificaciones!C474,'BG 2020'!E:E),0)</f>
        <v>0</v>
      </c>
    </row>
    <row r="475" spans="1:13" s="166" customFormat="1" ht="12" customHeight="1">
      <c r="A475" s="163" t="s">
        <v>8</v>
      </c>
      <c r="B475" s="163"/>
      <c r="C475" s="164">
        <v>21303400202</v>
      </c>
      <c r="D475" s="164" t="s">
        <v>1139</v>
      </c>
      <c r="E475" s="165" t="s">
        <v>229</v>
      </c>
      <c r="F475" s="165" t="s">
        <v>344</v>
      </c>
      <c r="G475" s="47">
        <f>-IF(F475="I",IFERROR(VLOOKUP(C475,'BG 2021'!A:C,3,FALSE),0),0)</f>
        <v>0</v>
      </c>
      <c r="H475" s="163"/>
      <c r="I475" s="68">
        <f>-IF(F475="I",IFERROR(VLOOKUP(C475,'BG 2021'!A:D,4,FALSE),0),0)</f>
        <v>0</v>
      </c>
      <c r="J475" s="40"/>
      <c r="K475" s="47">
        <f>-IF(F475="I",SUMIF('BG 2020'!B:B,Clasificaciones!C475,'BG 2020'!D:D),0)</f>
        <v>0</v>
      </c>
      <c r="L475" s="40"/>
      <c r="M475" s="68">
        <f>-IF(F475="I",SUMIF('BG 2020'!B:B,Clasificaciones!C475,'BG 2020'!E:E),0)</f>
        <v>0</v>
      </c>
    </row>
    <row r="476" spans="1:13" s="166" customFormat="1" ht="12" customHeight="1">
      <c r="A476" s="163" t="s">
        <v>8</v>
      </c>
      <c r="B476" s="163"/>
      <c r="C476" s="164">
        <v>214</v>
      </c>
      <c r="D476" s="164" t="s">
        <v>10</v>
      </c>
      <c r="E476" s="165" t="s">
        <v>6</v>
      </c>
      <c r="F476" s="165" t="s">
        <v>343</v>
      </c>
      <c r="G476" s="47">
        <f>-IF(F476="I",IFERROR(VLOOKUP(C476,'BG 2021'!A:C,3,FALSE),0),0)</f>
        <v>0</v>
      </c>
      <c r="H476" s="163"/>
      <c r="I476" s="68">
        <f>-IF(F476="I",IFERROR(VLOOKUP(C476,'BG 2021'!A:D,4,FALSE),0),0)</f>
        <v>0</v>
      </c>
      <c r="J476" s="40"/>
      <c r="K476" s="47">
        <f>-IF(F476="I",SUMIF('BG 2020'!B:B,Clasificaciones!C476,'BG 2020'!D:D),0)</f>
        <v>0</v>
      </c>
      <c r="L476" s="40"/>
      <c r="M476" s="68">
        <f>-IF(F476="I",SUMIF('BG 2020'!B:B,Clasificaciones!C476,'BG 2020'!E:E),0)</f>
        <v>0</v>
      </c>
    </row>
    <row r="477" spans="1:13" s="166" customFormat="1" ht="12" customHeight="1">
      <c r="A477" s="163" t="s">
        <v>8</v>
      </c>
      <c r="B477" s="163"/>
      <c r="C477" s="164">
        <v>21401</v>
      </c>
      <c r="D477" s="164" t="s">
        <v>861</v>
      </c>
      <c r="E477" s="165" t="s">
        <v>6</v>
      </c>
      <c r="F477" s="165" t="s">
        <v>343</v>
      </c>
      <c r="G477" s="47">
        <f>-IF(F477="I",IFERROR(VLOOKUP(C477,'BG 2021'!A:C,3,FALSE),0),0)</f>
        <v>0</v>
      </c>
      <c r="H477" s="163"/>
      <c r="I477" s="68">
        <f>-IF(F477="I",IFERROR(VLOOKUP(C477,'BG 2021'!A:D,4,FALSE),0),0)</f>
        <v>0</v>
      </c>
      <c r="J477" s="40"/>
      <c r="K477" s="47">
        <f>-IF(F477="I",SUMIF('BG 2020'!B:B,Clasificaciones!C477,'BG 2020'!D:D),0)</f>
        <v>0</v>
      </c>
      <c r="L477" s="40"/>
      <c r="M477" s="68">
        <f>-IF(F477="I",SUMIF('BG 2020'!B:B,Clasificaciones!C477,'BG 2020'!E:E),0)</f>
        <v>0</v>
      </c>
    </row>
    <row r="478" spans="1:13" s="166" customFormat="1" ht="12" customHeight="1">
      <c r="A478" s="163" t="s">
        <v>8</v>
      </c>
      <c r="B478" s="163" t="s">
        <v>727</v>
      </c>
      <c r="C478" s="164">
        <v>2140101</v>
      </c>
      <c r="D478" s="164" t="s">
        <v>1145</v>
      </c>
      <c r="E478" s="165" t="s">
        <v>6</v>
      </c>
      <c r="F478" s="165" t="s">
        <v>344</v>
      </c>
      <c r="G478" s="47">
        <f>-IF(F478="I",IFERROR(VLOOKUP(C478,'BG 2021'!A:C,3,FALSE),0),0)</f>
        <v>0</v>
      </c>
      <c r="H478" s="163" t="s">
        <v>727</v>
      </c>
      <c r="I478" s="68">
        <f>-IF(F478="I",IFERROR(VLOOKUP(C478,'BG 2021'!A:D,4,FALSE),0),0)</f>
        <v>0</v>
      </c>
      <c r="J478" s="40"/>
      <c r="K478" s="47">
        <f>-IF(F478="I",SUMIF('BG 2020'!B:B,Clasificaciones!C478,'BG 2020'!D:D),0)</f>
        <v>0</v>
      </c>
      <c r="L478" s="40"/>
      <c r="M478" s="68">
        <f>-IF(F478="I",SUMIF('BG 2020'!B:B,Clasificaciones!C478,'BG 2020'!E:E),0)</f>
        <v>0</v>
      </c>
    </row>
    <row r="479" spans="1:13" s="166" customFormat="1" ht="12" customHeight="1">
      <c r="A479" s="163" t="s">
        <v>8</v>
      </c>
      <c r="B479" s="163"/>
      <c r="C479" s="164">
        <v>2140102</v>
      </c>
      <c r="D479" s="164" t="s">
        <v>1146</v>
      </c>
      <c r="E479" s="165" t="s">
        <v>6</v>
      </c>
      <c r="F479" s="165" t="s">
        <v>344</v>
      </c>
      <c r="G479" s="47">
        <f>-IF(F479="I",IFERROR(VLOOKUP(C479,'BG 2021'!A:C,3,FALSE),0),0)</f>
        <v>0</v>
      </c>
      <c r="H479" s="163"/>
      <c r="I479" s="68">
        <f>-IF(F479="I",IFERROR(VLOOKUP(C479,'BG 2021'!A:D,4,FALSE),0),0)</f>
        <v>0</v>
      </c>
      <c r="J479" s="40"/>
      <c r="K479" s="47">
        <f>-IF(F479="I",SUMIF('BG 2020'!B:B,Clasificaciones!C479,'BG 2020'!D:D),0)</f>
        <v>0</v>
      </c>
      <c r="L479" s="40"/>
      <c r="M479" s="68">
        <f>-IF(F479="I",SUMIF('BG 2020'!B:B,Clasificaciones!C479,'BG 2020'!E:E),0)</f>
        <v>0</v>
      </c>
    </row>
    <row r="480" spans="1:13" s="166" customFormat="1" ht="12" customHeight="1">
      <c r="A480" s="163" t="s">
        <v>8</v>
      </c>
      <c r="B480" s="163" t="s">
        <v>176</v>
      </c>
      <c r="C480" s="164">
        <v>2140103</v>
      </c>
      <c r="D480" s="164" t="s">
        <v>928</v>
      </c>
      <c r="E480" s="165" t="s">
        <v>6</v>
      </c>
      <c r="F480" s="165" t="s">
        <v>344</v>
      </c>
      <c r="G480" s="47">
        <f>-IF(F480="I",IFERROR(VLOOKUP(C480,'BG 2021'!A:C,3,FALSE),0),0)</f>
        <v>0</v>
      </c>
      <c r="H480" s="163" t="s">
        <v>176</v>
      </c>
      <c r="I480" s="68">
        <f>-IF(F480="I",IFERROR(VLOOKUP(C480,'BG 2021'!A:D,4,FALSE),0),0)</f>
        <v>0</v>
      </c>
      <c r="J480" s="40"/>
      <c r="K480" s="47">
        <f>-IF(F480="I",SUMIF('BG 2020'!B:B,Clasificaciones!C480,'BG 2020'!D:D),0)</f>
        <v>0</v>
      </c>
      <c r="L480" s="40"/>
      <c r="M480" s="68">
        <f>-IF(F480="I",SUMIF('BG 2020'!B:B,Clasificaciones!C480,'BG 2020'!E:E),0)</f>
        <v>0</v>
      </c>
    </row>
    <row r="481" spans="1:13" s="166" customFormat="1" ht="12" customHeight="1">
      <c r="A481" s="163" t="s">
        <v>8</v>
      </c>
      <c r="B481" s="163" t="s">
        <v>727</v>
      </c>
      <c r="C481" s="164">
        <v>2140104</v>
      </c>
      <c r="D481" s="164" t="s">
        <v>627</v>
      </c>
      <c r="E481" s="165" t="s">
        <v>6</v>
      </c>
      <c r="F481" s="165" t="s">
        <v>344</v>
      </c>
      <c r="G481" s="47">
        <f>-IF(F481="I",IFERROR(VLOOKUP(C481,'BG 2021'!A:C,3,FALSE),0),0)</f>
        <v>-526231282</v>
      </c>
      <c r="H481" s="163" t="s">
        <v>727</v>
      </c>
      <c r="I481" s="68">
        <f>-IF(F481="I",IFERROR(VLOOKUP(C481,'BG 2021'!A:D,4,FALSE),0),0)</f>
        <v>-76404.930000000008</v>
      </c>
      <c r="J481" s="40"/>
      <c r="K481" s="47">
        <f>-IF(F481="I",SUMIF('BG 2020'!B:B,Clasificaciones!C481,'BG 2020'!D:D),0)</f>
        <v>-285000000</v>
      </c>
      <c r="L481" s="40"/>
      <c r="M481" s="68">
        <f>-IF(F481="I",SUMIF('BG 2020'!B:B,Clasificaciones!C481,'BG 2020'!E:E),0)</f>
        <v>-41056.519999999997</v>
      </c>
    </row>
    <row r="482" spans="1:13" s="166" customFormat="1" ht="12" customHeight="1">
      <c r="A482" s="163" t="s">
        <v>8</v>
      </c>
      <c r="B482" s="163" t="s">
        <v>727</v>
      </c>
      <c r="C482" s="164">
        <v>2140105</v>
      </c>
      <c r="D482" s="164" t="s">
        <v>862</v>
      </c>
      <c r="E482" s="165" t="s">
        <v>6</v>
      </c>
      <c r="F482" s="165" t="s">
        <v>344</v>
      </c>
      <c r="G482" s="47">
        <f>-IF(F482="I",IFERROR(VLOOKUP(C482,'BG 2021'!A:C,3,FALSE),0),0)</f>
        <v>0</v>
      </c>
      <c r="H482" s="163" t="s">
        <v>727</v>
      </c>
      <c r="I482" s="68">
        <f>-IF(F482="I",IFERROR(VLOOKUP(C482,'BG 2021'!A:D,4,FALSE),0),0)</f>
        <v>0</v>
      </c>
      <c r="J482" s="40"/>
      <c r="K482" s="47">
        <f>-IF(F482="I",SUMIF('BG 2020'!B:B,Clasificaciones!C482,'BG 2020'!D:D),0)</f>
        <v>0</v>
      </c>
      <c r="L482" s="40"/>
      <c r="M482" s="68">
        <f>-IF(F482="I",SUMIF('BG 2020'!B:B,Clasificaciones!C482,'BG 2020'!E:E),0)</f>
        <v>0</v>
      </c>
    </row>
    <row r="483" spans="1:13" s="166" customFormat="1" ht="12" customHeight="1">
      <c r="A483" s="163" t="s">
        <v>8</v>
      </c>
      <c r="B483" s="163"/>
      <c r="C483" s="164">
        <v>2140106</v>
      </c>
      <c r="D483" s="164" t="s">
        <v>1147</v>
      </c>
      <c r="E483" s="165" t="s">
        <v>6</v>
      </c>
      <c r="F483" s="165" t="s">
        <v>344</v>
      </c>
      <c r="G483" s="47">
        <f>-IF(F483="I",IFERROR(VLOOKUP(C483,'BG 2021'!A:C,3,FALSE),0),0)</f>
        <v>0</v>
      </c>
      <c r="H483" s="163"/>
      <c r="I483" s="68">
        <f>-IF(F483="I",IFERROR(VLOOKUP(C483,'BG 2021'!A:D,4,FALSE),0),0)</f>
        <v>0</v>
      </c>
      <c r="J483" s="40"/>
      <c r="K483" s="47">
        <f>-IF(F483="I",SUMIF('BG 2020'!B:B,Clasificaciones!C483,'BG 2020'!D:D),0)</f>
        <v>0</v>
      </c>
      <c r="L483" s="40"/>
      <c r="M483" s="68">
        <f>-IF(F483="I",SUMIF('BG 2020'!B:B,Clasificaciones!C483,'BG 2020'!E:E),0)</f>
        <v>0</v>
      </c>
    </row>
    <row r="484" spans="1:13" s="173" customFormat="1" ht="12" customHeight="1">
      <c r="A484" s="168" t="s">
        <v>8</v>
      </c>
      <c r="B484" s="168" t="s">
        <v>176</v>
      </c>
      <c r="C484" s="169">
        <v>2140107</v>
      </c>
      <c r="D484" s="169" t="s">
        <v>176</v>
      </c>
      <c r="E484" s="170" t="s">
        <v>6</v>
      </c>
      <c r="F484" s="170" t="s">
        <v>344</v>
      </c>
      <c r="G484" s="157">
        <f>-IF(F484="I",IFERROR(VLOOKUP(C484,'BG 2021'!A:C,3,FALSE),0),0)</f>
        <v>-63856962</v>
      </c>
      <c r="H484" s="168" t="s">
        <v>176</v>
      </c>
      <c r="I484" s="172">
        <f>-IF(F484="I",IFERROR(VLOOKUP(C484,'BG 2021'!A:D,4,FALSE),0),0)</f>
        <v>-9271.5599999999977</v>
      </c>
      <c r="J484" s="171"/>
      <c r="K484" s="157">
        <f>-IF(F484="I",SUMIF('BG 2020'!B:B,Clasificaciones!C484,'BG 2020'!D:D),0)</f>
        <v>-43933429</v>
      </c>
      <c r="L484" s="171"/>
      <c r="M484" s="172">
        <f>-IF(F484="I",SUMIF('BG 2020'!B:B,Clasificaciones!C484,'BG 2020'!E:E),0)</f>
        <v>-6328.9599999999991</v>
      </c>
    </row>
    <row r="485" spans="1:13" s="166" customFormat="1" ht="12" customHeight="1">
      <c r="A485" s="163" t="s">
        <v>8</v>
      </c>
      <c r="B485" s="163" t="s">
        <v>727</v>
      </c>
      <c r="C485" s="164">
        <v>2140108</v>
      </c>
      <c r="D485" s="164" t="s">
        <v>1417</v>
      </c>
      <c r="E485" s="165" t="s">
        <v>6</v>
      </c>
      <c r="F485" s="165" t="s">
        <v>344</v>
      </c>
      <c r="G485" s="47">
        <f>-IF(F485="I",IFERROR(VLOOKUP(C485,'BG 2021'!A:C,3,FALSE),0),0)</f>
        <v>-112790000</v>
      </c>
      <c r="H485" s="163" t="s">
        <v>727</v>
      </c>
      <c r="I485" s="68">
        <f>-IF(F485="I",IFERROR(VLOOKUP(C485,'BG 2021'!A:D,4,FALSE),0),0)</f>
        <v>-16376.28</v>
      </c>
      <c r="J485" s="40"/>
      <c r="K485" s="47">
        <f>-IF(F485="I",SUMIF('BG 2020'!B:B,Clasificaciones!C485,'BG 2020'!D:D),0)</f>
        <v>0</v>
      </c>
      <c r="L485" s="40"/>
      <c r="M485" s="68">
        <f>-IF(F485="I",SUMIF('BG 2020'!B:B,Clasificaciones!C485,'BG 2020'!E:E),0)</f>
        <v>0</v>
      </c>
    </row>
    <row r="486" spans="1:13" s="166" customFormat="1" ht="12" customHeight="1">
      <c r="A486" s="163" t="s">
        <v>8</v>
      </c>
      <c r="B486" s="163" t="s">
        <v>727</v>
      </c>
      <c r="C486" s="164">
        <v>2140109</v>
      </c>
      <c r="D486" s="164" t="s">
        <v>1148</v>
      </c>
      <c r="E486" s="165" t="s">
        <v>6</v>
      </c>
      <c r="F486" s="165" t="s">
        <v>344</v>
      </c>
      <c r="G486" s="47">
        <f>-IF(F486="I",IFERROR(VLOOKUP(C486,'BG 2021'!A:C,3,FALSE),0),0)</f>
        <v>0</v>
      </c>
      <c r="H486" s="163" t="s">
        <v>727</v>
      </c>
      <c r="I486" s="68">
        <f>-IF(F486="I",IFERROR(VLOOKUP(C486,'BG 2021'!A:D,4,FALSE),0),0)</f>
        <v>0</v>
      </c>
      <c r="J486" s="40"/>
      <c r="K486" s="47">
        <f>-IF(F486="I",SUMIF('BG 2020'!B:B,Clasificaciones!C486,'BG 2020'!D:D),0)</f>
        <v>-3569630</v>
      </c>
      <c r="L486" s="40"/>
      <c r="M486" s="68">
        <f>-IF(F486="I",SUMIF('BG 2020'!B:B,Clasificaciones!C486,'BG 2020'!E:E),0)</f>
        <v>-514.22999999999956</v>
      </c>
    </row>
    <row r="487" spans="1:13" s="166" customFormat="1" ht="12" customHeight="1">
      <c r="A487" s="163" t="s">
        <v>8</v>
      </c>
      <c r="B487" s="163"/>
      <c r="C487" s="164">
        <v>2140110</v>
      </c>
      <c r="D487" s="164" t="s">
        <v>1149</v>
      </c>
      <c r="E487" s="165" t="s">
        <v>6</v>
      </c>
      <c r="F487" s="165" t="s">
        <v>344</v>
      </c>
      <c r="G487" s="47">
        <f>-IF(F487="I",IFERROR(VLOOKUP(C487,'BG 2021'!A:C,3,FALSE),0),0)</f>
        <v>0</v>
      </c>
      <c r="H487" s="163"/>
      <c r="I487" s="68">
        <f>-IF(F487="I",IFERROR(VLOOKUP(C487,'BG 2021'!A:D,4,FALSE),0),0)</f>
        <v>0</v>
      </c>
      <c r="J487" s="40"/>
      <c r="K487" s="47">
        <f>-IF(F487="I",SUMIF('BG 2020'!B:B,Clasificaciones!C487,'BG 2020'!D:D),0)</f>
        <v>0</v>
      </c>
      <c r="L487" s="40"/>
      <c r="M487" s="68">
        <f>-IF(F487="I",SUMIF('BG 2020'!B:B,Clasificaciones!C487,'BG 2020'!E:E),0)</f>
        <v>0</v>
      </c>
    </row>
    <row r="488" spans="1:13" s="166" customFormat="1" ht="12" customHeight="1">
      <c r="A488" s="163" t="s">
        <v>8</v>
      </c>
      <c r="B488" s="163"/>
      <c r="C488" s="164">
        <v>21402</v>
      </c>
      <c r="D488" s="164" t="s">
        <v>863</v>
      </c>
      <c r="E488" s="165" t="s">
        <v>6</v>
      </c>
      <c r="F488" s="165" t="s">
        <v>343</v>
      </c>
      <c r="G488" s="47">
        <f>-IF(F488="I",IFERROR(VLOOKUP(C488,'BG 2021'!A:C,3,FALSE),0),0)</f>
        <v>0</v>
      </c>
      <c r="H488" s="163"/>
      <c r="I488" s="68">
        <f>-IF(F488="I",IFERROR(VLOOKUP(C488,'BG 2021'!A:D,4,FALSE),0),0)</f>
        <v>0</v>
      </c>
      <c r="J488" s="40"/>
      <c r="K488" s="47">
        <f>-IF(F488="I",SUMIF('BG 2020'!B:B,Clasificaciones!C488,'BG 2020'!D:D),0)</f>
        <v>0</v>
      </c>
      <c r="L488" s="40"/>
      <c r="M488" s="68">
        <f>-IF(F488="I",SUMIF('BG 2020'!B:B,Clasificaciones!C488,'BG 2020'!E:E),0)</f>
        <v>0</v>
      </c>
    </row>
    <row r="489" spans="1:13" s="173" customFormat="1" ht="12" customHeight="1">
      <c r="A489" s="168" t="s">
        <v>8</v>
      </c>
      <c r="B489" s="168" t="s">
        <v>86</v>
      </c>
      <c r="C489" s="169">
        <v>2140201</v>
      </c>
      <c r="D489" s="169" t="s">
        <v>86</v>
      </c>
      <c r="E489" s="170" t="s">
        <v>6</v>
      </c>
      <c r="F489" s="170" t="s">
        <v>344</v>
      </c>
      <c r="G489" s="157">
        <f>-IF(F489="I",IFERROR(VLOOKUP(C489,'BG 2021'!A:C,3,FALSE),0),0)</f>
        <v>-152286289</v>
      </c>
      <c r="H489" s="168" t="s">
        <v>86</v>
      </c>
      <c r="I489" s="172">
        <f>-IF(F489="I",IFERROR(VLOOKUP(C489,'BG 2021'!A:D,4,FALSE),0),0)</f>
        <v>-22110.849999999991</v>
      </c>
      <c r="J489" s="171"/>
      <c r="K489" s="157">
        <f>-IF(F489="I",SUMIF('BG 2020'!B:B,Clasificaciones!C489,'BG 2020'!D:D),0)</f>
        <v>-263473906</v>
      </c>
      <c r="L489" s="171"/>
      <c r="M489" s="172">
        <f>-IF(F489="I",SUMIF('BG 2020'!B:B,Clasificaciones!C489,'BG 2020'!E:E),0)</f>
        <v>-37955.520000000004</v>
      </c>
    </row>
    <row r="490" spans="1:13" s="166" customFormat="1" ht="12" customHeight="1">
      <c r="A490" s="163" t="s">
        <v>8</v>
      </c>
      <c r="B490" s="163"/>
      <c r="C490" s="164">
        <v>2140202</v>
      </c>
      <c r="D490" s="164" t="s">
        <v>864</v>
      </c>
      <c r="E490" s="165" t="s">
        <v>6</v>
      </c>
      <c r="F490" s="165" t="s">
        <v>343</v>
      </c>
      <c r="G490" s="47">
        <f>-IF(F490="I",IFERROR(VLOOKUP(C490,'BG 2021'!A:C,3,FALSE),0),0)</f>
        <v>0</v>
      </c>
      <c r="H490" s="163"/>
      <c r="I490" s="68">
        <f>-IF(F490="I",IFERROR(VLOOKUP(C490,'BG 2021'!A:D,4,FALSE),0),0)</f>
        <v>0</v>
      </c>
      <c r="J490" s="40"/>
      <c r="K490" s="47">
        <f>-IF(F490="I",SUMIF('BG 2020'!B:B,Clasificaciones!C490,'BG 2020'!D:D),0)</f>
        <v>0</v>
      </c>
      <c r="L490" s="40"/>
      <c r="M490" s="68">
        <f>-IF(F490="I",SUMIF('BG 2020'!B:B,Clasificaciones!C490,'BG 2020'!E:E),0)</f>
        <v>0</v>
      </c>
    </row>
    <row r="491" spans="1:13" s="166" customFormat="1" ht="12" customHeight="1">
      <c r="A491" s="163" t="s">
        <v>8</v>
      </c>
      <c r="B491" s="163"/>
      <c r="C491" s="164">
        <v>214020201</v>
      </c>
      <c r="D491" s="164" t="s">
        <v>1150</v>
      </c>
      <c r="E491" s="165" t="s">
        <v>6</v>
      </c>
      <c r="F491" s="165" t="s">
        <v>344</v>
      </c>
      <c r="G491" s="47">
        <f>-IF(F491="I",IFERROR(VLOOKUP(C491,'BG 2021'!A:C,3,FALSE),0),0)</f>
        <v>0</v>
      </c>
      <c r="H491" s="163"/>
      <c r="I491" s="68">
        <f>-IF(F491="I",IFERROR(VLOOKUP(C491,'BG 2021'!A:D,4,FALSE),0),0)</f>
        <v>0</v>
      </c>
      <c r="J491" s="40"/>
      <c r="K491" s="47">
        <f>-IF(F491="I",SUMIF('BG 2020'!B:B,Clasificaciones!C491,'BG 2020'!D:D),0)</f>
        <v>0</v>
      </c>
      <c r="L491" s="40"/>
      <c r="M491" s="68">
        <f>-IF(F491="I",SUMIF('BG 2020'!B:B,Clasificaciones!C491,'BG 2020'!E:E),0)</f>
        <v>0</v>
      </c>
    </row>
    <row r="492" spans="1:13" s="166" customFormat="1" ht="12" customHeight="1">
      <c r="A492" s="163" t="s">
        <v>8</v>
      </c>
      <c r="B492" s="163"/>
      <c r="C492" s="164">
        <v>214020202</v>
      </c>
      <c r="D492" s="164" t="s">
        <v>1151</v>
      </c>
      <c r="E492" s="165" t="s">
        <v>6</v>
      </c>
      <c r="F492" s="165" t="s">
        <v>344</v>
      </c>
      <c r="G492" s="47">
        <f>-IF(F492="I",IFERROR(VLOOKUP(C492,'BG 2021'!A:C,3,FALSE),0),0)</f>
        <v>0</v>
      </c>
      <c r="H492" s="163"/>
      <c r="I492" s="68">
        <f>-IF(F492="I",IFERROR(VLOOKUP(C492,'BG 2021'!A:D,4,FALSE),0),0)</f>
        <v>0</v>
      </c>
      <c r="J492" s="40"/>
      <c r="K492" s="47">
        <f>-IF(F492="I",SUMIF('BG 2020'!B:B,Clasificaciones!C492,'BG 2020'!D:D),0)</f>
        <v>0</v>
      </c>
      <c r="L492" s="40"/>
      <c r="M492" s="68">
        <f>-IF(F492="I",SUMIF('BG 2020'!B:B,Clasificaciones!C492,'BG 2020'!E:E),0)</f>
        <v>0</v>
      </c>
    </row>
    <row r="493" spans="1:13" s="173" customFormat="1" ht="12" customHeight="1">
      <c r="A493" s="168" t="s">
        <v>8</v>
      </c>
      <c r="B493" s="168" t="s">
        <v>87</v>
      </c>
      <c r="C493" s="169">
        <v>214020203</v>
      </c>
      <c r="D493" s="169" t="s">
        <v>865</v>
      </c>
      <c r="E493" s="170" t="s">
        <v>6</v>
      </c>
      <c r="F493" s="170" t="s">
        <v>344</v>
      </c>
      <c r="G493" s="157">
        <f>-IF(F493="I",IFERROR(VLOOKUP(C493,'BG 2021'!A:C,3,FALSE),0),0)</f>
        <v>-9036062</v>
      </c>
      <c r="H493" s="168" t="s">
        <v>87</v>
      </c>
      <c r="I493" s="172">
        <f>-IF(F493="I",IFERROR(VLOOKUP(C493,'BG 2021'!A:D,4,FALSE),0),0)</f>
        <v>-1311.9599999999991</v>
      </c>
      <c r="J493" s="171"/>
      <c r="K493" s="157">
        <f>-IF(F493="I",SUMIF('BG 2020'!B:B,Clasificaciones!C493,'BG 2020'!D:D),0)</f>
        <v>0</v>
      </c>
      <c r="L493" s="171"/>
      <c r="M493" s="172">
        <f>-IF(F493="I",SUMIF('BG 2020'!B:B,Clasificaciones!C493,'BG 2020'!E:E),0)</f>
        <v>0</v>
      </c>
    </row>
    <row r="494" spans="1:13" s="173" customFormat="1" ht="12" customHeight="1">
      <c r="A494" s="168" t="s">
        <v>8</v>
      </c>
      <c r="B494" s="168" t="s">
        <v>33</v>
      </c>
      <c r="C494" s="169">
        <v>2140203</v>
      </c>
      <c r="D494" s="169" t="s">
        <v>866</v>
      </c>
      <c r="E494" s="170" t="s">
        <v>6</v>
      </c>
      <c r="F494" s="170" t="s">
        <v>344</v>
      </c>
      <c r="G494" s="157">
        <f>-IF(F494="I",IFERROR(VLOOKUP(C494,'BG 2021'!A:C,3,FALSE),0),0)</f>
        <v>-16334400</v>
      </c>
      <c r="H494" s="168" t="s">
        <v>33</v>
      </c>
      <c r="I494" s="172">
        <f>-IF(F494="I",IFERROR(VLOOKUP(C494,'BG 2021'!A:D,4,FALSE),0),0)</f>
        <v>-2371.6399999999994</v>
      </c>
      <c r="J494" s="171"/>
      <c r="K494" s="157">
        <f>-IF(F494="I",SUMIF('BG 2020'!B:B,Clasificaciones!C494,'BG 2020'!D:D),0)</f>
        <v>-52691486</v>
      </c>
      <c r="L494" s="171"/>
      <c r="M494" s="172">
        <f>-IF(F494="I",SUMIF('BG 2020'!B:B,Clasificaciones!C494,'BG 2020'!E:E),0)</f>
        <v>-7590.63</v>
      </c>
    </row>
    <row r="495" spans="1:13" s="166" customFormat="1" ht="12" customHeight="1">
      <c r="A495" s="163" t="s">
        <v>8</v>
      </c>
      <c r="B495" s="163" t="s">
        <v>33</v>
      </c>
      <c r="C495" s="164">
        <v>2140204</v>
      </c>
      <c r="D495" s="164" t="s">
        <v>867</v>
      </c>
      <c r="E495" s="165" t="s">
        <v>6</v>
      </c>
      <c r="F495" s="165" t="s">
        <v>344</v>
      </c>
      <c r="G495" s="47">
        <f>-IF(F495="I",IFERROR(VLOOKUP(C495,'BG 2021'!A:C,3,FALSE),0),0)</f>
        <v>0</v>
      </c>
      <c r="H495" s="163" t="s">
        <v>33</v>
      </c>
      <c r="I495" s="68">
        <f>-IF(F495="I",IFERROR(VLOOKUP(C495,'BG 2021'!A:D,4,FALSE),0),0)</f>
        <v>0</v>
      </c>
      <c r="J495" s="40"/>
      <c r="K495" s="47">
        <f>-IF(F495="I",SUMIF('BG 2020'!B:B,Clasificaciones!C495,'BG 2020'!D:D),0)</f>
        <v>-39153628</v>
      </c>
      <c r="L495" s="40"/>
      <c r="M495" s="68">
        <f>-IF(F495="I",SUMIF('BG 2020'!B:B,Clasificaciones!C495,'BG 2020'!E:E),0)</f>
        <v>-5640.39</v>
      </c>
    </row>
    <row r="496" spans="1:13" s="166" customFormat="1" ht="12" customHeight="1">
      <c r="A496" s="163" t="s">
        <v>8</v>
      </c>
      <c r="B496" s="163"/>
      <c r="C496" s="164">
        <v>2140205</v>
      </c>
      <c r="D496" s="164" t="s">
        <v>1152</v>
      </c>
      <c r="E496" s="165" t="s">
        <v>6</v>
      </c>
      <c r="F496" s="165" t="s">
        <v>344</v>
      </c>
      <c r="G496" s="47">
        <f>-IF(F496="I",IFERROR(VLOOKUP(C496,'BG 2021'!A:C,3,FALSE),0),0)</f>
        <v>0</v>
      </c>
      <c r="H496" s="163"/>
      <c r="I496" s="68">
        <f>-IF(F496="I",IFERROR(VLOOKUP(C496,'BG 2021'!A:D,4,FALSE),0),0)</f>
        <v>0</v>
      </c>
      <c r="J496" s="40"/>
      <c r="K496" s="47">
        <f>-IF(F496="I",SUMIF('BG 2020'!B:B,Clasificaciones!C496,'BG 2020'!D:D),0)</f>
        <v>0</v>
      </c>
      <c r="L496" s="40"/>
      <c r="M496" s="68">
        <f>-IF(F496="I",SUMIF('BG 2020'!B:B,Clasificaciones!C496,'BG 2020'!E:E),0)</f>
        <v>0</v>
      </c>
    </row>
    <row r="497" spans="1:13" s="166" customFormat="1" ht="12" customHeight="1">
      <c r="A497" s="163" t="s">
        <v>8</v>
      </c>
      <c r="B497" s="163"/>
      <c r="C497" s="164">
        <v>2140206</v>
      </c>
      <c r="D497" s="164" t="s">
        <v>1153</v>
      </c>
      <c r="E497" s="165" t="s">
        <v>6</v>
      </c>
      <c r="F497" s="165" t="s">
        <v>344</v>
      </c>
      <c r="G497" s="47">
        <f>-IF(F497="I",IFERROR(VLOOKUP(C497,'BG 2021'!A:C,3,FALSE),0),0)</f>
        <v>0</v>
      </c>
      <c r="H497" s="163"/>
      <c r="I497" s="68">
        <f>-IF(F497="I",IFERROR(VLOOKUP(C497,'BG 2021'!A:D,4,FALSE),0),0)</f>
        <v>0</v>
      </c>
      <c r="J497" s="40"/>
      <c r="K497" s="47">
        <f>-IF(F497="I",SUMIF('BG 2020'!B:B,Clasificaciones!C497,'BG 2020'!D:D),0)</f>
        <v>0</v>
      </c>
      <c r="L497" s="40"/>
      <c r="M497" s="68">
        <f>-IF(F497="I",SUMIF('BG 2020'!B:B,Clasificaciones!C497,'BG 2020'!E:E),0)</f>
        <v>0</v>
      </c>
    </row>
    <row r="498" spans="1:13" s="166" customFormat="1" ht="12" customHeight="1">
      <c r="A498" s="163" t="s">
        <v>8</v>
      </c>
      <c r="B498" s="163"/>
      <c r="C498" s="164">
        <v>21403</v>
      </c>
      <c r="D498" s="164" t="s">
        <v>1154</v>
      </c>
      <c r="E498" s="165" t="s">
        <v>6</v>
      </c>
      <c r="F498" s="165" t="s">
        <v>343</v>
      </c>
      <c r="G498" s="47">
        <f>-IF(F498="I",IFERROR(VLOOKUP(C498,'BG 2021'!A:C,3,FALSE),0),0)</f>
        <v>0</v>
      </c>
      <c r="H498" s="163"/>
      <c r="I498" s="68">
        <f>-IF(F498="I",IFERROR(VLOOKUP(C498,'BG 2021'!A:D,4,FALSE),0),0)</f>
        <v>0</v>
      </c>
      <c r="J498" s="40"/>
      <c r="K498" s="47">
        <f>-IF(F498="I",SUMIF('BG 2020'!B:B,Clasificaciones!C498,'BG 2020'!D:D),0)</f>
        <v>0</v>
      </c>
      <c r="L498" s="40"/>
      <c r="M498" s="68">
        <f>-IF(F498="I",SUMIF('BG 2020'!B:B,Clasificaciones!C498,'BG 2020'!E:E),0)</f>
        <v>0</v>
      </c>
    </row>
    <row r="499" spans="1:13" s="166" customFormat="1" ht="12" customHeight="1">
      <c r="A499" s="163" t="s">
        <v>8</v>
      </c>
      <c r="B499" s="163"/>
      <c r="C499" s="164">
        <v>2140301</v>
      </c>
      <c r="D499" s="164" t="s">
        <v>1155</v>
      </c>
      <c r="E499" s="165" t="s">
        <v>6</v>
      </c>
      <c r="F499" s="165" t="s">
        <v>344</v>
      </c>
      <c r="G499" s="47">
        <f>-IF(F499="I",IFERROR(VLOOKUP(C499,'BG 2021'!A:C,3,FALSE),0),0)</f>
        <v>0</v>
      </c>
      <c r="H499" s="163"/>
      <c r="I499" s="68">
        <f>-IF(F499="I",IFERROR(VLOOKUP(C499,'BG 2021'!A:D,4,FALSE),0),0)</f>
        <v>0</v>
      </c>
      <c r="J499" s="40"/>
      <c r="K499" s="47">
        <f>-IF(F499="I",SUMIF('BG 2020'!B:B,Clasificaciones!C499,'BG 2020'!D:D),0)</f>
        <v>0</v>
      </c>
      <c r="L499" s="40"/>
      <c r="M499" s="68">
        <f>-IF(F499="I",SUMIF('BG 2020'!B:B,Clasificaciones!C499,'BG 2020'!E:E),0)</f>
        <v>0</v>
      </c>
    </row>
    <row r="500" spans="1:13" s="166" customFormat="1" ht="12" customHeight="1">
      <c r="A500" s="163" t="s">
        <v>8</v>
      </c>
      <c r="B500" s="163"/>
      <c r="C500" s="164">
        <v>2140302</v>
      </c>
      <c r="D500" s="164" t="s">
        <v>1156</v>
      </c>
      <c r="E500" s="165" t="s">
        <v>6</v>
      </c>
      <c r="F500" s="165" t="s">
        <v>344</v>
      </c>
      <c r="G500" s="47">
        <f>-IF(F500="I",IFERROR(VLOOKUP(C500,'BG 2021'!A:C,3,FALSE),0),0)</f>
        <v>0</v>
      </c>
      <c r="H500" s="163"/>
      <c r="I500" s="68">
        <f>-IF(F500="I",IFERROR(VLOOKUP(C500,'BG 2021'!A:D,4,FALSE),0),0)</f>
        <v>0</v>
      </c>
      <c r="J500" s="40"/>
      <c r="K500" s="47">
        <f>-IF(F500="I",SUMIF('BG 2020'!B:B,Clasificaciones!C500,'BG 2020'!D:D),0)</f>
        <v>0</v>
      </c>
      <c r="L500" s="40"/>
      <c r="M500" s="68">
        <f>-IF(F500="I",SUMIF('BG 2020'!B:B,Clasificaciones!C500,'BG 2020'!E:E),0)</f>
        <v>0</v>
      </c>
    </row>
    <row r="501" spans="1:13" s="166" customFormat="1" ht="12" customHeight="1">
      <c r="A501" s="163" t="s">
        <v>8</v>
      </c>
      <c r="B501" s="163"/>
      <c r="C501" s="164">
        <v>2140303</v>
      </c>
      <c r="D501" s="164" t="s">
        <v>1157</v>
      </c>
      <c r="E501" s="165" t="s">
        <v>6</v>
      </c>
      <c r="F501" s="165" t="s">
        <v>344</v>
      </c>
      <c r="G501" s="47">
        <f>-IF(F501="I",IFERROR(VLOOKUP(C501,'BG 2021'!A:C,3,FALSE),0),0)</f>
        <v>0</v>
      </c>
      <c r="H501" s="163"/>
      <c r="I501" s="68">
        <f>-IF(F501="I",IFERROR(VLOOKUP(C501,'BG 2021'!A:D,4,FALSE),0),0)</f>
        <v>0</v>
      </c>
      <c r="J501" s="40"/>
      <c r="K501" s="47">
        <f>-IF(F501="I",SUMIF('BG 2020'!B:B,Clasificaciones!C501,'BG 2020'!D:D),0)</f>
        <v>0</v>
      </c>
      <c r="L501" s="40"/>
      <c r="M501" s="68">
        <f>-IF(F501="I",SUMIF('BG 2020'!B:B,Clasificaciones!C501,'BG 2020'!E:E),0)</f>
        <v>0</v>
      </c>
    </row>
    <row r="502" spans="1:13" s="166" customFormat="1" ht="12" customHeight="1">
      <c r="A502" s="163" t="s">
        <v>8</v>
      </c>
      <c r="B502" s="163"/>
      <c r="C502" s="164">
        <v>2140304</v>
      </c>
      <c r="D502" s="164" t="s">
        <v>1158</v>
      </c>
      <c r="E502" s="165" t="s">
        <v>6</v>
      </c>
      <c r="F502" s="165" t="s">
        <v>344</v>
      </c>
      <c r="G502" s="47">
        <f>-IF(F502="I",IFERROR(VLOOKUP(C502,'BG 2021'!A:C,3,FALSE),0),0)</f>
        <v>0</v>
      </c>
      <c r="H502" s="163"/>
      <c r="I502" s="68">
        <f>-IF(F502="I",IFERROR(VLOOKUP(C502,'BG 2021'!A:D,4,FALSE),0),0)</f>
        <v>0</v>
      </c>
      <c r="J502" s="40"/>
      <c r="K502" s="47">
        <f>-IF(F502="I",SUMIF('BG 2020'!B:B,Clasificaciones!C502,'BG 2020'!D:D),0)</f>
        <v>0</v>
      </c>
      <c r="L502" s="40"/>
      <c r="M502" s="68">
        <f>-IF(F502="I",SUMIF('BG 2020'!B:B,Clasificaciones!C502,'BG 2020'!E:E),0)</f>
        <v>0</v>
      </c>
    </row>
    <row r="503" spans="1:13" s="166" customFormat="1" ht="12" customHeight="1">
      <c r="A503" s="163" t="s">
        <v>8</v>
      </c>
      <c r="B503" s="163"/>
      <c r="C503" s="164">
        <v>2140399</v>
      </c>
      <c r="D503" s="164" t="s">
        <v>1159</v>
      </c>
      <c r="E503" s="165" t="s">
        <v>6</v>
      </c>
      <c r="F503" s="165" t="s">
        <v>344</v>
      </c>
      <c r="G503" s="47">
        <f>-IF(F503="I",IFERROR(VLOOKUP(C503,'BG 2021'!A:C,3,FALSE),0),0)</f>
        <v>0</v>
      </c>
      <c r="H503" s="163"/>
      <c r="I503" s="68">
        <f>-IF(F503="I",IFERROR(VLOOKUP(C503,'BG 2021'!A:D,4,FALSE),0),0)</f>
        <v>0</v>
      </c>
      <c r="J503" s="40"/>
      <c r="K503" s="47">
        <f>-IF(F503="I",SUMIF('BG 2020'!B:B,Clasificaciones!C503,'BG 2020'!D:D),0)</f>
        <v>0</v>
      </c>
      <c r="L503" s="40"/>
      <c r="M503" s="68">
        <f>-IF(F503="I",SUMIF('BG 2020'!B:B,Clasificaciones!C503,'BG 2020'!E:E),0)</f>
        <v>0</v>
      </c>
    </row>
    <row r="504" spans="1:13" s="166" customFormat="1" ht="12" customHeight="1">
      <c r="A504" s="163" t="s">
        <v>8</v>
      </c>
      <c r="B504" s="163"/>
      <c r="C504" s="164">
        <v>21404</v>
      </c>
      <c r="D504" s="164" t="s">
        <v>868</v>
      </c>
      <c r="E504" s="165" t="s">
        <v>6</v>
      </c>
      <c r="F504" s="165" t="s">
        <v>343</v>
      </c>
      <c r="G504" s="47">
        <f>-IF(F504="I",IFERROR(VLOOKUP(C504,'BG 2021'!A:C,3,FALSE),0),0)</f>
        <v>0</v>
      </c>
      <c r="H504" s="163"/>
      <c r="I504" s="68">
        <f>-IF(F504="I",IFERROR(VLOOKUP(C504,'BG 2021'!A:D,4,FALSE),0),0)</f>
        <v>0</v>
      </c>
      <c r="J504" s="40"/>
      <c r="K504" s="47">
        <f>-IF(F504="I",SUMIF('BG 2020'!B:B,Clasificaciones!C504,'BG 2020'!D:D),0)</f>
        <v>0</v>
      </c>
      <c r="L504" s="40"/>
      <c r="M504" s="68">
        <f>-IF(F504="I",SUMIF('BG 2020'!B:B,Clasificaciones!C504,'BG 2020'!E:E),0)</f>
        <v>0</v>
      </c>
    </row>
    <row r="505" spans="1:13" s="166" customFormat="1" ht="12" customHeight="1">
      <c r="A505" s="163" t="s">
        <v>8</v>
      </c>
      <c r="B505" s="163"/>
      <c r="C505" s="164">
        <v>2140401</v>
      </c>
      <c r="D505" s="164" t="s">
        <v>177</v>
      </c>
      <c r="E505" s="165" t="s">
        <v>6</v>
      </c>
      <c r="F505" s="165" t="s">
        <v>344</v>
      </c>
      <c r="G505" s="47">
        <f>-IF(F505="I",IFERROR(VLOOKUP(C505,'BG 2021'!A:C,3,FALSE),0),0)</f>
        <v>0</v>
      </c>
      <c r="H505" s="163"/>
      <c r="I505" s="68">
        <f>-IF(F505="I",IFERROR(VLOOKUP(C505,'BG 2021'!A:D,4,FALSE),0),0)</f>
        <v>0</v>
      </c>
      <c r="J505" s="40"/>
      <c r="K505" s="47">
        <f>-IF(F505="I",SUMIF('BG 2020'!B:B,Clasificaciones!C505,'BG 2020'!D:D),0)</f>
        <v>0</v>
      </c>
      <c r="L505" s="40"/>
      <c r="M505" s="68">
        <f>-IF(F505="I",SUMIF('BG 2020'!B:B,Clasificaciones!C505,'BG 2020'!E:E),0)</f>
        <v>0</v>
      </c>
    </row>
    <row r="506" spans="1:13" s="166" customFormat="1" ht="12" customHeight="1">
      <c r="A506" s="163" t="s">
        <v>8</v>
      </c>
      <c r="B506" s="163" t="s">
        <v>727</v>
      </c>
      <c r="C506" s="164">
        <v>2140402</v>
      </c>
      <c r="D506" s="164" t="s">
        <v>178</v>
      </c>
      <c r="E506" s="165" t="s">
        <v>6</v>
      </c>
      <c r="F506" s="165" t="s">
        <v>344</v>
      </c>
      <c r="G506" s="47">
        <f>-IF(F506="I",IFERROR(VLOOKUP(C506,'BG 2021'!A:C,3,FALSE),0),0)</f>
        <v>0</v>
      </c>
      <c r="H506" s="163" t="s">
        <v>727</v>
      </c>
      <c r="I506" s="68">
        <f>-IF(F506="I",IFERROR(VLOOKUP(C506,'BG 2021'!A:D,4,FALSE),0),0)</f>
        <v>0</v>
      </c>
      <c r="J506" s="40"/>
      <c r="K506" s="47">
        <f>-IF(F506="I",SUMIF('BG 2020'!B:B,Clasificaciones!C506,'BG 2020'!D:D),0)</f>
        <v>0</v>
      </c>
      <c r="L506" s="40"/>
      <c r="M506" s="68">
        <f>-IF(F506="I",SUMIF('BG 2020'!B:B,Clasificaciones!C506,'BG 2020'!E:E),0)</f>
        <v>0</v>
      </c>
    </row>
    <row r="507" spans="1:13" s="166" customFormat="1" ht="12" customHeight="1">
      <c r="A507" s="163" t="s">
        <v>8</v>
      </c>
      <c r="B507" s="163" t="s">
        <v>727</v>
      </c>
      <c r="C507" s="164">
        <v>2140403</v>
      </c>
      <c r="D507" s="164" t="s">
        <v>179</v>
      </c>
      <c r="E507" s="165" t="s">
        <v>6</v>
      </c>
      <c r="F507" s="165" t="s">
        <v>344</v>
      </c>
      <c r="G507" s="47">
        <f>-IF(F507="I",IFERROR(VLOOKUP(C507,'BG 2021'!A:C,3,FALSE),0),0)</f>
        <v>0</v>
      </c>
      <c r="H507" s="163" t="s">
        <v>727</v>
      </c>
      <c r="I507" s="68">
        <f>-IF(F507="I",IFERROR(VLOOKUP(C507,'BG 2021'!A:D,4,FALSE),0),0)</f>
        <v>0</v>
      </c>
      <c r="J507" s="40"/>
      <c r="K507" s="47">
        <f>-IF(F507="I",SUMIF('BG 2020'!B:B,Clasificaciones!C507,'BG 2020'!D:D),0)</f>
        <v>0</v>
      </c>
      <c r="L507" s="40"/>
      <c r="M507" s="68">
        <f>-IF(F507="I",SUMIF('BG 2020'!B:B,Clasificaciones!C507,'BG 2020'!E:E),0)</f>
        <v>0</v>
      </c>
    </row>
    <row r="508" spans="1:13" s="166" customFormat="1" ht="12" customHeight="1">
      <c r="A508" s="163" t="s">
        <v>8</v>
      </c>
      <c r="B508" s="163" t="s">
        <v>727</v>
      </c>
      <c r="C508" s="164">
        <v>2140404</v>
      </c>
      <c r="D508" s="164" t="s">
        <v>180</v>
      </c>
      <c r="E508" s="165" t="s">
        <v>6</v>
      </c>
      <c r="F508" s="165" t="s">
        <v>344</v>
      </c>
      <c r="G508" s="47">
        <f>-IF(F508="I",IFERROR(VLOOKUP(C508,'BG 2021'!A:C,3,FALSE),0),0)</f>
        <v>-70938000</v>
      </c>
      <c r="H508" s="163" t="s">
        <v>727</v>
      </c>
      <c r="I508" s="68">
        <f>-IF(F508="I",IFERROR(VLOOKUP(C508,'BG 2021'!A:D,4,FALSE),0),0)</f>
        <v>-10299.679999999993</v>
      </c>
      <c r="J508" s="40"/>
      <c r="K508" s="47">
        <f>-IF(F508="I",SUMIF('BG 2020'!B:B,Clasificaciones!C508,'BG 2020'!D:D),0)</f>
        <v>-240285334</v>
      </c>
      <c r="L508" s="40"/>
      <c r="M508" s="68">
        <f>-IF(F508="I",SUMIF('BG 2020'!B:B,Clasificaciones!C508,'BG 2020'!E:E),0)</f>
        <v>-34615.020000000004</v>
      </c>
    </row>
    <row r="509" spans="1:13" s="166" customFormat="1" ht="12" customHeight="1">
      <c r="A509" s="163" t="s">
        <v>8</v>
      </c>
      <c r="B509" s="163"/>
      <c r="C509" s="164">
        <v>2140405</v>
      </c>
      <c r="D509" s="164" t="s">
        <v>1160</v>
      </c>
      <c r="E509" s="165" t="s">
        <v>6</v>
      </c>
      <c r="F509" s="165" t="s">
        <v>344</v>
      </c>
      <c r="G509" s="47">
        <f>-IF(F509="I",IFERROR(VLOOKUP(C509,'BG 2021'!A:C,3,FALSE),0),0)</f>
        <v>0</v>
      </c>
      <c r="H509" s="163"/>
      <c r="I509" s="68">
        <f>-IF(F509="I",IFERROR(VLOOKUP(C509,'BG 2021'!A:D,4,FALSE),0),0)</f>
        <v>0</v>
      </c>
      <c r="J509" s="40"/>
      <c r="K509" s="47">
        <f>-IF(F509="I",SUMIF('BG 2020'!B:B,Clasificaciones!C509,'BG 2020'!D:D),0)</f>
        <v>0</v>
      </c>
      <c r="L509" s="40"/>
      <c r="M509" s="68">
        <f>-IF(F509="I",SUMIF('BG 2020'!B:B,Clasificaciones!C509,'BG 2020'!E:E),0)</f>
        <v>0</v>
      </c>
    </row>
    <row r="510" spans="1:13" s="166" customFormat="1" ht="12" customHeight="1">
      <c r="A510" s="163" t="s">
        <v>8</v>
      </c>
      <c r="B510" s="163" t="s">
        <v>727</v>
      </c>
      <c r="C510" s="164">
        <v>2140406</v>
      </c>
      <c r="D510" s="164" t="s">
        <v>869</v>
      </c>
      <c r="E510" s="165" t="s">
        <v>6</v>
      </c>
      <c r="F510" s="165" t="s">
        <v>344</v>
      </c>
      <c r="G510" s="47">
        <f>-IF(F510="I",IFERROR(VLOOKUP(C510,'BG 2021'!A:C,3,FALSE),0),0)</f>
        <v>0</v>
      </c>
      <c r="H510" s="163" t="s">
        <v>727</v>
      </c>
      <c r="I510" s="68">
        <f>-IF(F510="I",IFERROR(VLOOKUP(C510,'BG 2021'!A:D,4,FALSE),0),0)</f>
        <v>0</v>
      </c>
      <c r="J510" s="40"/>
      <c r="K510" s="47">
        <f>-IF(F510="I",SUMIF('BG 2020'!B:B,Clasificaciones!C510,'BG 2020'!D:D),0)</f>
        <v>0</v>
      </c>
      <c r="L510" s="40"/>
      <c r="M510" s="68">
        <f>-IF(F510="I",SUMIF('BG 2020'!B:B,Clasificaciones!C510,'BG 2020'!E:E),0)</f>
        <v>0</v>
      </c>
    </row>
    <row r="511" spans="1:13" s="166" customFormat="1" ht="12" customHeight="1">
      <c r="A511" s="163" t="s">
        <v>8</v>
      </c>
      <c r="B511" s="163" t="s">
        <v>727</v>
      </c>
      <c r="C511" s="164">
        <v>2140407</v>
      </c>
      <c r="D511" s="164" t="s">
        <v>382</v>
      </c>
      <c r="E511" s="165" t="s">
        <v>6</v>
      </c>
      <c r="F511" s="165" t="s">
        <v>344</v>
      </c>
      <c r="G511" s="47">
        <f>-IF(F511="I",IFERROR(VLOOKUP(C511,'BG 2021'!A:C,3,FALSE),0),0)</f>
        <v>0</v>
      </c>
      <c r="H511" s="163" t="s">
        <v>727</v>
      </c>
      <c r="I511" s="68">
        <f>-IF(F511="I",IFERROR(VLOOKUP(C511,'BG 2021'!A:D,4,FALSE),0),0)</f>
        <v>0</v>
      </c>
      <c r="J511" s="40"/>
      <c r="K511" s="47">
        <f>-IF(F511="I",SUMIF('BG 2020'!B:B,Clasificaciones!C511,'BG 2020'!D:D),0)</f>
        <v>0</v>
      </c>
      <c r="L511" s="40"/>
      <c r="M511" s="68">
        <f>-IF(F511="I",SUMIF('BG 2020'!B:B,Clasificaciones!C511,'BG 2020'!E:E),0)</f>
        <v>0</v>
      </c>
    </row>
    <row r="512" spans="1:13" s="166" customFormat="1" ht="12" customHeight="1">
      <c r="A512" s="163" t="s">
        <v>8</v>
      </c>
      <c r="B512" s="163" t="s">
        <v>727</v>
      </c>
      <c r="C512" s="164">
        <v>2140408</v>
      </c>
      <c r="D512" s="164" t="s">
        <v>383</v>
      </c>
      <c r="E512" s="165" t="s">
        <v>6</v>
      </c>
      <c r="F512" s="165" t="s">
        <v>344</v>
      </c>
      <c r="G512" s="47">
        <f>-IF(F512="I",IFERROR(VLOOKUP(C512,'BG 2021'!A:C,3,FALSE),0),0)</f>
        <v>0</v>
      </c>
      <c r="H512" s="163" t="s">
        <v>727</v>
      </c>
      <c r="I512" s="68">
        <f>-IF(F512="I",IFERROR(VLOOKUP(C512,'BG 2021'!A:D,4,FALSE),0),0)</f>
        <v>0</v>
      </c>
      <c r="J512" s="40"/>
      <c r="K512" s="47">
        <f>-IF(F512="I",SUMIF('BG 2020'!B:B,Clasificaciones!C512,'BG 2020'!D:D),0)</f>
        <v>0</v>
      </c>
      <c r="L512" s="40"/>
      <c r="M512" s="68">
        <f>-IF(F512="I",SUMIF('BG 2020'!B:B,Clasificaciones!C512,'BG 2020'!E:E),0)</f>
        <v>0</v>
      </c>
    </row>
    <row r="513" spans="1:13" s="166" customFormat="1" ht="12" customHeight="1">
      <c r="A513" s="163" t="s">
        <v>8</v>
      </c>
      <c r="B513" s="163"/>
      <c r="C513" s="164">
        <v>2140409</v>
      </c>
      <c r="D513" s="164" t="s">
        <v>384</v>
      </c>
      <c r="E513" s="165" t="s">
        <v>6</v>
      </c>
      <c r="F513" s="165" t="s">
        <v>344</v>
      </c>
      <c r="G513" s="47">
        <f>-IF(F513="I",IFERROR(VLOOKUP(C513,'BG 2021'!A:C,3,FALSE),0),0)</f>
        <v>0</v>
      </c>
      <c r="H513" s="163"/>
      <c r="I513" s="68">
        <f>-IF(F513="I",IFERROR(VLOOKUP(C513,'BG 2021'!A:D,4,FALSE),0),0)</f>
        <v>0</v>
      </c>
      <c r="J513" s="40"/>
      <c r="K513" s="47">
        <f>-IF(F513="I",SUMIF('BG 2020'!B:B,Clasificaciones!C513,'BG 2020'!D:D),0)</f>
        <v>0</v>
      </c>
      <c r="L513" s="40"/>
      <c r="M513" s="68">
        <f>-IF(F513="I",SUMIF('BG 2020'!B:B,Clasificaciones!C513,'BG 2020'!E:E),0)</f>
        <v>0</v>
      </c>
    </row>
    <row r="514" spans="1:13" s="166" customFormat="1" ht="12" customHeight="1">
      <c r="A514" s="163" t="s">
        <v>8</v>
      </c>
      <c r="B514" s="163" t="s">
        <v>727</v>
      </c>
      <c r="C514" s="164">
        <v>2140410</v>
      </c>
      <c r="D514" s="164" t="s">
        <v>385</v>
      </c>
      <c r="E514" s="165" t="s">
        <v>6</v>
      </c>
      <c r="F514" s="165" t="s">
        <v>344</v>
      </c>
      <c r="G514" s="47">
        <f>-IF(F514="I",IFERROR(VLOOKUP(C514,'BG 2021'!A:C,3,FALSE),0),0)</f>
        <v>0</v>
      </c>
      <c r="H514" s="163" t="s">
        <v>727</v>
      </c>
      <c r="I514" s="68">
        <f>-IF(F514="I",IFERROR(VLOOKUP(C514,'BG 2021'!A:D,4,FALSE),0),0)</f>
        <v>0</v>
      </c>
      <c r="J514" s="40"/>
      <c r="K514" s="47">
        <f>-IF(F514="I",SUMIF('BG 2020'!B:B,Clasificaciones!C514,'BG 2020'!D:D),0)</f>
        <v>0</v>
      </c>
      <c r="L514" s="40"/>
      <c r="M514" s="68">
        <f>-IF(F514="I",SUMIF('BG 2020'!B:B,Clasificaciones!C514,'BG 2020'!E:E),0)</f>
        <v>0</v>
      </c>
    </row>
    <row r="515" spans="1:13" s="166" customFormat="1" ht="12" customHeight="1">
      <c r="A515" s="163" t="s">
        <v>8</v>
      </c>
      <c r="B515" s="163" t="s">
        <v>727</v>
      </c>
      <c r="C515" s="164">
        <v>2140411</v>
      </c>
      <c r="D515" s="164" t="s">
        <v>386</v>
      </c>
      <c r="E515" s="165" t="s">
        <v>6</v>
      </c>
      <c r="F515" s="165" t="s">
        <v>344</v>
      </c>
      <c r="G515" s="47">
        <f>-IF(F515="I",IFERROR(VLOOKUP(C515,'BG 2021'!A:C,3,FALSE),0),0)</f>
        <v>0</v>
      </c>
      <c r="H515" s="163" t="s">
        <v>727</v>
      </c>
      <c r="I515" s="68">
        <f>-IF(F515="I",IFERROR(VLOOKUP(C515,'BG 2021'!A:D,4,FALSE),0),0)</f>
        <v>0</v>
      </c>
      <c r="J515" s="40"/>
      <c r="K515" s="47">
        <f>-IF(F515="I",SUMIF('BG 2020'!B:B,Clasificaciones!C515,'BG 2020'!D:D),0)</f>
        <v>0</v>
      </c>
      <c r="L515" s="40"/>
      <c r="M515" s="68">
        <f>-IF(F515="I",SUMIF('BG 2020'!B:B,Clasificaciones!C515,'BG 2020'!E:E),0)</f>
        <v>0</v>
      </c>
    </row>
    <row r="516" spans="1:13" s="166" customFormat="1" ht="12" customHeight="1">
      <c r="A516" s="163" t="s">
        <v>8</v>
      </c>
      <c r="B516" s="163" t="s">
        <v>727</v>
      </c>
      <c r="C516" s="164">
        <v>2140412</v>
      </c>
      <c r="D516" s="164" t="s">
        <v>384</v>
      </c>
      <c r="E516" s="165" t="s">
        <v>6</v>
      </c>
      <c r="F516" s="165" t="s">
        <v>344</v>
      </c>
      <c r="G516" s="47">
        <f>-IF(F516="I",IFERROR(VLOOKUP(C516,'BG 2021'!A:C,3,FALSE),0),0)</f>
        <v>0</v>
      </c>
      <c r="H516" s="163" t="s">
        <v>727</v>
      </c>
      <c r="I516" s="68">
        <f>-IF(F516="I",IFERROR(VLOOKUP(C516,'BG 2021'!A:D,4,FALSE),0),0)</f>
        <v>0</v>
      </c>
      <c r="J516" s="40"/>
      <c r="K516" s="47">
        <f>-IF(F516="I",SUMIF('BG 2020'!B:B,Clasificaciones!C516,'BG 2020'!D:D),0)</f>
        <v>-68871631</v>
      </c>
      <c r="L516" s="40"/>
      <c r="M516" s="68">
        <f>-IF(F516="I",SUMIF('BG 2020'!B:B,Clasificaciones!C516,'BG 2020'!E:E),0)</f>
        <v>-9921.51</v>
      </c>
    </row>
    <row r="517" spans="1:13" s="166" customFormat="1" ht="12" customHeight="1">
      <c r="A517" s="163" t="s">
        <v>8</v>
      </c>
      <c r="B517" s="163" t="s">
        <v>727</v>
      </c>
      <c r="C517" s="164">
        <v>2140413</v>
      </c>
      <c r="D517" s="164" t="s">
        <v>1649</v>
      </c>
      <c r="E517" s="165" t="s">
        <v>6</v>
      </c>
      <c r="F517" s="165" t="s">
        <v>344</v>
      </c>
      <c r="G517" s="47">
        <f>-IF(F517="I",IFERROR(VLOOKUP(C517,'BG 2021'!A:C,3,FALSE),0),0)</f>
        <v>-6780241</v>
      </c>
      <c r="H517" s="163" t="s">
        <v>727</v>
      </c>
      <c r="I517" s="68">
        <f>-IF(F517="I",IFERROR(VLOOKUP(C517,'BG 2021'!A:D,4,FALSE),0),0)</f>
        <v>-984.4399999999996</v>
      </c>
      <c r="J517" s="40"/>
      <c r="K517" s="47">
        <f>-IF(F517="I",SUMIF('BG 2020'!B:B,Clasificaciones!C517,'BG 2020'!D:D),0)</f>
        <v>-10449299</v>
      </c>
      <c r="L517" s="40"/>
      <c r="M517" s="68">
        <f>-IF(F517="I",SUMIF('BG 2020'!B:B,Clasificaciones!C517,'BG 2020'!E:E),0)</f>
        <v>-1505.3</v>
      </c>
    </row>
    <row r="518" spans="1:13" s="166" customFormat="1" ht="12" customHeight="1">
      <c r="A518" s="163" t="s">
        <v>8</v>
      </c>
      <c r="B518" s="163" t="s">
        <v>727</v>
      </c>
      <c r="C518" s="164">
        <v>2140414</v>
      </c>
      <c r="D518" s="164" t="s">
        <v>1650</v>
      </c>
      <c r="E518" s="165" t="s">
        <v>229</v>
      </c>
      <c r="F518" s="165" t="s">
        <v>344</v>
      </c>
      <c r="G518" s="47">
        <f>-IF(F518="I",IFERROR(VLOOKUP(C518,'BG 2021'!A:C,3,FALSE),0),0)</f>
        <v>-686536</v>
      </c>
      <c r="H518" s="163" t="s">
        <v>727</v>
      </c>
      <c r="I518" s="68">
        <f>-IF(F518="I",IFERROR(VLOOKUP(C518,'BG 2021'!A:D,4,FALSE),0),0)</f>
        <v>-99.680000000000064</v>
      </c>
      <c r="J518" s="40"/>
      <c r="K518" s="47">
        <f>-IF(F518="I",SUMIF('BG 2020'!B:B,Clasificaciones!C518,'BG 2020'!D:D),0)</f>
        <v>-810646</v>
      </c>
      <c r="L518" s="40"/>
      <c r="M518" s="68">
        <f>-IF(F518="I",SUMIF('BG 2020'!B:B,Clasificaciones!C518,'BG 2020'!E:E),0)</f>
        <v>-116.78</v>
      </c>
    </row>
    <row r="519" spans="1:13" s="166" customFormat="1" ht="12" customHeight="1">
      <c r="A519" s="163" t="s">
        <v>8</v>
      </c>
      <c r="B519" s="163" t="s">
        <v>727</v>
      </c>
      <c r="C519" s="164">
        <v>2140415</v>
      </c>
      <c r="D519" s="164" t="s">
        <v>1367</v>
      </c>
      <c r="E519" s="165" t="s">
        <v>6</v>
      </c>
      <c r="F519" s="165" t="s">
        <v>344</v>
      </c>
      <c r="G519" s="47">
        <f>-IF(F519="I",IFERROR(VLOOKUP(C519,'BG 2021'!A:C,3,FALSE),0),0)</f>
        <v>-50000000</v>
      </c>
      <c r="H519" s="163" t="s">
        <v>727</v>
      </c>
      <c r="I519" s="68">
        <f>-IF(F519="I",IFERROR(VLOOKUP(C519,'BG 2021'!A:D,4,FALSE),0),0)</f>
        <v>-7259.64</v>
      </c>
      <c r="J519" s="40"/>
      <c r="K519" s="47">
        <f>-IF(F519="I",SUMIF('BG 2020'!B:B,Clasificaciones!C519,'BG 2020'!D:D),0)</f>
        <v>0</v>
      </c>
      <c r="L519" s="40"/>
      <c r="M519" s="68">
        <f>-IF(F519="I",SUMIF('BG 2020'!B:B,Clasificaciones!C519,'BG 2020'!E:E),0)</f>
        <v>0</v>
      </c>
    </row>
    <row r="520" spans="1:13" s="166" customFormat="1" ht="12" customHeight="1">
      <c r="A520" s="163" t="s">
        <v>8</v>
      </c>
      <c r="B520" s="163" t="s">
        <v>727</v>
      </c>
      <c r="C520" s="164">
        <v>2140416</v>
      </c>
      <c r="D520" s="164" t="s">
        <v>1326</v>
      </c>
      <c r="E520" s="165" t="s">
        <v>6</v>
      </c>
      <c r="F520" s="165" t="s">
        <v>344</v>
      </c>
      <c r="G520" s="47">
        <f>-IF(F520="I",IFERROR(VLOOKUP(C520,'BG 2021'!A:C,3,FALSE),0),0)</f>
        <v>0</v>
      </c>
      <c r="H520" s="163" t="s">
        <v>727</v>
      </c>
      <c r="I520" s="68">
        <f>-IF(F520="I",IFERROR(VLOOKUP(C520,'BG 2021'!A:D,4,FALSE),0),0)</f>
        <v>0</v>
      </c>
      <c r="J520" s="40"/>
      <c r="K520" s="47">
        <f>-IF(F520="I",SUMIF('BG 2020'!B:B,Clasificaciones!C520,'BG 2020'!D:D),0)</f>
        <v>0</v>
      </c>
      <c r="L520" s="40"/>
      <c r="M520" s="68">
        <f>-IF(F520="I",SUMIF('BG 2020'!B:B,Clasificaciones!C520,'BG 2020'!E:E),0)</f>
        <v>0</v>
      </c>
    </row>
    <row r="521" spans="1:13" s="166" customFormat="1" ht="12" customHeight="1">
      <c r="A521" s="163" t="s">
        <v>8</v>
      </c>
      <c r="B521" s="163" t="s">
        <v>727</v>
      </c>
      <c r="C521" s="164">
        <v>2140417</v>
      </c>
      <c r="D521" s="164" t="s">
        <v>1651</v>
      </c>
      <c r="E521" s="165" t="s">
        <v>6</v>
      </c>
      <c r="F521" s="165" t="s">
        <v>344</v>
      </c>
      <c r="G521" s="47">
        <f>-IF(F521="I",IFERROR(VLOOKUP(C521,'BG 2021'!A:C,3,FALSE),0),0)</f>
        <v>-2899473</v>
      </c>
      <c r="H521" s="163" t="s">
        <v>727</v>
      </c>
      <c r="I521" s="68">
        <f>-IF(F521="I",IFERROR(VLOOKUP(C521,'BG 2021'!A:D,4,FALSE),0),0)</f>
        <v>-420.98</v>
      </c>
      <c r="J521" s="40"/>
      <c r="K521" s="47">
        <f>-IF(F521="I",SUMIF('BG 2020'!B:B,Clasificaciones!C521,'BG 2020'!D:D),0)</f>
        <v>0</v>
      </c>
      <c r="L521" s="40"/>
      <c r="M521" s="68">
        <f>-IF(F521="I",SUMIF('BG 2020'!B:B,Clasificaciones!C521,'BG 2020'!E:E),0)</f>
        <v>0</v>
      </c>
    </row>
    <row r="522" spans="1:13" s="166" customFormat="1" ht="12" customHeight="1">
      <c r="A522" s="163" t="s">
        <v>8</v>
      </c>
      <c r="B522" s="163" t="s">
        <v>727</v>
      </c>
      <c r="C522" s="164">
        <v>2140418</v>
      </c>
      <c r="D522" s="164" t="s">
        <v>1419</v>
      </c>
      <c r="E522" s="165" t="s">
        <v>6</v>
      </c>
      <c r="F522" s="165" t="s">
        <v>344</v>
      </c>
      <c r="G522" s="47">
        <f>-IF(F522="I",IFERROR(VLOOKUP(C522,'BG 2021'!A:C,3,FALSE),0),0)</f>
        <v>-1599181</v>
      </c>
      <c r="H522" s="163" t="s">
        <v>727</v>
      </c>
      <c r="I522" s="68">
        <f>-IF(F522="I",IFERROR(VLOOKUP(C522,'BG 2021'!A:D,4,FALSE),0),0)</f>
        <v>-232.19</v>
      </c>
      <c r="J522" s="40"/>
      <c r="K522" s="47">
        <f>-IF(F522="I",SUMIF('BG 2020'!B:B,Clasificaciones!C522,'BG 2020'!D:D),0)</f>
        <v>0</v>
      </c>
      <c r="L522" s="40"/>
      <c r="M522" s="68">
        <f>-IF(F522="I",SUMIF('BG 2020'!B:B,Clasificaciones!C522,'BG 2020'!E:E),0)</f>
        <v>0</v>
      </c>
    </row>
    <row r="523" spans="1:13" s="166" customFormat="1" ht="12" customHeight="1">
      <c r="A523" s="163" t="s">
        <v>8</v>
      </c>
      <c r="B523" s="163" t="s">
        <v>727</v>
      </c>
      <c r="C523" s="164">
        <v>2140419</v>
      </c>
      <c r="D523" s="164" t="s">
        <v>1652</v>
      </c>
      <c r="E523" s="165" t="s">
        <v>6</v>
      </c>
      <c r="F523" s="165" t="s">
        <v>344</v>
      </c>
      <c r="G523" s="47">
        <f>-IF(F523="I",IFERROR(VLOOKUP(C523,'BG 2021'!A:C,3,FALSE),0),0)</f>
        <v>-80000000</v>
      </c>
      <c r="H523" s="163" t="s">
        <v>727</v>
      </c>
      <c r="I523" s="68">
        <f>-IF(F523="I",IFERROR(VLOOKUP(C523,'BG 2021'!A:D,4,FALSE),0),0)</f>
        <v>-11615.41</v>
      </c>
      <c r="J523" s="40"/>
      <c r="K523" s="47">
        <f>-IF(F523="I",SUMIF('BG 2020'!B:B,Clasificaciones!C523,'BG 2020'!D:D),0)</f>
        <v>0</v>
      </c>
      <c r="L523" s="40"/>
      <c r="M523" s="68">
        <f>-IF(F523="I",SUMIF('BG 2020'!B:B,Clasificaciones!C523,'BG 2020'!E:E),0)</f>
        <v>0</v>
      </c>
    </row>
    <row r="524" spans="1:13" s="166" customFormat="1" ht="12" customHeight="1">
      <c r="A524" s="163" t="s">
        <v>8</v>
      </c>
      <c r="B524" s="163" t="s">
        <v>727</v>
      </c>
      <c r="C524" s="164">
        <v>2140420</v>
      </c>
      <c r="D524" s="164" t="s">
        <v>1421</v>
      </c>
      <c r="E524" s="165" t="s">
        <v>6</v>
      </c>
      <c r="F524" s="165" t="s">
        <v>344</v>
      </c>
      <c r="G524" s="47">
        <f>-IF(F524="I",IFERROR(VLOOKUP(C524,'BG 2021'!A:C,3,FALSE),0),0)</f>
        <v>-2672862</v>
      </c>
      <c r="H524" s="163" t="s">
        <v>727</v>
      </c>
      <c r="I524" s="68">
        <f>-IF(F524="I",IFERROR(VLOOKUP(C524,'BG 2021'!A:D,4,FALSE),0),0)</f>
        <v>-388.08</v>
      </c>
      <c r="J524" s="40"/>
      <c r="K524" s="47">
        <f>-IF(F524="I",SUMIF('BG 2020'!B:B,Clasificaciones!C524,'BG 2020'!D:D),0)</f>
        <v>0</v>
      </c>
      <c r="L524" s="40"/>
      <c r="M524" s="68">
        <f>-IF(F524="I",SUMIF('BG 2020'!B:B,Clasificaciones!C524,'BG 2020'!E:E),0)</f>
        <v>0</v>
      </c>
    </row>
    <row r="525" spans="1:13" s="166" customFormat="1" ht="12" customHeight="1">
      <c r="A525" s="163" t="s">
        <v>8</v>
      </c>
      <c r="B525" s="163"/>
      <c r="C525" s="164">
        <v>218</v>
      </c>
      <c r="D525" s="164" t="s">
        <v>1161</v>
      </c>
      <c r="E525" s="165" t="s">
        <v>6</v>
      </c>
      <c r="F525" s="165" t="s">
        <v>343</v>
      </c>
      <c r="G525" s="47">
        <f>-IF(F525="I",IFERROR(VLOOKUP(C525,'BG 2021'!A:C,3,FALSE),0),0)</f>
        <v>0</v>
      </c>
      <c r="H525" s="163"/>
      <c r="I525" s="68">
        <f>-IF(F525="I",IFERROR(VLOOKUP(C525,'BG 2021'!A:D,4,FALSE),0),0)</f>
        <v>0</v>
      </c>
      <c r="J525" s="40"/>
      <c r="K525" s="47">
        <f>-IF(F525="I",SUMIF('BG 2020'!B:B,Clasificaciones!C525,'BG 2020'!D:D),0)</f>
        <v>0</v>
      </c>
      <c r="L525" s="40"/>
      <c r="M525" s="68">
        <f>-IF(F525="I",SUMIF('BG 2020'!B:B,Clasificaciones!C525,'BG 2020'!E:E),0)</f>
        <v>0</v>
      </c>
    </row>
    <row r="526" spans="1:13" s="166" customFormat="1" ht="12" customHeight="1">
      <c r="A526" s="163" t="s">
        <v>8</v>
      </c>
      <c r="B526" s="163"/>
      <c r="C526" s="164">
        <v>2181</v>
      </c>
      <c r="D526" s="164" t="s">
        <v>1162</v>
      </c>
      <c r="E526" s="165" t="s">
        <v>6</v>
      </c>
      <c r="F526" s="165" t="s">
        <v>343</v>
      </c>
      <c r="G526" s="47">
        <f>-IF(F526="I",IFERROR(VLOOKUP(C526,'BG 2021'!A:C,3,FALSE),0),0)</f>
        <v>0</v>
      </c>
      <c r="H526" s="163"/>
      <c r="I526" s="68">
        <f>-IF(F526="I",IFERROR(VLOOKUP(C526,'BG 2021'!A:D,4,FALSE),0),0)</f>
        <v>0</v>
      </c>
      <c r="J526" s="40"/>
      <c r="K526" s="47">
        <f>-IF(F526="I",SUMIF('BG 2020'!B:B,Clasificaciones!C526,'BG 2020'!D:D),0)</f>
        <v>0</v>
      </c>
      <c r="L526" s="40"/>
      <c r="M526" s="68">
        <f>-IF(F526="I",SUMIF('BG 2020'!B:B,Clasificaciones!C526,'BG 2020'!E:E),0)</f>
        <v>0</v>
      </c>
    </row>
    <row r="527" spans="1:13" s="166" customFormat="1" ht="12" customHeight="1">
      <c r="A527" s="163" t="s">
        <v>8</v>
      </c>
      <c r="B527" s="163"/>
      <c r="C527" s="164">
        <v>218101</v>
      </c>
      <c r="D527" s="164" t="s">
        <v>1163</v>
      </c>
      <c r="E527" s="165" t="s">
        <v>6</v>
      </c>
      <c r="F527" s="165" t="s">
        <v>343</v>
      </c>
      <c r="G527" s="47">
        <f>-IF(F527="I",IFERROR(VLOOKUP(C527,'BG 2021'!A:C,3,FALSE),0),0)</f>
        <v>0</v>
      </c>
      <c r="H527" s="163"/>
      <c r="I527" s="68">
        <f>-IF(F527="I",IFERROR(VLOOKUP(C527,'BG 2021'!A:D,4,FALSE),0),0)</f>
        <v>0</v>
      </c>
      <c r="J527" s="40"/>
      <c r="K527" s="47">
        <f>-IF(F527="I",SUMIF('BG 2020'!B:B,Clasificaciones!C527,'BG 2020'!D:D),0)</f>
        <v>0</v>
      </c>
      <c r="L527" s="40"/>
      <c r="M527" s="68">
        <f>-IF(F527="I",SUMIF('BG 2020'!B:B,Clasificaciones!C527,'BG 2020'!E:E),0)</f>
        <v>0</v>
      </c>
    </row>
    <row r="528" spans="1:13" s="166" customFormat="1" ht="12" customHeight="1">
      <c r="A528" s="163" t="s">
        <v>8</v>
      </c>
      <c r="B528" s="163"/>
      <c r="C528" s="164">
        <v>21810101</v>
      </c>
      <c r="D528" s="164" t="s">
        <v>1164</v>
      </c>
      <c r="E528" s="165" t="s">
        <v>6</v>
      </c>
      <c r="F528" s="165" t="s">
        <v>344</v>
      </c>
      <c r="G528" s="47">
        <f>-IF(F528="I",IFERROR(VLOOKUP(C528,'BG 2021'!A:C,3,FALSE),0),0)</f>
        <v>0</v>
      </c>
      <c r="H528" s="163"/>
      <c r="I528" s="68">
        <f>-IF(F528="I",IFERROR(VLOOKUP(C528,'BG 2021'!A:D,4,FALSE),0),0)</f>
        <v>0</v>
      </c>
      <c r="J528" s="40"/>
      <c r="K528" s="47">
        <f>-IF(F528="I",SUMIF('BG 2020'!B:B,Clasificaciones!C528,'BG 2020'!D:D),0)</f>
        <v>0</v>
      </c>
      <c r="L528" s="40"/>
      <c r="M528" s="68">
        <f>-IF(F528="I",SUMIF('BG 2020'!B:B,Clasificaciones!C528,'BG 2020'!E:E),0)</f>
        <v>0</v>
      </c>
    </row>
    <row r="529" spans="1:13" s="166" customFormat="1" ht="12" customHeight="1">
      <c r="A529" s="163" t="s">
        <v>8</v>
      </c>
      <c r="B529" s="163"/>
      <c r="C529" s="164">
        <v>21810102</v>
      </c>
      <c r="D529" s="164" t="s">
        <v>1165</v>
      </c>
      <c r="E529" s="165" t="s">
        <v>6</v>
      </c>
      <c r="F529" s="165" t="s">
        <v>344</v>
      </c>
      <c r="G529" s="47">
        <f>-IF(F529="I",IFERROR(VLOOKUP(C529,'BG 2021'!A:C,3,FALSE),0),0)</f>
        <v>0</v>
      </c>
      <c r="H529" s="163"/>
      <c r="I529" s="68">
        <f>-IF(F529="I",IFERROR(VLOOKUP(C529,'BG 2021'!A:D,4,FALSE),0),0)</f>
        <v>0</v>
      </c>
      <c r="J529" s="40"/>
      <c r="K529" s="47">
        <f>-IF(F529="I",SUMIF('BG 2020'!B:B,Clasificaciones!C529,'BG 2020'!D:D),0)</f>
        <v>0</v>
      </c>
      <c r="L529" s="40"/>
      <c r="M529" s="68">
        <f>-IF(F529="I",SUMIF('BG 2020'!B:B,Clasificaciones!C529,'BG 2020'!E:E),0)</f>
        <v>0</v>
      </c>
    </row>
    <row r="530" spans="1:13" s="166" customFormat="1" ht="12" customHeight="1">
      <c r="A530" s="163" t="s">
        <v>8</v>
      </c>
      <c r="B530" s="163"/>
      <c r="C530" s="164">
        <v>21810103</v>
      </c>
      <c r="D530" s="164" t="s">
        <v>181</v>
      </c>
      <c r="E530" s="165" t="s">
        <v>6</v>
      </c>
      <c r="F530" s="165" t="s">
        <v>344</v>
      </c>
      <c r="G530" s="47">
        <f>-IF(F530="I",IFERROR(VLOOKUP(C530,'BG 2021'!A:C,3,FALSE),0),0)</f>
        <v>0</v>
      </c>
      <c r="H530" s="163"/>
      <c r="I530" s="68">
        <f>-IF(F530="I",IFERROR(VLOOKUP(C530,'BG 2021'!A:D,4,FALSE),0),0)</f>
        <v>0</v>
      </c>
      <c r="J530" s="40"/>
      <c r="K530" s="47">
        <f>-IF(F530="I",SUMIF('BG 2020'!B:B,Clasificaciones!C530,'BG 2020'!D:D),0)</f>
        <v>0</v>
      </c>
      <c r="L530" s="40"/>
      <c r="M530" s="68">
        <f>-IF(F530="I",SUMIF('BG 2020'!B:B,Clasificaciones!C530,'BG 2020'!E:E),0)</f>
        <v>0</v>
      </c>
    </row>
    <row r="531" spans="1:13" s="166" customFormat="1" ht="12" customHeight="1">
      <c r="A531" s="163" t="s">
        <v>21</v>
      </c>
      <c r="B531" s="163"/>
      <c r="C531" s="164">
        <v>3</v>
      </c>
      <c r="D531" s="164" t="s">
        <v>23</v>
      </c>
      <c r="E531" s="165" t="s">
        <v>6</v>
      </c>
      <c r="F531" s="165" t="s">
        <v>343</v>
      </c>
      <c r="G531" s="47">
        <f>-IF(F531="I",IFERROR(VLOOKUP(C531,'BG 2021'!A:C,3,FALSE),0),0)</f>
        <v>0</v>
      </c>
      <c r="H531" s="163"/>
      <c r="I531" s="68">
        <f>-IF(F531="I",IFERROR(VLOOKUP(C531,'BG 2021'!A:D,4,FALSE),0),0)</f>
        <v>0</v>
      </c>
      <c r="J531" s="40"/>
      <c r="K531" s="47">
        <f>-IF(F531="I",SUMIF('BG 2020'!B:B,Clasificaciones!C531,'BG 2020'!D:D),0)</f>
        <v>0</v>
      </c>
      <c r="L531" s="40"/>
      <c r="M531" s="68">
        <f>-IF(F531="I",SUMIF('BG 2020'!B:B,Clasificaciones!C531,'BG 2020'!E:E),0)</f>
        <v>0</v>
      </c>
    </row>
    <row r="532" spans="1:13" s="166" customFormat="1" ht="12" customHeight="1">
      <c r="A532" s="163" t="s">
        <v>21</v>
      </c>
      <c r="B532" s="163"/>
      <c r="C532" s="164">
        <v>310</v>
      </c>
      <c r="D532" s="164" t="s">
        <v>183</v>
      </c>
      <c r="E532" s="165" t="s">
        <v>6</v>
      </c>
      <c r="F532" s="165" t="s">
        <v>343</v>
      </c>
      <c r="G532" s="47">
        <f>-IF(F532="I",IFERROR(VLOOKUP(C532,'BG 2021'!A:C,3,FALSE),0),0)</f>
        <v>0</v>
      </c>
      <c r="H532" s="163"/>
      <c r="I532" s="68">
        <f>-IF(F532="I",IFERROR(VLOOKUP(C532,'BG 2021'!A:D,4,FALSE),0),0)</f>
        <v>0</v>
      </c>
      <c r="J532" s="40"/>
      <c r="K532" s="47">
        <f>-IF(F532="I",SUMIF('BG 2020'!B:B,Clasificaciones!C532,'BG 2020'!D:D),0)</f>
        <v>0</v>
      </c>
      <c r="L532" s="40"/>
      <c r="M532" s="68">
        <f>-IF(F532="I",SUMIF('BG 2020'!B:B,Clasificaciones!C532,'BG 2020'!E:E),0)</f>
        <v>0</v>
      </c>
    </row>
    <row r="533" spans="1:13" s="166" customFormat="1" ht="12" customHeight="1">
      <c r="A533" s="163" t="s">
        <v>21</v>
      </c>
      <c r="B533" s="163"/>
      <c r="C533" s="164">
        <v>310101</v>
      </c>
      <c r="D533" s="164" t="s">
        <v>557</v>
      </c>
      <c r="E533" s="165" t="s">
        <v>6</v>
      </c>
      <c r="F533" s="165" t="s">
        <v>343</v>
      </c>
      <c r="G533" s="47">
        <f>-IF(F533="I",IFERROR(VLOOKUP(C533,'BG 2021'!A:C,3,FALSE),0),0)</f>
        <v>0</v>
      </c>
      <c r="H533" s="163"/>
      <c r="I533" s="68">
        <f>-IF(F533="I",IFERROR(VLOOKUP(C533,'BG 2021'!A:D,4,FALSE),0),0)</f>
        <v>0</v>
      </c>
      <c r="J533" s="40"/>
      <c r="K533" s="47">
        <f>-IF(F533="I",SUMIF('BG 2020'!B:B,Clasificaciones!C533,'BG 2020'!D:D),0)</f>
        <v>0</v>
      </c>
      <c r="L533" s="40"/>
      <c r="M533" s="68">
        <f>-IF(F533="I",SUMIF('BG 2020'!B:B,Clasificaciones!C533,'BG 2020'!E:E),0)</f>
        <v>0</v>
      </c>
    </row>
    <row r="534" spans="1:13" s="166" customFormat="1" ht="12" customHeight="1">
      <c r="A534" s="163" t="s">
        <v>21</v>
      </c>
      <c r="B534" s="163"/>
      <c r="C534" s="164">
        <v>31010101</v>
      </c>
      <c r="D534" s="164" t="s">
        <v>580</v>
      </c>
      <c r="E534" s="165" t="s">
        <v>6</v>
      </c>
      <c r="F534" s="165" t="s">
        <v>344</v>
      </c>
      <c r="G534" s="47">
        <f>-IF(F534="I",IFERROR(VLOOKUP(C534,'BG 2021'!A:C,3,FALSE),0),0)</f>
        <v>-30000000000</v>
      </c>
      <c r="H534" s="163"/>
      <c r="I534" s="68">
        <f>-IF(F534="I",IFERROR(VLOOKUP(C534,'BG 2021'!A:D,4,FALSE),0),0)</f>
        <v>-4694965.97</v>
      </c>
      <c r="J534" s="40"/>
      <c r="K534" s="47">
        <f>-IF(F534="I",SUMIF('BG 2020'!B:B,Clasificaciones!C534,'BG 2020'!D:D),0)</f>
        <v>-15000000000</v>
      </c>
      <c r="L534" s="40"/>
      <c r="M534" s="68">
        <f>-IF(F534="I",SUMIF('BG 2020'!B:B,Clasificaciones!C534,'BG 2020'!E:E),0)</f>
        <v>-2391027.31</v>
      </c>
    </row>
    <row r="535" spans="1:13" s="166" customFormat="1" ht="12" customHeight="1">
      <c r="A535" s="163" t="s">
        <v>21</v>
      </c>
      <c r="B535" s="163"/>
      <c r="C535" s="164">
        <v>31010102</v>
      </c>
      <c r="D535" s="164" t="s">
        <v>583</v>
      </c>
      <c r="E535" s="165" t="s">
        <v>6</v>
      </c>
      <c r="F535" s="165" t="s">
        <v>344</v>
      </c>
      <c r="G535" s="47">
        <f>-IF(F535="I",IFERROR(VLOOKUP(C535,'BG 2021'!A:C,3,FALSE),0),0)</f>
        <v>5000000000</v>
      </c>
      <c r="H535" s="163"/>
      <c r="I535" s="68">
        <f>-IF(F535="I",IFERROR(VLOOKUP(C535,'BG 2021'!A:D,4,FALSE),0),0)</f>
        <v>873810.64000000013</v>
      </c>
      <c r="J535" s="40"/>
      <c r="K535" s="47">
        <f>-IF(F535="I",SUMIF('BG 2020'!B:B,Clasificaciones!C535,'BG 2020'!D:D),0)</f>
        <v>5000000000</v>
      </c>
      <c r="L535" s="40"/>
      <c r="M535" s="68">
        <f>-IF(F535="I",SUMIF('BG 2020'!B:B,Clasificaciones!C535,'BG 2020'!E:E),0)</f>
        <v>794577.31</v>
      </c>
    </row>
    <row r="536" spans="1:13" s="166" customFormat="1" ht="12" customHeight="1">
      <c r="A536" s="163" t="s">
        <v>21</v>
      </c>
      <c r="B536" s="163"/>
      <c r="C536" s="164">
        <v>310102</v>
      </c>
      <c r="D536" s="164" t="s">
        <v>311</v>
      </c>
      <c r="E536" s="165" t="s">
        <v>6</v>
      </c>
      <c r="F536" s="165" t="s">
        <v>343</v>
      </c>
      <c r="G536" s="47">
        <f>-IF(F536="I",IFERROR(VLOOKUP(C536,'BG 2021'!A:C,3,FALSE),0),0)</f>
        <v>0</v>
      </c>
      <c r="H536" s="163"/>
      <c r="I536" s="68">
        <f>-IF(F536="I",IFERROR(VLOOKUP(C536,'BG 2021'!A:D,4,FALSE),0),0)</f>
        <v>0</v>
      </c>
      <c r="J536" s="40"/>
      <c r="K536" s="47">
        <f>-IF(F536="I",SUMIF('BG 2020'!B:B,Clasificaciones!C536,'BG 2020'!D:D),0)</f>
        <v>0</v>
      </c>
      <c r="L536" s="40"/>
      <c r="M536" s="68">
        <f>-IF(F536="I",SUMIF('BG 2020'!B:B,Clasificaciones!C536,'BG 2020'!E:E),0)</f>
        <v>0</v>
      </c>
    </row>
    <row r="537" spans="1:13" s="166" customFormat="1" ht="12" customHeight="1">
      <c r="A537" s="163" t="s">
        <v>21</v>
      </c>
      <c r="B537" s="163"/>
      <c r="C537" s="164">
        <v>31010201</v>
      </c>
      <c r="D537" s="164" t="s">
        <v>507</v>
      </c>
      <c r="E537" s="165" t="s">
        <v>6</v>
      </c>
      <c r="F537" s="165" t="s">
        <v>344</v>
      </c>
      <c r="G537" s="47">
        <f>-IF(F537="I",IFERROR(VLOOKUP(C537,'BG 2021'!A:C,3,FALSE),0),0)</f>
        <v>-2560000000</v>
      </c>
      <c r="H537" s="163"/>
      <c r="I537" s="68">
        <f>-IF(F537="I",IFERROR(VLOOKUP(C537,'BG 2021'!A:D,4,FALSE),0),0)</f>
        <v>-301673.93</v>
      </c>
      <c r="J537" s="40"/>
      <c r="K537" s="47">
        <f>-IF(F537="I",SUMIF('BG 2020'!B:B,Clasificaciones!C537,'BG 2020'!D:D),0)</f>
        <v>-615000000</v>
      </c>
      <c r="L537" s="40"/>
      <c r="M537" s="68">
        <f>-IF(F537="I",SUMIF('BG 2020'!B:B,Clasificaciones!C537,'BG 2020'!E:E),0)</f>
        <v>-45103.94</v>
      </c>
    </row>
    <row r="538" spans="1:13" s="166" customFormat="1" ht="12" customHeight="1">
      <c r="A538" s="163" t="s">
        <v>21</v>
      </c>
      <c r="B538" s="163"/>
      <c r="C538" s="164">
        <v>31010202</v>
      </c>
      <c r="D538" s="164" t="s">
        <v>584</v>
      </c>
      <c r="E538" s="165" t="s">
        <v>6</v>
      </c>
      <c r="F538" s="165" t="s">
        <v>344</v>
      </c>
      <c r="G538" s="47">
        <f>-IF(F538="I",IFERROR(VLOOKUP(C538,'BG 2021'!A:C,3,FALSE),0),0)</f>
        <v>-150000000</v>
      </c>
      <c r="H538" s="163"/>
      <c r="I538" s="68">
        <f>-IF(F538="I",IFERROR(VLOOKUP(C538,'BG 2021'!A:D,4,FALSE),0),0)</f>
        <v>-21645.82</v>
      </c>
      <c r="J538" s="40"/>
      <c r="K538" s="47">
        <f>-IF(F538="I",SUMIF('BG 2020'!B:B,Clasificaciones!C538,'BG 2020'!D:D),0)</f>
        <v>-101000000</v>
      </c>
      <c r="L538" s="40"/>
      <c r="M538" s="68">
        <f>-IF(F538="I",SUMIF('BG 2020'!B:B,Clasificaciones!C538,'BG 2020'!E:E),0)</f>
        <v>-14471.24</v>
      </c>
    </row>
    <row r="539" spans="1:13" s="166" customFormat="1" ht="12" customHeight="1">
      <c r="A539" s="163" t="s">
        <v>21</v>
      </c>
      <c r="B539" s="163"/>
      <c r="C539" s="164">
        <v>315</v>
      </c>
      <c r="D539" s="164" t="s">
        <v>12</v>
      </c>
      <c r="E539" s="165" t="s">
        <v>6</v>
      </c>
      <c r="F539" s="165" t="s">
        <v>343</v>
      </c>
      <c r="G539" s="47">
        <f>-IF(F539="I",IFERROR(VLOOKUP(C539,'BG 2021'!A:C,3,FALSE),0),0)</f>
        <v>0</v>
      </c>
      <c r="H539" s="163"/>
      <c r="I539" s="68">
        <f>-IF(F539="I",IFERROR(VLOOKUP(C539,'BG 2021'!A:D,4,FALSE),0),0)</f>
        <v>0</v>
      </c>
      <c r="J539" s="40"/>
      <c r="K539" s="47">
        <f>-IF(F539="I",SUMIF('BG 2020'!B:B,Clasificaciones!C539,'BG 2020'!D:D),0)</f>
        <v>0</v>
      </c>
      <c r="L539" s="40"/>
      <c r="M539" s="68">
        <f>-IF(F539="I",SUMIF('BG 2020'!B:B,Clasificaciones!C539,'BG 2020'!E:E),0)</f>
        <v>0</v>
      </c>
    </row>
    <row r="540" spans="1:13" s="166" customFormat="1" ht="12" customHeight="1">
      <c r="A540" s="163" t="s">
        <v>21</v>
      </c>
      <c r="B540" s="163"/>
      <c r="C540" s="164">
        <v>31501</v>
      </c>
      <c r="D540" s="164" t="s">
        <v>185</v>
      </c>
      <c r="E540" s="165" t="s">
        <v>6</v>
      </c>
      <c r="F540" s="165" t="s">
        <v>344</v>
      </c>
      <c r="G540" s="47">
        <f>-IF(F540="I",IFERROR(VLOOKUP(C540,'BG 2021'!A:C,3,FALSE),0),0)</f>
        <v>-135603954</v>
      </c>
      <c r="H540" s="163"/>
      <c r="I540" s="68">
        <f>-IF(F540="I",IFERROR(VLOOKUP(C540,'BG 2021'!A:D,4,FALSE),0),0)</f>
        <v>-15821.6</v>
      </c>
      <c r="J540" s="40"/>
      <c r="K540" s="47">
        <f>-IF(F540="I",SUMIF('BG 2020'!B:B,Clasificaciones!C540,'BG 2020'!D:D),0)</f>
        <v>-32519922</v>
      </c>
      <c r="L540" s="40"/>
      <c r="M540" s="68">
        <f>-IF(F540="I",SUMIF('BG 2020'!B:B,Clasificaciones!C540,'BG 2020'!E:E),0)</f>
        <v>-2386.94</v>
      </c>
    </row>
    <row r="541" spans="1:13" s="166" customFormat="1" ht="12" customHeight="1">
      <c r="A541" s="163" t="s">
        <v>21</v>
      </c>
      <c r="B541" s="163"/>
      <c r="C541" s="164">
        <v>31502</v>
      </c>
      <c r="D541" s="164" t="s">
        <v>186</v>
      </c>
      <c r="E541" s="165" t="s">
        <v>6</v>
      </c>
      <c r="F541" s="165" t="s">
        <v>344</v>
      </c>
      <c r="G541" s="47">
        <f>-IF(F541="I",IFERROR(VLOOKUP(C541,'BG 2021'!A:C,3,FALSE),0),0)</f>
        <v>0</v>
      </c>
      <c r="H541" s="163"/>
      <c r="I541" s="68">
        <f>-IF(F541="I",IFERROR(VLOOKUP(C541,'BG 2021'!A:D,4,FALSE),0),0)</f>
        <v>0</v>
      </c>
      <c r="J541" s="40"/>
      <c r="K541" s="47">
        <f>-IF(F541="I",SUMIF('BG 2020'!B:B,Clasificaciones!C541,'BG 2020'!D:D),0)</f>
        <v>0</v>
      </c>
      <c r="L541" s="40"/>
      <c r="M541" s="68">
        <f>-IF(F541="I",SUMIF('BG 2020'!B:B,Clasificaciones!C541,'BG 2020'!E:E),0)</f>
        <v>0</v>
      </c>
    </row>
    <row r="542" spans="1:13" s="166" customFormat="1" ht="12" customHeight="1">
      <c r="A542" s="163" t="s">
        <v>21</v>
      </c>
      <c r="B542" s="163"/>
      <c r="C542" s="164">
        <v>31503</v>
      </c>
      <c r="D542" s="164" t="s">
        <v>508</v>
      </c>
      <c r="E542" s="165" t="s">
        <v>6</v>
      </c>
      <c r="F542" s="165" t="s">
        <v>344</v>
      </c>
      <c r="G542" s="47">
        <f>-IF(F542="I",IFERROR(VLOOKUP(C542,'BG 2021'!A:C,3,FALSE),0),0)</f>
        <v>-305172</v>
      </c>
      <c r="H542" s="163"/>
      <c r="I542" s="68">
        <f>-IF(F542="I",IFERROR(VLOOKUP(C542,'BG 2021'!A:D,4,FALSE),0),0)</f>
        <v>-39.78</v>
      </c>
      <c r="J542" s="40"/>
      <c r="K542" s="47">
        <f>-IF(F542="I",SUMIF('BG 2020'!B:B,Clasificaciones!C542,'BG 2020'!D:D),0)</f>
        <v>-2818523</v>
      </c>
      <c r="L542" s="40"/>
      <c r="M542" s="68">
        <f>-IF(F542="I",SUMIF('BG 2020'!B:B,Clasificaciones!C542,'BG 2020'!E:E),0)</f>
        <v>-207.9</v>
      </c>
    </row>
    <row r="543" spans="1:13" s="166" customFormat="1" ht="12" customHeight="1">
      <c r="A543" s="163" t="s">
        <v>21</v>
      </c>
      <c r="B543" s="163"/>
      <c r="C543" s="164">
        <v>316</v>
      </c>
      <c r="D543" s="164" t="s">
        <v>132</v>
      </c>
      <c r="E543" s="165" t="s">
        <v>6</v>
      </c>
      <c r="F543" s="165" t="s">
        <v>343</v>
      </c>
      <c r="G543" s="47">
        <f>-IF(F543="I",IFERROR(VLOOKUP(C543,'BG 2021'!A:C,3,FALSE),0),0)</f>
        <v>0</v>
      </c>
      <c r="H543" s="163"/>
      <c r="I543" s="68">
        <f>-IF(F543="I",IFERROR(VLOOKUP(C543,'BG 2021'!A:D,4,FALSE),0),0)</f>
        <v>0</v>
      </c>
      <c r="J543" s="40"/>
      <c r="K543" s="47">
        <f>-IF(F543="I",SUMIF('BG 2020'!B:B,Clasificaciones!C543,'BG 2020'!D:D),0)</f>
        <v>0</v>
      </c>
      <c r="L543" s="40"/>
      <c r="M543" s="68">
        <f>-IF(F543="I",SUMIF('BG 2020'!B:B,Clasificaciones!C543,'BG 2020'!E:E),0)</f>
        <v>0</v>
      </c>
    </row>
    <row r="544" spans="1:13" s="166" customFormat="1" ht="12" customHeight="1">
      <c r="A544" s="163" t="s">
        <v>21</v>
      </c>
      <c r="B544" s="163"/>
      <c r="C544" s="164">
        <v>31601</v>
      </c>
      <c r="D544" s="164" t="s">
        <v>188</v>
      </c>
      <c r="E544" s="165" t="s">
        <v>6</v>
      </c>
      <c r="F544" s="165" t="s">
        <v>344</v>
      </c>
      <c r="G544" s="47">
        <f>-IF(F544="I",IFERROR(VLOOKUP(C544,'BG 2021'!A:C,3,FALSE),0),0)</f>
        <v>0</v>
      </c>
      <c r="H544" s="163"/>
      <c r="I544" s="68">
        <f>-IF(F544="I",IFERROR(VLOOKUP(C544,'BG 2021'!A:D,4,FALSE),0),0)</f>
        <v>0</v>
      </c>
      <c r="J544" s="40"/>
      <c r="K544" s="47">
        <f>-IF(F544="I",SUMIF('BG 2020'!B:B,Clasificaciones!C544,'BG 2020'!D:D),0)</f>
        <v>16109965</v>
      </c>
      <c r="L544" s="40"/>
      <c r="M544" s="68">
        <f>-IF(F544="I",SUMIF('BG 2020'!B:B,Clasificaciones!C544,'BG 2020'!E:E),0)</f>
        <v>3133.2180000000008</v>
      </c>
    </row>
    <row r="545" spans="1:13" s="166" customFormat="1" ht="12" customHeight="1">
      <c r="A545" s="163" t="s">
        <v>21</v>
      </c>
      <c r="B545" s="163"/>
      <c r="C545" s="164">
        <v>31602</v>
      </c>
      <c r="D545" s="164" t="s">
        <v>189</v>
      </c>
      <c r="E545" s="165" t="s">
        <v>6</v>
      </c>
      <c r="F545" s="165" t="s">
        <v>344</v>
      </c>
      <c r="G545" s="47">
        <f>-IF(F545="I",IFERROR(VLOOKUP(C545,'BG 2021'!A:C,3,FALSE),0),0)</f>
        <v>-2497475898</v>
      </c>
      <c r="H545" s="163"/>
      <c r="I545" s="68">
        <f>-IF(F545="I",IFERROR(VLOOKUP(C545,'BG 2021'!A:D,4,FALSE),0),0)</f>
        <v>-333468.22080000001</v>
      </c>
      <c r="J545" s="40"/>
      <c r="K545" s="47">
        <f>-IF(F545="I",SUMIF('BG 2020'!B:B,Clasificaciones!C545,'BG 2020'!D:D),0)</f>
        <v>-2061680646</v>
      </c>
      <c r="L545" s="40"/>
      <c r="M545" s="68">
        <f>-IF(F545="I",SUMIF('BG 2020'!B:B,Clasificaciones!C545,'BG 2020'!E:E),0)</f>
        <v>-272969.75</v>
      </c>
    </row>
    <row r="546" spans="1:13" s="166" customFormat="1" ht="12" customHeight="1">
      <c r="A546" s="163" t="s">
        <v>190</v>
      </c>
      <c r="B546" s="163"/>
      <c r="C546" s="164">
        <v>4</v>
      </c>
      <c r="D546" s="164" t="s">
        <v>190</v>
      </c>
      <c r="E546" s="165" t="s">
        <v>6</v>
      </c>
      <c r="F546" s="165" t="s">
        <v>343</v>
      </c>
      <c r="G546" s="47">
        <f>-IF(F546="I",IFERROR(VLOOKUP(C546,'BG 2021'!A:C,3,FALSE),0),0)</f>
        <v>0</v>
      </c>
      <c r="H546" s="163"/>
      <c r="I546" s="68">
        <f>-IF(F546="I",IFERROR(VLOOKUP(C546,'BG 2021'!A:D,4,FALSE),0),0)</f>
        <v>0</v>
      </c>
      <c r="J546" s="40"/>
      <c r="K546" s="47">
        <f>-IF(F546="I",SUMIF('BG 2020'!B:B,Clasificaciones!C546,'BG 2020'!D:D),0)</f>
        <v>0</v>
      </c>
      <c r="L546" s="40"/>
      <c r="M546" s="68">
        <f>-IF(F546="I",SUMIF('BG 2020'!B:B,Clasificaciones!C546,'BG 2020'!E:E),0)</f>
        <v>0</v>
      </c>
    </row>
    <row r="547" spans="1:13" s="166" customFormat="1" ht="12" customHeight="1">
      <c r="A547" s="163" t="s">
        <v>190</v>
      </c>
      <c r="B547" s="163"/>
      <c r="C547" s="164">
        <v>401</v>
      </c>
      <c r="D547" s="164" t="s">
        <v>870</v>
      </c>
      <c r="E547" s="165" t="s">
        <v>6</v>
      </c>
      <c r="F547" s="165" t="s">
        <v>343</v>
      </c>
      <c r="G547" s="47">
        <f>-IF(F547="I",IFERROR(VLOOKUP(C547,'BG 2021'!A:C,3,FALSE),0),0)</f>
        <v>0</v>
      </c>
      <c r="H547" s="163"/>
      <c r="I547" s="68">
        <f>-IF(F547="I",IFERROR(VLOOKUP(C547,'BG 2021'!A:D,4,FALSE),0),0)</f>
        <v>0</v>
      </c>
      <c r="J547" s="40"/>
      <c r="K547" s="47">
        <f>-IF(F547="I",SUMIF('BG 2020'!B:B,Clasificaciones!C547,'BG 2020'!D:D),0)</f>
        <v>0</v>
      </c>
      <c r="L547" s="40"/>
      <c r="M547" s="68">
        <f>-IF(F547="I",SUMIF('BG 2020'!B:B,Clasificaciones!C547,'BG 2020'!E:E),0)</f>
        <v>0</v>
      </c>
    </row>
    <row r="548" spans="1:13" s="166" customFormat="1" ht="12" customHeight="1">
      <c r="A548" s="163" t="s">
        <v>190</v>
      </c>
      <c r="B548" s="163"/>
      <c r="C548" s="164">
        <v>40101</v>
      </c>
      <c r="D548" s="164" t="s">
        <v>111</v>
      </c>
      <c r="E548" s="165" t="s">
        <v>6</v>
      </c>
      <c r="F548" s="165" t="s">
        <v>343</v>
      </c>
      <c r="G548" s="47">
        <f>-IF(F548="I",IFERROR(VLOOKUP(C548,'BG 2021'!A:C,3,FALSE),0),0)</f>
        <v>0</v>
      </c>
      <c r="H548" s="163"/>
      <c r="I548" s="68">
        <f>-IF(F548="I",IFERROR(VLOOKUP(C548,'BG 2021'!A:D,4,FALSE),0),0)</f>
        <v>0</v>
      </c>
      <c r="J548" s="40"/>
      <c r="K548" s="47">
        <f>-IF(F548="I",SUMIF('BG 2020'!B:B,Clasificaciones!C548,'BG 2020'!D:D),0)</f>
        <v>0</v>
      </c>
      <c r="L548" s="40"/>
      <c r="M548" s="68">
        <f>-IF(F548="I",SUMIF('BG 2020'!B:B,Clasificaciones!C548,'BG 2020'!E:E),0)</f>
        <v>0</v>
      </c>
    </row>
    <row r="549" spans="1:13" s="166" customFormat="1" ht="12" customHeight="1">
      <c r="A549" s="163" t="s">
        <v>190</v>
      </c>
      <c r="B549" s="163"/>
      <c r="C549" s="164">
        <v>4010101</v>
      </c>
      <c r="D549" s="164" t="s">
        <v>871</v>
      </c>
      <c r="E549" s="165" t="s">
        <v>6</v>
      </c>
      <c r="F549" s="165" t="s">
        <v>343</v>
      </c>
      <c r="G549" s="47">
        <f>-IF(F549="I",IFERROR(VLOOKUP(C549,'BG 2021'!A:C,3,FALSE),0),0)</f>
        <v>0</v>
      </c>
      <c r="H549" s="163"/>
      <c r="I549" s="68">
        <f>-IF(F549="I",IFERROR(VLOOKUP(C549,'BG 2021'!A:D,4,FALSE),0),0)</f>
        <v>0</v>
      </c>
      <c r="J549" s="40"/>
      <c r="K549" s="47">
        <f>-IF(F549="I",SUMIF('BG 2020'!B:B,Clasificaciones!C549,'BG 2020'!D:D),0)</f>
        <v>0</v>
      </c>
      <c r="L549" s="40"/>
      <c r="M549" s="68">
        <f>-IF(F549="I",SUMIF('BG 2020'!B:B,Clasificaciones!C549,'BG 2020'!E:E),0)</f>
        <v>0</v>
      </c>
    </row>
    <row r="550" spans="1:13" s="166" customFormat="1" ht="12" customHeight="1">
      <c r="A550" s="163" t="s">
        <v>190</v>
      </c>
      <c r="B550" s="163" t="s">
        <v>116</v>
      </c>
      <c r="C550" s="164">
        <v>401010101</v>
      </c>
      <c r="D550" s="164" t="s">
        <v>872</v>
      </c>
      <c r="E550" s="165" t="s">
        <v>6</v>
      </c>
      <c r="F550" s="165" t="s">
        <v>344</v>
      </c>
      <c r="G550" s="47">
        <f>-IF(F550="I",IFERROR(VLOOKUP(C550,'BG 2021'!A:C,3,FALSE),0),0)</f>
        <v>-47672139</v>
      </c>
      <c r="H550" s="163" t="s">
        <v>116</v>
      </c>
      <c r="I550" s="68">
        <f>-IF(F550="I",IFERROR(VLOOKUP(C550,'BG 2021'!A:D,4,FALSE),0),0)</f>
        <v>-7075.28</v>
      </c>
      <c r="J550" s="40"/>
      <c r="K550" s="47">
        <f>-IF(F550="I",SUMIF('BG 2020'!B:B,Clasificaciones!C550,'BG 2020'!D:D),0)</f>
        <v>-400000</v>
      </c>
      <c r="L550" s="40"/>
      <c r="M550" s="68">
        <f>-IF(F550="I",SUMIF('BG 2020'!B:B,Clasificaciones!C550,'BG 2020'!E:E),0)</f>
        <v>-59.67</v>
      </c>
    </row>
    <row r="551" spans="1:13" s="166" customFormat="1" ht="12" customHeight="1">
      <c r="A551" s="163" t="s">
        <v>190</v>
      </c>
      <c r="B551" s="163"/>
      <c r="C551" s="164">
        <v>401010102</v>
      </c>
      <c r="D551" s="164" t="s">
        <v>1166</v>
      </c>
      <c r="E551" s="165" t="s">
        <v>229</v>
      </c>
      <c r="F551" s="165" t="s">
        <v>344</v>
      </c>
      <c r="G551" s="47">
        <f>-IF(F551="I",IFERROR(VLOOKUP(C551,'BG 2021'!A:C,3,FALSE),0),0)</f>
        <v>0</v>
      </c>
      <c r="H551" s="163"/>
      <c r="I551" s="68">
        <f>-IF(F551="I",IFERROR(VLOOKUP(C551,'BG 2021'!A:D,4,FALSE),0),0)</f>
        <v>0</v>
      </c>
      <c r="J551" s="40"/>
      <c r="K551" s="47">
        <f>-IF(F551="I",SUMIF('BG 2020'!B:B,Clasificaciones!C551,'BG 2020'!D:D),0)</f>
        <v>0</v>
      </c>
      <c r="L551" s="40"/>
      <c r="M551" s="68">
        <f>-IF(F551="I",SUMIF('BG 2020'!B:B,Clasificaciones!C551,'BG 2020'!E:E),0)</f>
        <v>0</v>
      </c>
    </row>
    <row r="552" spans="1:13" s="166" customFormat="1" ht="12" customHeight="1">
      <c r="A552" s="163" t="s">
        <v>190</v>
      </c>
      <c r="B552" s="163"/>
      <c r="C552" s="164">
        <v>4010102</v>
      </c>
      <c r="D552" s="164" t="s">
        <v>873</v>
      </c>
      <c r="E552" s="165" t="s">
        <v>6</v>
      </c>
      <c r="F552" s="165" t="s">
        <v>343</v>
      </c>
      <c r="G552" s="47">
        <f>-IF(F552="I",IFERROR(VLOOKUP(C552,'BG 2021'!A:C,3,FALSE),0),0)</f>
        <v>0</v>
      </c>
      <c r="H552" s="163"/>
      <c r="I552" s="68">
        <f>-IF(F552="I",IFERROR(VLOOKUP(C552,'BG 2021'!A:D,4,FALSE),0),0)</f>
        <v>0</v>
      </c>
      <c r="J552" s="40"/>
      <c r="K552" s="47">
        <f>-IF(F552="I",SUMIF('BG 2020'!B:B,Clasificaciones!C552,'BG 2020'!D:D),0)</f>
        <v>0</v>
      </c>
      <c r="L552" s="40"/>
      <c r="M552" s="68">
        <f>-IF(F552="I",SUMIF('BG 2020'!B:B,Clasificaciones!C552,'BG 2020'!E:E),0)</f>
        <v>0</v>
      </c>
    </row>
    <row r="553" spans="1:13" s="166" customFormat="1" ht="12" customHeight="1">
      <c r="A553" s="163" t="s">
        <v>190</v>
      </c>
      <c r="B553" s="163" t="s">
        <v>117</v>
      </c>
      <c r="C553" s="164">
        <v>401010201</v>
      </c>
      <c r="D553" s="164" t="s">
        <v>874</v>
      </c>
      <c r="E553" s="165" t="s">
        <v>6</v>
      </c>
      <c r="F553" s="165" t="s">
        <v>344</v>
      </c>
      <c r="G553" s="47">
        <f>-IF(F553="I",IFERROR(VLOOKUP(C553,'BG 2021'!A:C,3,FALSE),0),0)</f>
        <v>-448405560</v>
      </c>
      <c r="H553" s="163" t="s">
        <v>117</v>
      </c>
      <c r="I553" s="68">
        <f>-IF(F553="I",IFERROR(VLOOKUP(C553,'BG 2021'!A:D,4,FALSE),0),0)</f>
        <v>-67395.41</v>
      </c>
      <c r="J553" s="40"/>
      <c r="K553" s="47">
        <f>-IF(F553="I",SUMIF('BG 2020'!B:B,Clasificaciones!C553,'BG 2020'!D:D),0)</f>
        <v>-720810509</v>
      </c>
      <c r="L553" s="40"/>
      <c r="M553" s="68">
        <f>-IF(F553="I",SUMIF('BG 2020'!B:B,Clasificaciones!C553,'BG 2020'!E:E),0)</f>
        <v>-107634.58</v>
      </c>
    </row>
    <row r="554" spans="1:13" s="166" customFormat="1" ht="12" customHeight="1">
      <c r="A554" s="163" t="s">
        <v>190</v>
      </c>
      <c r="B554" s="163" t="s">
        <v>117</v>
      </c>
      <c r="C554" s="164">
        <v>401010202</v>
      </c>
      <c r="D554" s="164" t="s">
        <v>1628</v>
      </c>
      <c r="E554" s="165" t="s">
        <v>229</v>
      </c>
      <c r="F554" s="165" t="s">
        <v>344</v>
      </c>
      <c r="G554" s="47">
        <f>-IF(F554="I",IFERROR(VLOOKUP(C554,'BG 2021'!A:C,3,FALSE),0),0)</f>
        <v>-157393914</v>
      </c>
      <c r="H554" s="163" t="s">
        <v>117</v>
      </c>
      <c r="I554" s="68">
        <f>-IF(F554="I",IFERROR(VLOOKUP(C554,'BG 2021'!A:D,4,FALSE),0),0)</f>
        <v>-23556.83</v>
      </c>
      <c r="J554" s="40"/>
      <c r="K554" s="47">
        <f>-IF(F554="I",SUMIF('BG 2020'!B:B,Clasificaciones!C554,'BG 2020'!D:D),0)</f>
        <v>0</v>
      </c>
      <c r="L554" s="40"/>
      <c r="M554" s="68">
        <f>-IF(F554="I",SUMIF('BG 2020'!B:B,Clasificaciones!C554,'BG 2020'!E:E),0)</f>
        <v>0</v>
      </c>
    </row>
    <row r="555" spans="1:13" s="166" customFormat="1" ht="12" customHeight="1">
      <c r="A555" s="163" t="s">
        <v>190</v>
      </c>
      <c r="B555" s="163"/>
      <c r="C555" s="164">
        <v>4010103</v>
      </c>
      <c r="D555" s="164" t="s">
        <v>1167</v>
      </c>
      <c r="E555" s="165" t="s">
        <v>6</v>
      </c>
      <c r="F555" s="165" t="s">
        <v>343</v>
      </c>
      <c r="G555" s="47">
        <f>-IF(F555="I",IFERROR(VLOOKUP(C555,'BG 2021'!A:C,3,FALSE),0),0)</f>
        <v>0</v>
      </c>
      <c r="H555" s="163"/>
      <c r="I555" s="68">
        <f>-IF(F555="I",IFERROR(VLOOKUP(C555,'BG 2021'!A:D,4,FALSE),0),0)</f>
        <v>0</v>
      </c>
      <c r="J555" s="40"/>
      <c r="K555" s="47">
        <f>-IF(F555="I",SUMIF('BG 2020'!B:B,Clasificaciones!C555,'BG 2020'!D:D),0)</f>
        <v>0</v>
      </c>
      <c r="L555" s="40"/>
      <c r="M555" s="68">
        <f>-IF(F555="I",SUMIF('BG 2020'!B:B,Clasificaciones!C555,'BG 2020'!E:E),0)</f>
        <v>0</v>
      </c>
    </row>
    <row r="556" spans="1:13" s="166" customFormat="1" ht="12" customHeight="1">
      <c r="A556" s="163" t="s">
        <v>190</v>
      </c>
      <c r="B556" s="163"/>
      <c r="C556" s="164">
        <v>401010301</v>
      </c>
      <c r="D556" s="164" t="s">
        <v>1168</v>
      </c>
      <c r="E556" s="165" t="s">
        <v>6</v>
      </c>
      <c r="F556" s="165" t="s">
        <v>344</v>
      </c>
      <c r="G556" s="47">
        <f>-IF(F556="I",IFERROR(VLOOKUP(C556,'BG 2021'!A:C,3,FALSE),0),0)</f>
        <v>0</v>
      </c>
      <c r="H556" s="163"/>
      <c r="I556" s="68">
        <f>-IF(F556="I",IFERROR(VLOOKUP(C556,'BG 2021'!A:D,4,FALSE),0),0)</f>
        <v>0</v>
      </c>
      <c r="J556" s="40"/>
      <c r="K556" s="47">
        <f>-IF(F556="I",SUMIF('BG 2020'!B:B,Clasificaciones!C556,'BG 2020'!D:D),0)</f>
        <v>0</v>
      </c>
      <c r="L556" s="40"/>
      <c r="M556" s="68">
        <f>-IF(F556="I",SUMIF('BG 2020'!B:B,Clasificaciones!C556,'BG 2020'!E:E),0)</f>
        <v>0</v>
      </c>
    </row>
    <row r="557" spans="1:13" s="166" customFormat="1" ht="12" customHeight="1">
      <c r="A557" s="163" t="s">
        <v>190</v>
      </c>
      <c r="B557" s="163"/>
      <c r="C557" s="164">
        <v>401010302</v>
      </c>
      <c r="D557" s="164" t="s">
        <v>1169</v>
      </c>
      <c r="E557" s="165" t="s">
        <v>229</v>
      </c>
      <c r="F557" s="165" t="s">
        <v>344</v>
      </c>
      <c r="G557" s="47">
        <f>-IF(F557="I",IFERROR(VLOOKUP(C557,'BG 2021'!A:C,3,FALSE),0),0)</f>
        <v>0</v>
      </c>
      <c r="H557" s="163"/>
      <c r="I557" s="68">
        <f>-IF(F557="I",IFERROR(VLOOKUP(C557,'BG 2021'!A:D,4,FALSE),0),0)</f>
        <v>0</v>
      </c>
      <c r="J557" s="40"/>
      <c r="K557" s="47">
        <f>-IF(F557="I",SUMIF('BG 2020'!B:B,Clasificaciones!C557,'BG 2020'!D:D),0)</f>
        <v>0</v>
      </c>
      <c r="L557" s="40"/>
      <c r="M557" s="68">
        <f>-IF(F557="I",SUMIF('BG 2020'!B:B,Clasificaciones!C557,'BG 2020'!E:E),0)</f>
        <v>0</v>
      </c>
    </row>
    <row r="558" spans="1:13" s="166" customFormat="1" ht="12" customHeight="1">
      <c r="A558" s="163" t="s">
        <v>190</v>
      </c>
      <c r="B558" s="163"/>
      <c r="C558" s="164">
        <v>40102</v>
      </c>
      <c r="D558" s="164" t="s">
        <v>876</v>
      </c>
      <c r="E558" s="165" t="s">
        <v>6</v>
      </c>
      <c r="F558" s="165" t="s">
        <v>343</v>
      </c>
      <c r="G558" s="47">
        <f>-IF(F558="I",IFERROR(VLOOKUP(C558,'BG 2021'!A:C,3,FALSE),0),0)</f>
        <v>0</v>
      </c>
      <c r="H558" s="163"/>
      <c r="I558" s="68">
        <f>-IF(F558="I",IFERROR(VLOOKUP(C558,'BG 2021'!A:D,4,FALSE),0),0)</f>
        <v>0</v>
      </c>
      <c r="J558" s="40"/>
      <c r="K558" s="47">
        <f>-IF(F558="I",SUMIF('BG 2020'!B:B,Clasificaciones!C558,'BG 2020'!D:D),0)</f>
        <v>0</v>
      </c>
      <c r="L558" s="40"/>
      <c r="M558" s="68">
        <f>-IF(F558="I",SUMIF('BG 2020'!B:B,Clasificaciones!C558,'BG 2020'!E:E),0)</f>
        <v>0</v>
      </c>
    </row>
    <row r="559" spans="1:13" s="166" customFormat="1" ht="12" customHeight="1">
      <c r="A559" s="163" t="s">
        <v>190</v>
      </c>
      <c r="B559" s="163"/>
      <c r="C559" s="164">
        <v>4010201</v>
      </c>
      <c r="D559" s="164" t="s">
        <v>871</v>
      </c>
      <c r="E559" s="165" t="s">
        <v>6</v>
      </c>
      <c r="F559" s="165" t="s">
        <v>343</v>
      </c>
      <c r="G559" s="47">
        <f>-IF(F559="I",IFERROR(VLOOKUP(C559,'BG 2021'!A:C,3,FALSE),0),0)</f>
        <v>0</v>
      </c>
      <c r="H559" s="163"/>
      <c r="I559" s="68">
        <f>-IF(F559="I",IFERROR(VLOOKUP(C559,'BG 2021'!A:D,4,FALSE),0),0)</f>
        <v>0</v>
      </c>
      <c r="J559" s="40"/>
      <c r="K559" s="47">
        <f>-IF(F559="I",SUMIF('BG 2020'!B:B,Clasificaciones!C559,'BG 2020'!D:D),0)</f>
        <v>0</v>
      </c>
      <c r="L559" s="40"/>
      <c r="M559" s="68">
        <f>-IF(F559="I",SUMIF('BG 2020'!B:B,Clasificaciones!C559,'BG 2020'!E:E),0)</f>
        <v>0</v>
      </c>
    </row>
    <row r="560" spans="1:13" s="166" customFormat="1" ht="12" customHeight="1">
      <c r="A560" s="163" t="s">
        <v>190</v>
      </c>
      <c r="B560" s="163"/>
      <c r="C560" s="164">
        <v>401020101</v>
      </c>
      <c r="D560" s="164" t="s">
        <v>872</v>
      </c>
      <c r="E560" s="165" t="s">
        <v>6</v>
      </c>
      <c r="F560" s="165" t="s">
        <v>344</v>
      </c>
      <c r="G560" s="47">
        <f>-IF(F560="I",IFERROR(VLOOKUP(C560,'BG 2021'!A:C,3,FALSE),0),0)</f>
        <v>0</v>
      </c>
      <c r="H560" s="163"/>
      <c r="I560" s="68">
        <f>-IF(F560="I",IFERROR(VLOOKUP(C560,'BG 2021'!A:D,4,FALSE),0),0)</f>
        <v>0</v>
      </c>
      <c r="J560" s="40"/>
      <c r="K560" s="47">
        <f>-IF(F560="I",SUMIF('BG 2020'!B:B,Clasificaciones!C560,'BG 2020'!D:D),0)</f>
        <v>0</v>
      </c>
      <c r="L560" s="40"/>
      <c r="M560" s="68">
        <f>-IF(F560="I",SUMIF('BG 2020'!B:B,Clasificaciones!C560,'BG 2020'!E:E),0)</f>
        <v>0</v>
      </c>
    </row>
    <row r="561" spans="1:13" s="166" customFormat="1" ht="12" customHeight="1">
      <c r="A561" s="163" t="s">
        <v>190</v>
      </c>
      <c r="B561" s="163"/>
      <c r="C561" s="164">
        <v>401020102</v>
      </c>
      <c r="D561" s="164" t="s">
        <v>1166</v>
      </c>
      <c r="E561" s="165" t="s">
        <v>229</v>
      </c>
      <c r="F561" s="165" t="s">
        <v>344</v>
      </c>
      <c r="G561" s="47">
        <f>-IF(F561="I",IFERROR(VLOOKUP(C561,'BG 2021'!A:C,3,FALSE),0),0)</f>
        <v>0</v>
      </c>
      <c r="H561" s="163"/>
      <c r="I561" s="68">
        <f>-IF(F561="I",IFERROR(VLOOKUP(C561,'BG 2021'!A:D,4,FALSE),0),0)</f>
        <v>0</v>
      </c>
      <c r="J561" s="40"/>
      <c r="K561" s="47">
        <f>-IF(F561="I",SUMIF('BG 2020'!B:B,Clasificaciones!C561,'BG 2020'!D:D),0)</f>
        <v>0</v>
      </c>
      <c r="L561" s="40"/>
      <c r="M561" s="68">
        <f>-IF(F561="I",SUMIF('BG 2020'!B:B,Clasificaciones!C561,'BG 2020'!E:E),0)</f>
        <v>0</v>
      </c>
    </row>
    <row r="562" spans="1:13" s="166" customFormat="1" ht="12" customHeight="1">
      <c r="A562" s="163" t="s">
        <v>190</v>
      </c>
      <c r="B562" s="163"/>
      <c r="C562" s="164">
        <v>4010202</v>
      </c>
      <c r="D562" s="164" t="s">
        <v>873</v>
      </c>
      <c r="E562" s="165" t="s">
        <v>6</v>
      </c>
      <c r="F562" s="165" t="s">
        <v>343</v>
      </c>
      <c r="G562" s="47">
        <f>-IF(F562="I",IFERROR(VLOOKUP(C562,'BG 2021'!A:C,3,FALSE),0),0)</f>
        <v>0</v>
      </c>
      <c r="H562" s="163"/>
      <c r="I562" s="68">
        <f>-IF(F562="I",IFERROR(VLOOKUP(C562,'BG 2021'!A:D,4,FALSE),0),0)</f>
        <v>0</v>
      </c>
      <c r="J562" s="40"/>
      <c r="K562" s="47">
        <f>-IF(F562="I",SUMIF('BG 2020'!B:B,Clasificaciones!C562,'BG 2020'!D:D),0)</f>
        <v>0</v>
      </c>
      <c r="L562" s="40"/>
      <c r="M562" s="68">
        <f>-IF(F562="I",SUMIF('BG 2020'!B:B,Clasificaciones!C562,'BG 2020'!E:E),0)</f>
        <v>0</v>
      </c>
    </row>
    <row r="563" spans="1:13" s="166" customFormat="1" ht="12" customHeight="1">
      <c r="A563" s="163" t="s">
        <v>190</v>
      </c>
      <c r="B563" s="163" t="s">
        <v>117</v>
      </c>
      <c r="C563" s="164">
        <v>401020201</v>
      </c>
      <c r="D563" s="164" t="s">
        <v>874</v>
      </c>
      <c r="E563" s="165" t="s">
        <v>6</v>
      </c>
      <c r="F563" s="165" t="s">
        <v>344</v>
      </c>
      <c r="G563" s="47">
        <f>-IF(F563="I",IFERROR(VLOOKUP(C563,'BG 2021'!A:C,3,FALSE),0),0)</f>
        <v>0</v>
      </c>
      <c r="H563" s="163" t="s">
        <v>117</v>
      </c>
      <c r="I563" s="68">
        <f>-IF(F563="I",IFERROR(VLOOKUP(C563,'BG 2021'!A:D,4,FALSE),0),0)</f>
        <v>0</v>
      </c>
      <c r="J563" s="40"/>
      <c r="K563" s="47">
        <f>-IF(F563="I",SUMIF('BG 2020'!B:B,Clasificaciones!C563,'BG 2020'!D:D),0)</f>
        <v>0</v>
      </c>
      <c r="L563" s="40"/>
      <c r="M563" s="68">
        <f>-IF(F563="I",SUMIF('BG 2020'!B:B,Clasificaciones!C563,'BG 2020'!E:E),0)</f>
        <v>0</v>
      </c>
    </row>
    <row r="564" spans="1:13" s="166" customFormat="1" ht="12" customHeight="1">
      <c r="A564" s="163" t="s">
        <v>190</v>
      </c>
      <c r="B564" s="163" t="s">
        <v>117</v>
      </c>
      <c r="C564" s="164">
        <v>401020202</v>
      </c>
      <c r="D564" s="164" t="s">
        <v>875</v>
      </c>
      <c r="E564" s="165" t="s">
        <v>229</v>
      </c>
      <c r="F564" s="165" t="s">
        <v>344</v>
      </c>
      <c r="G564" s="47">
        <f>-IF(F564="I",IFERROR(VLOOKUP(C564,'BG 2021'!A:C,3,FALSE),0),0)</f>
        <v>0</v>
      </c>
      <c r="H564" s="163" t="s">
        <v>117</v>
      </c>
      <c r="I564" s="68">
        <f>-IF(F564="I",IFERROR(VLOOKUP(C564,'BG 2021'!A:D,4,FALSE),0),0)</f>
        <v>0</v>
      </c>
      <c r="J564" s="40"/>
      <c r="K564" s="47">
        <f>-IF(F564="I",SUMIF('BG 2020'!B:B,Clasificaciones!C564,'BG 2020'!D:D),0)</f>
        <v>0</v>
      </c>
      <c r="L564" s="40"/>
      <c r="M564" s="68">
        <f>-IF(F564="I",SUMIF('BG 2020'!B:B,Clasificaciones!C564,'BG 2020'!E:E),0)</f>
        <v>0</v>
      </c>
    </row>
    <row r="565" spans="1:13" s="166" customFormat="1" ht="12" customHeight="1">
      <c r="A565" s="163" t="s">
        <v>190</v>
      </c>
      <c r="B565" s="163"/>
      <c r="C565" s="164">
        <v>40103</v>
      </c>
      <c r="D565" s="164" t="s">
        <v>877</v>
      </c>
      <c r="E565" s="165" t="s">
        <v>6</v>
      </c>
      <c r="F565" s="165" t="s">
        <v>343</v>
      </c>
      <c r="G565" s="47">
        <f>-IF(F565="I",IFERROR(VLOOKUP(C565,'BG 2021'!A:C,3,FALSE),0),0)</f>
        <v>0</v>
      </c>
      <c r="H565" s="163"/>
      <c r="I565" s="68">
        <f>-IF(F565="I",IFERROR(VLOOKUP(C565,'BG 2021'!A:D,4,FALSE),0),0)</f>
        <v>0</v>
      </c>
      <c r="J565" s="40"/>
      <c r="K565" s="47">
        <f>-IF(F565="I",SUMIF('BG 2020'!B:B,Clasificaciones!C565,'BG 2020'!D:D),0)</f>
        <v>0</v>
      </c>
      <c r="L565" s="40"/>
      <c r="M565" s="68">
        <f>-IF(F565="I",SUMIF('BG 2020'!B:B,Clasificaciones!C565,'BG 2020'!E:E),0)</f>
        <v>0</v>
      </c>
    </row>
    <row r="566" spans="1:13" s="166" customFormat="1" ht="12" customHeight="1">
      <c r="A566" s="163" t="s">
        <v>190</v>
      </c>
      <c r="B566" s="163" t="s">
        <v>113</v>
      </c>
      <c r="C566" s="164">
        <v>4010301</v>
      </c>
      <c r="D566" s="164" t="s">
        <v>878</v>
      </c>
      <c r="E566" s="165" t="s">
        <v>6</v>
      </c>
      <c r="F566" s="165" t="s">
        <v>344</v>
      </c>
      <c r="G566" s="47">
        <f>-IF(F566="I",IFERROR(VLOOKUP(C566,'BG 2021'!A:C,3,FALSE),0),0)</f>
        <v>-500000000</v>
      </c>
      <c r="H566" s="163" t="s">
        <v>113</v>
      </c>
      <c r="I566" s="68">
        <f>-IF(F566="I",IFERROR(VLOOKUP(C566,'BG 2021'!A:D,4,FALSE),0),0)</f>
        <v>-76535.320000000007</v>
      </c>
      <c r="J566" s="40"/>
      <c r="K566" s="47">
        <f>-IF(F566="I",SUMIF('BG 2020'!B:B,Clasificaciones!C566,'BG 2020'!D:D),0)</f>
        <v>-754199881</v>
      </c>
      <c r="L566" s="40"/>
      <c r="M566" s="68">
        <f>-IF(F566="I",SUMIF('BG 2020'!B:B,Clasificaciones!C566,'BG 2020'!E:E),0)</f>
        <v>-114107.13</v>
      </c>
    </row>
    <row r="567" spans="1:13" s="166" customFormat="1" ht="12" customHeight="1">
      <c r="A567" s="163" t="s">
        <v>190</v>
      </c>
      <c r="B567" s="163" t="s">
        <v>113</v>
      </c>
      <c r="C567" s="164">
        <v>4010302</v>
      </c>
      <c r="D567" s="164" t="s">
        <v>878</v>
      </c>
      <c r="E567" s="165" t="s">
        <v>229</v>
      </c>
      <c r="F567" s="165" t="s">
        <v>344</v>
      </c>
      <c r="G567" s="47">
        <f>-IF(F567="I",IFERROR(VLOOKUP(C567,'BG 2021'!A:C,3,FALSE),0),0)</f>
        <v>-660247725</v>
      </c>
      <c r="H567" s="163" t="s">
        <v>113</v>
      </c>
      <c r="I567" s="68">
        <f>-IF(F567="I",IFERROR(VLOOKUP(C567,'BG 2021'!A:D,4,FALSE),0),0)</f>
        <v>-96250</v>
      </c>
      <c r="J567" s="40"/>
      <c r="K567" s="47">
        <f>-IF(F567="I",SUMIF('BG 2020'!B:B,Clasificaciones!C567,'BG 2020'!D:D),0)</f>
        <v>0</v>
      </c>
      <c r="L567" s="40"/>
      <c r="M567" s="68">
        <f>-IF(F567="I",SUMIF('BG 2020'!B:B,Clasificaciones!C567,'BG 2020'!E:E),0)</f>
        <v>0</v>
      </c>
    </row>
    <row r="568" spans="1:13" s="166" customFormat="1" ht="12" customHeight="1">
      <c r="A568" s="163" t="s">
        <v>190</v>
      </c>
      <c r="B568" s="163" t="s">
        <v>114</v>
      </c>
      <c r="C568" s="164">
        <v>4010303</v>
      </c>
      <c r="D568" s="164" t="s">
        <v>1424</v>
      </c>
      <c r="E568" s="165" t="s">
        <v>229</v>
      </c>
      <c r="F568" s="165" t="s">
        <v>344</v>
      </c>
      <c r="G568" s="47">
        <f>-IF(F568="I",IFERROR(VLOOKUP(C568,'BG 2021'!A:C,3,FALSE),0),0)</f>
        <v>-37500000</v>
      </c>
      <c r="H568" s="163" t="s">
        <v>114</v>
      </c>
      <c r="I568" s="68">
        <f>-IF(F568="I",IFERROR(VLOOKUP(C568,'BG 2021'!A:D,4,FALSE),0),0)</f>
        <v>-5514.97</v>
      </c>
      <c r="J568" s="40"/>
      <c r="K568" s="47">
        <f>-IF(F568="I",SUMIF('BG 2020'!B:B,Clasificaciones!C568,'BG 2020'!D:D),0)</f>
        <v>0</v>
      </c>
      <c r="L568" s="40"/>
      <c r="M568" s="68">
        <f>-IF(F568="I",SUMIF('BG 2020'!B:B,Clasificaciones!C568,'BG 2020'!E:E),0)</f>
        <v>0</v>
      </c>
    </row>
    <row r="569" spans="1:13" s="166" customFormat="1" ht="12" customHeight="1">
      <c r="A569" s="163" t="s">
        <v>190</v>
      </c>
      <c r="B569" s="163"/>
      <c r="C569" s="164">
        <v>402</v>
      </c>
      <c r="D569" s="164" t="s">
        <v>879</v>
      </c>
      <c r="E569" s="165" t="s">
        <v>6</v>
      </c>
      <c r="F569" s="165" t="s">
        <v>343</v>
      </c>
      <c r="G569" s="47">
        <f>-IF(F569="I",IFERROR(VLOOKUP(C569,'BG 2021'!A:C,3,FALSE),0),0)</f>
        <v>0</v>
      </c>
      <c r="H569" s="163"/>
      <c r="I569" s="68">
        <f>-IF(F569="I",IFERROR(VLOOKUP(C569,'BG 2021'!A:D,4,FALSE),0),0)</f>
        <v>0</v>
      </c>
      <c r="J569" s="40"/>
      <c r="K569" s="47">
        <f>-IF(F569="I",SUMIF('BG 2020'!B:B,Clasificaciones!C569,'BG 2020'!D:D),0)</f>
        <v>0</v>
      </c>
      <c r="L569" s="40"/>
      <c r="M569" s="68">
        <f>-IF(F569="I",SUMIF('BG 2020'!B:B,Clasificaciones!C569,'BG 2020'!E:E),0)</f>
        <v>0</v>
      </c>
    </row>
    <row r="570" spans="1:13" s="166" customFormat="1" ht="12" customHeight="1">
      <c r="A570" s="163" t="s">
        <v>190</v>
      </c>
      <c r="B570" s="163"/>
      <c r="C570" s="164">
        <v>40201</v>
      </c>
      <c r="D570" s="164" t="s">
        <v>1170</v>
      </c>
      <c r="E570" s="165" t="s">
        <v>6</v>
      </c>
      <c r="F570" s="165" t="s">
        <v>344</v>
      </c>
      <c r="G570" s="47">
        <f>-IF(F570="I",IFERROR(VLOOKUP(C570,'BG 2021'!A:C,3,FALSE),0),0)</f>
        <v>0</v>
      </c>
      <c r="H570" s="163"/>
      <c r="I570" s="68">
        <f>-IF(F570="I",IFERROR(VLOOKUP(C570,'BG 2021'!A:D,4,FALSE),0),0)</f>
        <v>0</v>
      </c>
      <c r="J570" s="40"/>
      <c r="K570" s="47">
        <f>-IF(F570="I",SUMIF('BG 2020'!B:B,Clasificaciones!C570,'BG 2020'!D:D),0)</f>
        <v>0</v>
      </c>
      <c r="L570" s="40"/>
      <c r="M570" s="68">
        <f>-IF(F570="I",SUMIF('BG 2020'!B:B,Clasificaciones!C570,'BG 2020'!E:E),0)</f>
        <v>0</v>
      </c>
    </row>
    <row r="571" spans="1:13" s="166" customFormat="1" ht="12" customHeight="1">
      <c r="A571" s="163" t="s">
        <v>190</v>
      </c>
      <c r="B571" s="163" t="s">
        <v>37</v>
      </c>
      <c r="C571" s="164">
        <v>40202</v>
      </c>
      <c r="D571" s="164" t="s">
        <v>1171</v>
      </c>
      <c r="E571" s="165" t="s">
        <v>6</v>
      </c>
      <c r="F571" s="165" t="s">
        <v>344</v>
      </c>
      <c r="G571" s="47">
        <f>-IF(F571="I",IFERROR(VLOOKUP(C571,'BG 2021'!A:C,3,FALSE),0),0)</f>
        <v>-636364</v>
      </c>
      <c r="H571" s="163" t="s">
        <v>37</v>
      </c>
      <c r="I571" s="68">
        <f>-IF(F571="I",IFERROR(VLOOKUP(C571,'BG 2021'!A:D,4,FALSE),0),0)</f>
        <v>-94.19</v>
      </c>
      <c r="J571" s="40"/>
      <c r="K571" s="47">
        <f>-IF(F571="I",SUMIF('BG 2020'!B:B,Clasificaciones!C571,'BG 2020'!D:D),0)</f>
        <v>-13561518</v>
      </c>
      <c r="L571" s="40"/>
      <c r="M571" s="68">
        <f>-IF(F571="I",SUMIF('BG 2020'!B:B,Clasificaciones!C571,'BG 2020'!E:E),0)</f>
        <v>-1975.1</v>
      </c>
    </row>
    <row r="572" spans="1:13" s="166" customFormat="1" ht="12" customHeight="1">
      <c r="A572" s="163" t="s">
        <v>190</v>
      </c>
      <c r="B572" s="163"/>
      <c r="C572" s="164">
        <v>40203</v>
      </c>
      <c r="D572" s="164" t="s">
        <v>880</v>
      </c>
      <c r="E572" s="165" t="s">
        <v>6</v>
      </c>
      <c r="F572" s="165" t="s">
        <v>343</v>
      </c>
      <c r="G572" s="47">
        <f>-IF(F572="I",IFERROR(VLOOKUP(C572,'BG 2021'!A:C,3,FALSE),0),0)</f>
        <v>0</v>
      </c>
      <c r="H572" s="163"/>
      <c r="I572" s="68">
        <f>-IF(F572="I",IFERROR(VLOOKUP(C572,'BG 2021'!A:D,4,FALSE),0),0)</f>
        <v>0</v>
      </c>
      <c r="J572" s="40"/>
      <c r="K572" s="47">
        <f>-IF(F572="I",SUMIF('BG 2020'!B:B,Clasificaciones!C572,'BG 2020'!D:D),0)</f>
        <v>0</v>
      </c>
      <c r="L572" s="40"/>
      <c r="M572" s="68">
        <f>-IF(F572="I",SUMIF('BG 2020'!B:B,Clasificaciones!C572,'BG 2020'!E:E),0)</f>
        <v>0</v>
      </c>
    </row>
    <row r="573" spans="1:13" s="166" customFormat="1" ht="12" customHeight="1">
      <c r="A573" s="163" t="s">
        <v>190</v>
      </c>
      <c r="B573" s="163" t="s">
        <v>118</v>
      </c>
      <c r="C573" s="164">
        <v>4020301</v>
      </c>
      <c r="D573" s="164" t="s">
        <v>1172</v>
      </c>
      <c r="E573" s="165" t="s">
        <v>6</v>
      </c>
      <c r="F573" s="165" t="s">
        <v>344</v>
      </c>
      <c r="G573" s="47">
        <f>-IF(F573="I",IFERROR(VLOOKUP(C573,'BG 2021'!A:C,3,FALSE),0),0)</f>
        <v>0</v>
      </c>
      <c r="H573" s="163" t="s">
        <v>118</v>
      </c>
      <c r="I573" s="68">
        <f>-IF(F573="I",IFERROR(VLOOKUP(C573,'BG 2021'!A:D,4,FALSE),0),0)</f>
        <v>0</v>
      </c>
      <c r="J573" s="40"/>
      <c r="K573" s="47">
        <f>-IF(F573="I",SUMIF('BG 2020'!B:B,Clasificaciones!C573,'BG 2020'!D:D),0)</f>
        <v>0</v>
      </c>
      <c r="L573" s="40"/>
      <c r="M573" s="68">
        <f>-IF(F573="I",SUMIF('BG 2020'!B:B,Clasificaciones!C573,'BG 2020'!E:E),0)</f>
        <v>0</v>
      </c>
    </row>
    <row r="574" spans="1:13" s="166" customFormat="1" ht="12" customHeight="1">
      <c r="A574" s="163" t="s">
        <v>190</v>
      </c>
      <c r="B574" s="163" t="s">
        <v>118</v>
      </c>
      <c r="C574" s="164">
        <v>4020302</v>
      </c>
      <c r="D574" s="164" t="s">
        <v>1629</v>
      </c>
      <c r="E574" s="165" t="s">
        <v>229</v>
      </c>
      <c r="F574" s="165" t="s">
        <v>344</v>
      </c>
      <c r="G574" s="47">
        <f>-IF(F574="I",IFERROR(VLOOKUP(C574,'BG 2021'!A:C,3,FALSE),0),0)</f>
        <v>-406619130</v>
      </c>
      <c r="H574" s="163" t="s">
        <v>118</v>
      </c>
      <c r="I574" s="68">
        <f>-IF(F574="I",IFERROR(VLOOKUP(C574,'BG 2021'!A:D,4,FALSE),0),0)</f>
        <v>-60000</v>
      </c>
      <c r="J574" s="40"/>
      <c r="K574" s="47">
        <f>-IF(F574="I",SUMIF('BG 2020'!B:B,Clasificaciones!C574,'BG 2020'!D:D),0)</f>
        <v>-334936935</v>
      </c>
      <c r="L574" s="40"/>
      <c r="M574" s="68">
        <f>-IF(F574="I",SUMIF('BG 2020'!B:B,Clasificaciones!C574,'BG 2020'!E:E),0)</f>
        <v>-49500</v>
      </c>
    </row>
    <row r="575" spans="1:13" s="166" customFormat="1" ht="12" customHeight="1">
      <c r="A575" s="163" t="s">
        <v>190</v>
      </c>
      <c r="B575" s="163"/>
      <c r="C575" s="164">
        <v>403</v>
      </c>
      <c r="D575" s="164" t="s">
        <v>882</v>
      </c>
      <c r="E575" s="165" t="s">
        <v>6</v>
      </c>
      <c r="F575" s="165" t="s">
        <v>343</v>
      </c>
      <c r="G575" s="47">
        <f>-IF(F575="I",IFERROR(VLOOKUP(C575,'BG 2021'!A:C,3,FALSE),0),0)</f>
        <v>0</v>
      </c>
      <c r="H575" s="163"/>
      <c r="I575" s="68">
        <f>-IF(F575="I",IFERROR(VLOOKUP(C575,'BG 2021'!A:D,4,FALSE),0),0)</f>
        <v>0</v>
      </c>
      <c r="J575" s="40"/>
      <c r="K575" s="47">
        <f>-IF(F575="I",SUMIF('BG 2020'!B:B,Clasificaciones!C575,'BG 2020'!D:D),0)</f>
        <v>0</v>
      </c>
      <c r="L575" s="40"/>
      <c r="M575" s="68">
        <f>-IF(F575="I",SUMIF('BG 2020'!B:B,Clasificaciones!C575,'BG 2020'!E:E),0)</f>
        <v>0</v>
      </c>
    </row>
    <row r="576" spans="1:13" s="166" customFormat="1" ht="12" customHeight="1">
      <c r="A576" s="163" t="s">
        <v>190</v>
      </c>
      <c r="B576" s="163"/>
      <c r="C576" s="164">
        <v>40301</v>
      </c>
      <c r="D576" s="164" t="s">
        <v>883</v>
      </c>
      <c r="E576" s="165" t="s">
        <v>6</v>
      </c>
      <c r="F576" s="165" t="s">
        <v>343</v>
      </c>
      <c r="G576" s="47">
        <f>-IF(F576="I",IFERROR(VLOOKUP(C576,'BG 2021'!A:C,3,FALSE),0),0)</f>
        <v>0</v>
      </c>
      <c r="H576" s="163"/>
      <c r="I576" s="68">
        <f>-IF(F576="I",IFERROR(VLOOKUP(C576,'BG 2021'!A:D,4,FALSE),0),0)</f>
        <v>0</v>
      </c>
      <c r="J576" s="40"/>
      <c r="K576" s="47">
        <f>-IF(F576="I",SUMIF('BG 2020'!B:B,Clasificaciones!C576,'BG 2020'!D:D),0)</f>
        <v>0</v>
      </c>
      <c r="L576" s="40"/>
      <c r="M576" s="68">
        <f>-IF(F576="I",SUMIF('BG 2020'!B:B,Clasificaciones!C576,'BG 2020'!E:E),0)</f>
        <v>0</v>
      </c>
    </row>
    <row r="577" spans="1:13" s="166" customFormat="1" ht="12" customHeight="1">
      <c r="A577" s="163" t="s">
        <v>190</v>
      </c>
      <c r="B577" s="163"/>
      <c r="C577" s="164">
        <v>4030101</v>
      </c>
      <c r="D577" s="164" t="s">
        <v>883</v>
      </c>
      <c r="E577" s="165" t="s">
        <v>6</v>
      </c>
      <c r="F577" s="165" t="s">
        <v>343</v>
      </c>
      <c r="G577" s="47">
        <f>-IF(F577="I",IFERROR(VLOOKUP(C577,'BG 2021'!A:C,3,FALSE),0),0)</f>
        <v>0</v>
      </c>
      <c r="H577" s="163"/>
      <c r="I577" s="68">
        <f>-IF(F577="I",IFERROR(VLOOKUP(C577,'BG 2021'!A:D,4,FALSE),0),0)</f>
        <v>0</v>
      </c>
      <c r="J577" s="40"/>
      <c r="K577" s="47">
        <f>-IF(F577="I",SUMIF('BG 2020'!B:B,Clasificaciones!C577,'BG 2020'!D:D),0)</f>
        <v>0</v>
      </c>
      <c r="L577" s="40"/>
      <c r="M577" s="68">
        <f>-IF(F577="I",SUMIF('BG 2020'!B:B,Clasificaciones!C577,'BG 2020'!E:E),0)</f>
        <v>0</v>
      </c>
    </row>
    <row r="578" spans="1:13" s="166" customFormat="1" ht="12" customHeight="1">
      <c r="A578" s="163" t="s">
        <v>190</v>
      </c>
      <c r="B578" s="163" t="s">
        <v>119</v>
      </c>
      <c r="C578" s="164">
        <v>403010101</v>
      </c>
      <c r="D578" s="164" t="s">
        <v>884</v>
      </c>
      <c r="E578" s="165" t="s">
        <v>6</v>
      </c>
      <c r="F578" s="165" t="s">
        <v>344</v>
      </c>
      <c r="G578" s="47">
        <f>-IF(F578="I",IFERROR(VLOOKUP(C578,'BG 2021'!A:C,3,FALSE),0),0)</f>
        <v>-527403157</v>
      </c>
      <c r="H578" s="163" t="s">
        <v>119</v>
      </c>
      <c r="I578" s="68">
        <f>-IF(F578="I",IFERROR(VLOOKUP(C578,'BG 2021'!A:D,4,FALSE),0),0)</f>
        <v>-76813.100000000006</v>
      </c>
      <c r="J578" s="40"/>
      <c r="K578" s="47">
        <f>-IF(F578="I",SUMIF('BG 2020'!B:B,Clasificaciones!C578,'BG 2020'!D:D),0)</f>
        <v>-209023783</v>
      </c>
      <c r="L578" s="40"/>
      <c r="M578" s="68">
        <f>-IF(F578="I",SUMIF('BG 2020'!B:B,Clasificaciones!C578,'BG 2020'!E:E),0)</f>
        <v>-30704.76</v>
      </c>
    </row>
    <row r="579" spans="1:13" s="166" customFormat="1" ht="12" customHeight="1">
      <c r="A579" s="163" t="s">
        <v>190</v>
      </c>
      <c r="B579" s="163" t="s">
        <v>119</v>
      </c>
      <c r="C579" s="164">
        <v>403010102</v>
      </c>
      <c r="D579" s="164" t="s">
        <v>899</v>
      </c>
      <c r="E579" s="165" t="s">
        <v>229</v>
      </c>
      <c r="F579" s="165" t="s">
        <v>344</v>
      </c>
      <c r="G579" s="47">
        <f>-IF(F579="I",IFERROR(VLOOKUP(C579,'BG 2021'!A:C,3,FALSE),0),0)</f>
        <v>0</v>
      </c>
      <c r="H579" s="163" t="s">
        <v>119</v>
      </c>
      <c r="I579" s="68">
        <f>-IF(F579="I",IFERROR(VLOOKUP(C579,'BG 2021'!A:D,4,FALSE),0),0)</f>
        <v>0</v>
      </c>
      <c r="J579" s="40"/>
      <c r="K579" s="47">
        <f>-IF(F579="I",SUMIF('BG 2020'!B:B,Clasificaciones!C579,'BG 2020'!D:D),0)</f>
        <v>0</v>
      </c>
      <c r="L579" s="40"/>
      <c r="M579" s="68">
        <f>-IF(F579="I",SUMIF('BG 2020'!B:B,Clasificaciones!C579,'BG 2020'!E:E),0)</f>
        <v>0</v>
      </c>
    </row>
    <row r="580" spans="1:13" s="166" customFormat="1" ht="12" customHeight="1">
      <c r="A580" s="163" t="s">
        <v>190</v>
      </c>
      <c r="B580" s="163" t="s">
        <v>119</v>
      </c>
      <c r="C580" s="164">
        <v>403010103</v>
      </c>
      <c r="D580" s="164" t="s">
        <v>885</v>
      </c>
      <c r="E580" s="165" t="s">
        <v>6</v>
      </c>
      <c r="F580" s="165" t="s">
        <v>344</v>
      </c>
      <c r="G580" s="47">
        <f>-IF(F580="I",IFERROR(VLOOKUP(C580,'BG 2021'!A:C,3,FALSE),0),0)</f>
        <v>-31332712</v>
      </c>
      <c r="H580" s="163" t="s">
        <v>119</v>
      </c>
      <c r="I580" s="68">
        <f>-IF(F580="I",IFERROR(VLOOKUP(C580,'BG 2021'!A:D,4,FALSE),0),0)</f>
        <v>-4611</v>
      </c>
      <c r="J580" s="40"/>
      <c r="K580" s="47">
        <f>-IF(F580="I",SUMIF('BG 2020'!B:B,Clasificaciones!C580,'BG 2020'!D:D),0)</f>
        <v>0</v>
      </c>
      <c r="L580" s="40"/>
      <c r="M580" s="68">
        <f>-IF(F580="I",SUMIF('BG 2020'!B:B,Clasificaciones!C580,'BG 2020'!E:E),0)</f>
        <v>0</v>
      </c>
    </row>
    <row r="581" spans="1:13" s="166" customFormat="1" ht="12" customHeight="1">
      <c r="A581" s="163" t="s">
        <v>190</v>
      </c>
      <c r="B581" s="163" t="s">
        <v>119</v>
      </c>
      <c r="C581" s="164">
        <v>403010104</v>
      </c>
      <c r="D581" s="164" t="s">
        <v>1613</v>
      </c>
      <c r="E581" s="165" t="s">
        <v>229</v>
      </c>
      <c r="F581" s="165" t="s">
        <v>344</v>
      </c>
      <c r="G581" s="47">
        <f>-IF(F581="I",IFERROR(VLOOKUP(C581,'BG 2021'!A:C,3,FALSE),0),0)</f>
        <v>-27130882</v>
      </c>
      <c r="H581" s="163" t="s">
        <v>119</v>
      </c>
      <c r="I581" s="68">
        <f>-IF(F581="I",IFERROR(VLOOKUP(C581,'BG 2021'!A:D,4,FALSE),0),0)</f>
        <v>-3993.04</v>
      </c>
      <c r="J581" s="40"/>
      <c r="K581" s="47">
        <f>-IF(F581="I",SUMIF('BG 2020'!B:B,Clasificaciones!C581,'BG 2020'!D:D),0)</f>
        <v>0</v>
      </c>
      <c r="L581" s="40"/>
      <c r="M581" s="68">
        <f>-IF(F581="I",SUMIF('BG 2020'!B:B,Clasificaciones!C581,'BG 2020'!E:E),0)</f>
        <v>0</v>
      </c>
    </row>
    <row r="582" spans="1:13" s="166" customFormat="1" ht="12" customHeight="1">
      <c r="A582" s="163" t="s">
        <v>190</v>
      </c>
      <c r="B582" s="163" t="s">
        <v>119</v>
      </c>
      <c r="C582" s="164">
        <v>403010105</v>
      </c>
      <c r="D582" s="164" t="s">
        <v>887</v>
      </c>
      <c r="E582" s="165" t="s">
        <v>6</v>
      </c>
      <c r="F582" s="165" t="s">
        <v>344</v>
      </c>
      <c r="G582" s="47">
        <f>-IF(F582="I",IFERROR(VLOOKUP(C582,'BG 2021'!A:C,3,FALSE),0),0)</f>
        <v>-627968163</v>
      </c>
      <c r="H582" s="163" t="s">
        <v>119</v>
      </c>
      <c r="I582" s="68">
        <f>-IF(F582="I",IFERROR(VLOOKUP(C582,'BG 2021'!A:D,4,FALSE),0),0)</f>
        <v>-91996.47</v>
      </c>
      <c r="J582" s="40"/>
      <c r="K582" s="47">
        <f>-IF(F582="I",SUMIF('BG 2020'!B:B,Clasificaciones!C582,'BG 2020'!D:D),0)</f>
        <v>-477734810</v>
      </c>
      <c r="L582" s="40"/>
      <c r="M582" s="68">
        <f>-IF(F582="I",SUMIF('BG 2020'!B:B,Clasificaciones!C582,'BG 2020'!E:E),0)</f>
        <v>-69466.210000000006</v>
      </c>
    </row>
    <row r="583" spans="1:13" s="166" customFormat="1" ht="12" customHeight="1">
      <c r="A583" s="163" t="s">
        <v>190</v>
      </c>
      <c r="B583" s="163" t="s">
        <v>119</v>
      </c>
      <c r="C583" s="164">
        <v>403010106</v>
      </c>
      <c r="D583" s="164" t="s">
        <v>1590</v>
      </c>
      <c r="E583" s="165" t="s">
        <v>229</v>
      </c>
      <c r="F583" s="165" t="s">
        <v>344</v>
      </c>
      <c r="G583" s="47">
        <f>-IF(F583="I",IFERROR(VLOOKUP(C583,'BG 2021'!A:C,3,FALSE),0),0)</f>
        <v>-192561482</v>
      </c>
      <c r="H583" s="163" t="s">
        <v>119</v>
      </c>
      <c r="I583" s="68">
        <f>-IF(F583="I",IFERROR(VLOOKUP(C583,'BG 2021'!A:D,4,FALSE),0),0)</f>
        <v>-29045.93</v>
      </c>
      <c r="J583" s="40"/>
      <c r="K583" s="47">
        <f>-IF(F583="I",SUMIF('BG 2020'!B:B,Clasificaciones!C583,'BG 2020'!D:D),0)</f>
        <v>0</v>
      </c>
      <c r="L583" s="40"/>
      <c r="M583" s="68">
        <f>-IF(F583="I",SUMIF('BG 2020'!B:B,Clasificaciones!C583,'BG 2020'!E:E),0)</f>
        <v>0</v>
      </c>
    </row>
    <row r="584" spans="1:13" s="166" customFormat="1" ht="12" customHeight="1">
      <c r="A584" s="163" t="s">
        <v>190</v>
      </c>
      <c r="B584" s="163" t="s">
        <v>119</v>
      </c>
      <c r="C584" s="164">
        <v>403010107</v>
      </c>
      <c r="D584" s="164" t="s">
        <v>888</v>
      </c>
      <c r="E584" s="165" t="s">
        <v>6</v>
      </c>
      <c r="F584" s="165" t="s">
        <v>344</v>
      </c>
      <c r="G584" s="47">
        <f>-IF(F584="I",IFERROR(VLOOKUP(C584,'BG 2021'!A:C,3,FALSE),0),0)</f>
        <v>-923827093</v>
      </c>
      <c r="H584" s="163" t="s">
        <v>119</v>
      </c>
      <c r="I584" s="68">
        <f>-IF(F584="I",IFERROR(VLOOKUP(C584,'BG 2021'!A:D,4,FALSE),0),0)</f>
        <v>-135701.78999999998</v>
      </c>
      <c r="J584" s="40"/>
      <c r="K584" s="47">
        <f>-IF(F584="I",SUMIF('BG 2020'!B:B,Clasificaciones!C584,'BG 2020'!D:D),0)</f>
        <v>0</v>
      </c>
      <c r="L584" s="40"/>
      <c r="M584" s="68">
        <f>-IF(F584="I",SUMIF('BG 2020'!B:B,Clasificaciones!C584,'BG 2020'!E:E),0)</f>
        <v>0</v>
      </c>
    </row>
    <row r="585" spans="1:13" s="166" customFormat="1" ht="12" customHeight="1">
      <c r="A585" s="163" t="s">
        <v>190</v>
      </c>
      <c r="B585" s="163" t="s">
        <v>119</v>
      </c>
      <c r="C585" s="164">
        <v>403010108</v>
      </c>
      <c r="D585" s="164" t="s">
        <v>1630</v>
      </c>
      <c r="E585" s="165" t="s">
        <v>229</v>
      </c>
      <c r="F585" s="165" t="s">
        <v>344</v>
      </c>
      <c r="G585" s="47">
        <f>-IF(F585="I",IFERROR(VLOOKUP(C585,'BG 2021'!A:C,3,FALSE),0),0)</f>
        <v>-2986304</v>
      </c>
      <c r="H585" s="163" t="s">
        <v>119</v>
      </c>
      <c r="I585" s="68">
        <f>-IF(F585="I",IFERROR(VLOOKUP(C585,'BG 2021'!A:D,4,FALSE),0),0)</f>
        <v>-434.12</v>
      </c>
      <c r="J585" s="40"/>
      <c r="K585" s="47">
        <f>-IF(F585="I",SUMIF('BG 2020'!B:B,Clasificaciones!C585,'BG 2020'!D:D),0)</f>
        <v>0</v>
      </c>
      <c r="L585" s="40"/>
      <c r="M585" s="68">
        <f>-IF(F585="I",SUMIF('BG 2020'!B:B,Clasificaciones!C585,'BG 2020'!E:E),0)</f>
        <v>0</v>
      </c>
    </row>
    <row r="586" spans="1:13" s="166" customFormat="1" ht="12" customHeight="1">
      <c r="A586" s="163" t="s">
        <v>190</v>
      </c>
      <c r="B586" s="163" t="s">
        <v>119</v>
      </c>
      <c r="C586" s="164">
        <v>403010109</v>
      </c>
      <c r="D586" s="164" t="s">
        <v>890</v>
      </c>
      <c r="E586" s="165" t="s">
        <v>6</v>
      </c>
      <c r="F586" s="165" t="s">
        <v>344</v>
      </c>
      <c r="G586" s="47">
        <f>-IF(F586="I",IFERROR(VLOOKUP(C586,'BG 2021'!A:C,3,FALSE),0),0)</f>
        <v>-848877</v>
      </c>
      <c r="H586" s="163" t="s">
        <v>119</v>
      </c>
      <c r="I586" s="68">
        <f>-IF(F586="I",IFERROR(VLOOKUP(C586,'BG 2021'!A:D,4,FALSE),0),0)</f>
        <v>-131.29</v>
      </c>
      <c r="J586" s="40"/>
      <c r="K586" s="47">
        <f>-IF(F586="I",SUMIF('BG 2020'!B:B,Clasificaciones!C586,'BG 2020'!D:D),0)</f>
        <v>0</v>
      </c>
      <c r="L586" s="40"/>
      <c r="M586" s="68">
        <f>-IF(F586="I",SUMIF('BG 2020'!B:B,Clasificaciones!C586,'BG 2020'!E:E),0)</f>
        <v>0</v>
      </c>
    </row>
    <row r="587" spans="1:13" s="166" customFormat="1" ht="12" customHeight="1">
      <c r="A587" s="163" t="s">
        <v>190</v>
      </c>
      <c r="B587" s="163" t="s">
        <v>119</v>
      </c>
      <c r="C587" s="164">
        <v>403010110</v>
      </c>
      <c r="D587" s="164" t="s">
        <v>1003</v>
      </c>
      <c r="E587" s="165" t="s">
        <v>229</v>
      </c>
      <c r="F587" s="165" t="s">
        <v>344</v>
      </c>
      <c r="G587" s="47">
        <f>-IF(F587="I",IFERROR(VLOOKUP(C587,'BG 2021'!A:C,3,FALSE),0),0)</f>
        <v>0</v>
      </c>
      <c r="H587" s="163" t="s">
        <v>119</v>
      </c>
      <c r="I587" s="68">
        <f>-IF(F587="I",IFERROR(VLOOKUP(C587,'BG 2021'!A:D,4,FALSE),0),0)</f>
        <v>0</v>
      </c>
      <c r="J587" s="40"/>
      <c r="K587" s="47">
        <f>-IF(F587="I",SUMIF('BG 2020'!B:B,Clasificaciones!C587,'BG 2020'!D:D),0)</f>
        <v>0</v>
      </c>
      <c r="L587" s="40"/>
      <c r="M587" s="68">
        <f>-IF(F587="I",SUMIF('BG 2020'!B:B,Clasificaciones!C587,'BG 2020'!E:E),0)</f>
        <v>0</v>
      </c>
    </row>
    <row r="588" spans="1:13" s="166" customFormat="1" ht="12" customHeight="1">
      <c r="A588" s="163" t="s">
        <v>190</v>
      </c>
      <c r="B588" s="163" t="s">
        <v>119</v>
      </c>
      <c r="C588" s="164">
        <v>403010111</v>
      </c>
      <c r="D588" s="164" t="s">
        <v>1065</v>
      </c>
      <c r="E588" s="165" t="s">
        <v>6</v>
      </c>
      <c r="F588" s="165" t="s">
        <v>344</v>
      </c>
      <c r="G588" s="47">
        <f>-IF(F588="I",IFERROR(VLOOKUP(C588,'BG 2021'!A:C,3,FALSE),0),0)</f>
        <v>0</v>
      </c>
      <c r="H588" s="163" t="s">
        <v>119</v>
      </c>
      <c r="I588" s="68">
        <f>-IF(F588="I",IFERROR(VLOOKUP(C588,'BG 2021'!A:D,4,FALSE),0),0)</f>
        <v>0</v>
      </c>
      <c r="J588" s="40"/>
      <c r="K588" s="47">
        <f>-IF(F588="I",SUMIF('BG 2020'!B:B,Clasificaciones!C588,'BG 2020'!D:D),0)</f>
        <v>0</v>
      </c>
      <c r="L588" s="40"/>
      <c r="M588" s="68">
        <f>-IF(F588="I",SUMIF('BG 2020'!B:B,Clasificaciones!C588,'BG 2020'!E:E),0)</f>
        <v>0</v>
      </c>
    </row>
    <row r="589" spans="1:13" s="166" customFormat="1" ht="12" customHeight="1">
      <c r="A589" s="163" t="s">
        <v>190</v>
      </c>
      <c r="B589" s="163" t="s">
        <v>119</v>
      </c>
      <c r="C589" s="164">
        <v>403010112</v>
      </c>
      <c r="D589" s="164" t="s">
        <v>1006</v>
      </c>
      <c r="E589" s="165" t="s">
        <v>229</v>
      </c>
      <c r="F589" s="165" t="s">
        <v>344</v>
      </c>
      <c r="G589" s="47">
        <f>-IF(F589="I",IFERROR(VLOOKUP(C589,'BG 2021'!A:C,3,FALSE),0),0)</f>
        <v>0</v>
      </c>
      <c r="H589" s="163" t="s">
        <v>119</v>
      </c>
      <c r="I589" s="68">
        <f>-IF(F589="I",IFERROR(VLOOKUP(C589,'BG 2021'!A:D,4,FALSE),0),0)</f>
        <v>0</v>
      </c>
      <c r="J589" s="40"/>
      <c r="K589" s="47">
        <f>-IF(F589="I",SUMIF('BG 2020'!B:B,Clasificaciones!C589,'BG 2020'!D:D),0)</f>
        <v>0</v>
      </c>
      <c r="L589" s="40"/>
      <c r="M589" s="68">
        <f>-IF(F589="I",SUMIF('BG 2020'!B:B,Clasificaciones!C589,'BG 2020'!E:E),0)</f>
        <v>0</v>
      </c>
    </row>
    <row r="590" spans="1:13" s="166" customFormat="1" ht="12" customHeight="1">
      <c r="A590" s="163" t="s">
        <v>190</v>
      </c>
      <c r="B590" s="163" t="s">
        <v>119</v>
      </c>
      <c r="C590" s="164">
        <v>403010113</v>
      </c>
      <c r="D590" s="164" t="s">
        <v>901</v>
      </c>
      <c r="E590" s="165" t="s">
        <v>6</v>
      </c>
      <c r="F590" s="165" t="s">
        <v>344</v>
      </c>
      <c r="G590" s="47">
        <f>-IF(F590="I",IFERROR(VLOOKUP(C590,'BG 2021'!A:C,3,FALSE),0),0)</f>
        <v>0</v>
      </c>
      <c r="H590" s="163" t="s">
        <v>119</v>
      </c>
      <c r="I590" s="68">
        <f>-IF(F590="I",IFERROR(VLOOKUP(C590,'BG 2021'!A:D,4,FALSE),0),0)</f>
        <v>0</v>
      </c>
      <c r="J590" s="40"/>
      <c r="K590" s="47">
        <f>-IF(F590="I",SUMIF('BG 2020'!B:B,Clasificaciones!C590,'BG 2020'!D:D),0)</f>
        <v>0</v>
      </c>
      <c r="L590" s="40"/>
      <c r="M590" s="68">
        <f>-IF(F590="I",SUMIF('BG 2020'!B:B,Clasificaciones!C590,'BG 2020'!E:E),0)</f>
        <v>0</v>
      </c>
    </row>
    <row r="591" spans="1:13" s="166" customFormat="1" ht="12" customHeight="1">
      <c r="A591" s="163" t="s">
        <v>190</v>
      </c>
      <c r="B591" s="163" t="s">
        <v>119</v>
      </c>
      <c r="C591" s="164">
        <v>403010114</v>
      </c>
      <c r="D591" s="164" t="s">
        <v>1631</v>
      </c>
      <c r="E591" s="165" t="s">
        <v>229</v>
      </c>
      <c r="F591" s="165" t="s">
        <v>344</v>
      </c>
      <c r="G591" s="47">
        <f>-IF(F591="I",IFERROR(VLOOKUP(C591,'BG 2021'!A:C,3,FALSE),0),0)</f>
        <v>-866853</v>
      </c>
      <c r="H591" s="163" t="s">
        <v>119</v>
      </c>
      <c r="I591" s="68">
        <f>-IF(F591="I",IFERROR(VLOOKUP(C591,'BG 2021'!A:D,4,FALSE),0),0)</f>
        <v>-129.96</v>
      </c>
      <c r="J591" s="40"/>
      <c r="K591" s="47">
        <f>-IF(F591="I",SUMIF('BG 2020'!B:B,Clasificaciones!C591,'BG 2020'!D:D),0)</f>
        <v>0</v>
      </c>
      <c r="L591" s="40"/>
      <c r="M591" s="68">
        <f>-IF(F591="I",SUMIF('BG 2020'!B:B,Clasificaciones!C591,'BG 2020'!E:E),0)</f>
        <v>0</v>
      </c>
    </row>
    <row r="592" spans="1:13" s="166" customFormat="1" ht="12" customHeight="1">
      <c r="A592" s="163" t="s">
        <v>190</v>
      </c>
      <c r="B592" s="163" t="s">
        <v>119</v>
      </c>
      <c r="C592" s="164">
        <v>403010115</v>
      </c>
      <c r="D592" s="164" t="s">
        <v>1173</v>
      </c>
      <c r="E592" s="165" t="s">
        <v>6</v>
      </c>
      <c r="F592" s="165" t="s">
        <v>344</v>
      </c>
      <c r="G592" s="47">
        <f>-IF(F592="I",IFERROR(VLOOKUP(C592,'BG 2021'!A:C,3,FALSE),0),0)</f>
        <v>0</v>
      </c>
      <c r="H592" s="163" t="s">
        <v>119</v>
      </c>
      <c r="I592" s="68">
        <f>-IF(F592="I",IFERROR(VLOOKUP(C592,'BG 2021'!A:D,4,FALSE),0),0)</f>
        <v>0</v>
      </c>
      <c r="J592" s="40"/>
      <c r="K592" s="47">
        <f>-IF(F592="I",SUMIF('BG 2020'!B:B,Clasificaciones!C592,'BG 2020'!D:D),0)</f>
        <v>0</v>
      </c>
      <c r="L592" s="40"/>
      <c r="M592" s="68">
        <f>-IF(F592="I",SUMIF('BG 2020'!B:B,Clasificaciones!C592,'BG 2020'!E:E),0)</f>
        <v>0</v>
      </c>
    </row>
    <row r="593" spans="1:13" s="166" customFormat="1" ht="12" customHeight="1">
      <c r="A593" s="163" t="s">
        <v>190</v>
      </c>
      <c r="B593" s="163" t="s">
        <v>119</v>
      </c>
      <c r="C593" s="164">
        <v>403010116</v>
      </c>
      <c r="D593" s="164" t="s">
        <v>1632</v>
      </c>
      <c r="E593" s="165" t="s">
        <v>229</v>
      </c>
      <c r="F593" s="165" t="s">
        <v>344</v>
      </c>
      <c r="G593" s="47">
        <f>-IF(F593="I",IFERROR(VLOOKUP(C593,'BG 2021'!A:C,3,FALSE),0),0)</f>
        <v>-22733755</v>
      </c>
      <c r="H593" s="163" t="s">
        <v>119</v>
      </c>
      <c r="I593" s="68">
        <f>-IF(F593="I",IFERROR(VLOOKUP(C593,'BG 2021'!A:D,4,FALSE),0),0)</f>
        <v>-3360.02</v>
      </c>
      <c r="J593" s="40"/>
      <c r="K593" s="47">
        <f>-IF(F593="I",SUMIF('BG 2020'!B:B,Clasificaciones!C593,'BG 2020'!D:D),0)</f>
        <v>0</v>
      </c>
      <c r="L593" s="40"/>
      <c r="M593" s="68">
        <f>-IF(F593="I",SUMIF('BG 2020'!B:B,Clasificaciones!C593,'BG 2020'!E:E),0)</f>
        <v>0</v>
      </c>
    </row>
    <row r="594" spans="1:13" s="166" customFormat="1" ht="12" customHeight="1">
      <c r="A594" s="163" t="s">
        <v>190</v>
      </c>
      <c r="B594" s="163" t="s">
        <v>119</v>
      </c>
      <c r="C594" s="164">
        <v>403010117</v>
      </c>
      <c r="D594" s="164" t="s">
        <v>893</v>
      </c>
      <c r="E594" s="165" t="s">
        <v>6</v>
      </c>
      <c r="F594" s="165" t="s">
        <v>344</v>
      </c>
      <c r="G594" s="47">
        <f>-IF(F594="I",IFERROR(VLOOKUP(C594,'BG 2021'!A:C,3,FALSE),0),0)</f>
        <v>-297165671</v>
      </c>
      <c r="H594" s="163" t="s">
        <v>119</v>
      </c>
      <c r="I594" s="68">
        <f>-IF(F594="I",IFERROR(VLOOKUP(C594,'BG 2021'!A:D,4,FALSE),0),0)</f>
        <v>-43412.79</v>
      </c>
      <c r="J594" s="40"/>
      <c r="K594" s="47">
        <f>-IF(F594="I",SUMIF('BG 2020'!B:B,Clasificaciones!C594,'BG 2020'!D:D),0)</f>
        <v>0</v>
      </c>
      <c r="L594" s="40"/>
      <c r="M594" s="68">
        <f>-IF(F594="I",SUMIF('BG 2020'!B:B,Clasificaciones!C594,'BG 2020'!E:E),0)</f>
        <v>0</v>
      </c>
    </row>
    <row r="595" spans="1:13" s="166" customFormat="1" ht="12" customHeight="1">
      <c r="A595" s="163" t="s">
        <v>190</v>
      </c>
      <c r="B595" s="163" t="s">
        <v>119</v>
      </c>
      <c r="C595" s="164">
        <v>403010118</v>
      </c>
      <c r="D595" s="164" t="s">
        <v>1633</v>
      </c>
      <c r="E595" s="165" t="s">
        <v>229</v>
      </c>
      <c r="F595" s="165" t="s">
        <v>344</v>
      </c>
      <c r="G595" s="47">
        <f>-IF(F595="I",IFERROR(VLOOKUP(C595,'BG 2021'!A:C,3,FALSE),0),0)</f>
        <v>-115351496</v>
      </c>
      <c r="H595" s="163" t="s">
        <v>119</v>
      </c>
      <c r="I595" s="68">
        <f>-IF(F595="I",IFERROR(VLOOKUP(C595,'BG 2021'!A:D,4,FALSE),0),0)</f>
        <v>-16979.25</v>
      </c>
      <c r="J595" s="40"/>
      <c r="K595" s="47">
        <f>-IF(F595="I",SUMIF('BG 2020'!B:B,Clasificaciones!C595,'BG 2020'!D:D),0)</f>
        <v>0</v>
      </c>
      <c r="L595" s="40"/>
      <c r="M595" s="68">
        <f>-IF(F595="I",SUMIF('BG 2020'!B:B,Clasificaciones!C595,'BG 2020'!E:E),0)</f>
        <v>0</v>
      </c>
    </row>
    <row r="596" spans="1:13" s="166" customFormat="1" ht="12" customHeight="1">
      <c r="A596" s="163" t="s">
        <v>190</v>
      </c>
      <c r="B596" s="163" t="s">
        <v>270</v>
      </c>
      <c r="C596" s="164">
        <v>403010119</v>
      </c>
      <c r="D596" s="164" t="s">
        <v>1174</v>
      </c>
      <c r="E596" s="165" t="s">
        <v>6</v>
      </c>
      <c r="F596" s="165" t="s">
        <v>344</v>
      </c>
      <c r="G596" s="47">
        <f>-IF(F596="I",IFERROR(VLOOKUP(C596,'BG 2021'!A:C,3,FALSE),0),0)</f>
        <v>0</v>
      </c>
      <c r="H596" s="163" t="s">
        <v>270</v>
      </c>
      <c r="I596" s="68">
        <f>-IF(F596="I",IFERROR(VLOOKUP(C596,'BG 2021'!A:D,4,FALSE),0),0)</f>
        <v>0</v>
      </c>
      <c r="J596" s="40"/>
      <c r="K596" s="47">
        <f>-IF(F596="I",SUMIF('BG 2020'!B:B,Clasificaciones!C596,'BG 2020'!D:D),0)</f>
        <v>0</v>
      </c>
      <c r="L596" s="40"/>
      <c r="M596" s="68">
        <f>-IF(F596="I",SUMIF('BG 2020'!B:B,Clasificaciones!C596,'BG 2020'!E:E),0)</f>
        <v>0</v>
      </c>
    </row>
    <row r="597" spans="1:13" s="166" customFormat="1" ht="12" customHeight="1">
      <c r="A597" s="163" t="s">
        <v>190</v>
      </c>
      <c r="B597" s="163" t="s">
        <v>270</v>
      </c>
      <c r="C597" s="164">
        <v>403010120</v>
      </c>
      <c r="D597" s="164" t="s">
        <v>1175</v>
      </c>
      <c r="E597" s="165" t="s">
        <v>229</v>
      </c>
      <c r="F597" s="165" t="s">
        <v>344</v>
      </c>
      <c r="G597" s="47">
        <f>-IF(F597="I",IFERROR(VLOOKUP(C597,'BG 2021'!A:C,3,FALSE),0),0)</f>
        <v>0</v>
      </c>
      <c r="H597" s="163" t="s">
        <v>270</v>
      </c>
      <c r="I597" s="68">
        <f>-IF(F597="I",IFERROR(VLOOKUP(C597,'BG 2021'!A:D,4,FALSE),0),0)</f>
        <v>0</v>
      </c>
      <c r="J597" s="40"/>
      <c r="K597" s="47">
        <f>-IF(F597="I",SUMIF('BG 2020'!B:B,Clasificaciones!C597,'BG 2020'!D:D),0)</f>
        <v>0</v>
      </c>
      <c r="L597" s="40"/>
      <c r="M597" s="68">
        <f>-IF(F597="I",SUMIF('BG 2020'!B:B,Clasificaciones!C597,'BG 2020'!E:E),0)</f>
        <v>0</v>
      </c>
    </row>
    <row r="598" spans="1:13" s="166" customFormat="1" ht="12" customHeight="1">
      <c r="A598" s="163" t="s">
        <v>190</v>
      </c>
      <c r="B598" s="163" t="s">
        <v>270</v>
      </c>
      <c r="C598" s="164">
        <v>403010121</v>
      </c>
      <c r="D598" s="164" t="s">
        <v>902</v>
      </c>
      <c r="E598" s="165" t="s">
        <v>6</v>
      </c>
      <c r="F598" s="165" t="s">
        <v>344</v>
      </c>
      <c r="G598" s="47">
        <f>-IF(F598="I",IFERROR(VLOOKUP(C598,'BG 2021'!A:C,3,FALSE),0),0)</f>
        <v>0</v>
      </c>
      <c r="H598" s="163" t="s">
        <v>270</v>
      </c>
      <c r="I598" s="68">
        <f>-IF(F598="I",IFERROR(VLOOKUP(C598,'BG 2021'!A:D,4,FALSE),0),0)</f>
        <v>0</v>
      </c>
      <c r="J598" s="40"/>
      <c r="K598" s="47">
        <f>-IF(F598="I",SUMIF('BG 2020'!B:B,Clasificaciones!C598,'BG 2020'!D:D),0)</f>
        <v>0</v>
      </c>
      <c r="L598" s="40"/>
      <c r="M598" s="68">
        <f>-IF(F598="I",SUMIF('BG 2020'!B:B,Clasificaciones!C598,'BG 2020'!E:E),0)</f>
        <v>0</v>
      </c>
    </row>
    <row r="599" spans="1:13" s="166" customFormat="1" ht="12" customHeight="1">
      <c r="A599" s="163" t="s">
        <v>190</v>
      </c>
      <c r="B599" s="163" t="s">
        <v>270</v>
      </c>
      <c r="C599" s="164">
        <v>403010122</v>
      </c>
      <c r="D599" s="164" t="s">
        <v>1067</v>
      </c>
      <c r="E599" s="165" t="s">
        <v>229</v>
      </c>
      <c r="F599" s="165" t="s">
        <v>344</v>
      </c>
      <c r="G599" s="47">
        <f>-IF(F599="I",IFERROR(VLOOKUP(C599,'BG 2021'!A:C,3,FALSE),0),0)</f>
        <v>0</v>
      </c>
      <c r="H599" s="163" t="s">
        <v>270</v>
      </c>
      <c r="I599" s="68">
        <f>-IF(F599="I",IFERROR(VLOOKUP(C599,'BG 2021'!A:D,4,FALSE),0),0)</f>
        <v>0</v>
      </c>
      <c r="J599" s="40"/>
      <c r="K599" s="47">
        <f>-IF(F599="I",SUMIF('BG 2020'!B:B,Clasificaciones!C599,'BG 2020'!D:D),0)</f>
        <v>0</v>
      </c>
      <c r="L599" s="40"/>
      <c r="M599" s="68">
        <f>-IF(F599="I",SUMIF('BG 2020'!B:B,Clasificaciones!C599,'BG 2020'!E:E),0)</f>
        <v>0</v>
      </c>
    </row>
    <row r="600" spans="1:13" s="166" customFormat="1" ht="12" customHeight="1">
      <c r="A600" s="163" t="s">
        <v>190</v>
      </c>
      <c r="B600" s="163" t="s">
        <v>270</v>
      </c>
      <c r="C600" s="164">
        <v>403010123</v>
      </c>
      <c r="D600" s="164" t="s">
        <v>1176</v>
      </c>
      <c r="E600" s="165" t="s">
        <v>6</v>
      </c>
      <c r="F600" s="165" t="s">
        <v>344</v>
      </c>
      <c r="G600" s="47">
        <f>-IF(F600="I",IFERROR(VLOOKUP(C600,'BG 2021'!A:C,3,FALSE),0),0)</f>
        <v>0</v>
      </c>
      <c r="H600" s="163" t="s">
        <v>270</v>
      </c>
      <c r="I600" s="68">
        <f>-IF(F600="I",IFERROR(VLOOKUP(C600,'BG 2021'!A:D,4,FALSE),0),0)</f>
        <v>0</v>
      </c>
      <c r="J600" s="40"/>
      <c r="K600" s="47">
        <f>-IF(F600="I",SUMIF('BG 2020'!B:B,Clasificaciones!C600,'BG 2020'!D:D),0)</f>
        <v>0</v>
      </c>
      <c r="L600" s="40"/>
      <c r="M600" s="68">
        <f>-IF(F600="I",SUMIF('BG 2020'!B:B,Clasificaciones!C600,'BG 2020'!E:E),0)</f>
        <v>0</v>
      </c>
    </row>
    <row r="601" spans="1:13" s="166" customFormat="1" ht="12" customHeight="1">
      <c r="A601" s="163" t="s">
        <v>190</v>
      </c>
      <c r="B601" s="163" t="s">
        <v>270</v>
      </c>
      <c r="C601" s="164">
        <v>403010124</v>
      </c>
      <c r="D601" s="164" t="s">
        <v>1177</v>
      </c>
      <c r="E601" s="165" t="s">
        <v>229</v>
      </c>
      <c r="F601" s="165" t="s">
        <v>344</v>
      </c>
      <c r="G601" s="47">
        <f>-IF(F601="I",IFERROR(VLOOKUP(C601,'BG 2021'!A:C,3,FALSE),0),0)</f>
        <v>0</v>
      </c>
      <c r="H601" s="163" t="s">
        <v>270</v>
      </c>
      <c r="I601" s="68">
        <f>-IF(F601="I",IFERROR(VLOOKUP(C601,'BG 2021'!A:D,4,FALSE),0),0)</f>
        <v>0</v>
      </c>
      <c r="J601" s="40"/>
      <c r="K601" s="47">
        <f>-IF(F601="I",SUMIF('BG 2020'!B:B,Clasificaciones!C601,'BG 2020'!D:D),0)</f>
        <v>0</v>
      </c>
      <c r="L601" s="40"/>
      <c r="M601" s="68">
        <f>-IF(F601="I",SUMIF('BG 2020'!B:B,Clasificaciones!C601,'BG 2020'!E:E),0)</f>
        <v>0</v>
      </c>
    </row>
    <row r="602" spans="1:13" s="166" customFormat="1" ht="12" customHeight="1">
      <c r="A602" s="163" t="s">
        <v>190</v>
      </c>
      <c r="B602" s="163" t="s">
        <v>270</v>
      </c>
      <c r="C602" s="164">
        <v>403010125</v>
      </c>
      <c r="D602" s="164" t="s">
        <v>1178</v>
      </c>
      <c r="E602" s="165" t="s">
        <v>6</v>
      </c>
      <c r="F602" s="165" t="s">
        <v>344</v>
      </c>
      <c r="G602" s="47">
        <f>-IF(F602="I",IFERROR(VLOOKUP(C602,'BG 2021'!A:C,3,FALSE),0),0)</f>
        <v>0</v>
      </c>
      <c r="H602" s="163" t="s">
        <v>270</v>
      </c>
      <c r="I602" s="68">
        <f>-IF(F602="I",IFERROR(VLOOKUP(C602,'BG 2021'!A:D,4,FALSE),0),0)</f>
        <v>0</v>
      </c>
      <c r="J602" s="40"/>
      <c r="K602" s="47">
        <f>-IF(F602="I",SUMIF('BG 2020'!B:B,Clasificaciones!C602,'BG 2020'!D:D),0)</f>
        <v>0</v>
      </c>
      <c r="L602" s="40"/>
      <c r="M602" s="68">
        <f>-IF(F602="I",SUMIF('BG 2020'!B:B,Clasificaciones!C602,'BG 2020'!E:E),0)</f>
        <v>0</v>
      </c>
    </row>
    <row r="603" spans="1:13" s="166" customFormat="1" ht="12" customHeight="1">
      <c r="A603" s="163" t="s">
        <v>190</v>
      </c>
      <c r="B603" s="163" t="s">
        <v>270</v>
      </c>
      <c r="C603" s="164">
        <v>403010126</v>
      </c>
      <c r="D603" s="164" t="s">
        <v>1179</v>
      </c>
      <c r="E603" s="165" t="s">
        <v>229</v>
      </c>
      <c r="F603" s="165" t="s">
        <v>344</v>
      </c>
      <c r="G603" s="47">
        <f>-IF(F603="I",IFERROR(VLOOKUP(C603,'BG 2021'!A:C,3,FALSE),0),0)</f>
        <v>0</v>
      </c>
      <c r="H603" s="163" t="s">
        <v>270</v>
      </c>
      <c r="I603" s="68">
        <f>-IF(F603="I",IFERROR(VLOOKUP(C603,'BG 2021'!A:D,4,FALSE),0),0)</f>
        <v>0</v>
      </c>
      <c r="J603" s="40"/>
      <c r="K603" s="47">
        <f>-IF(F603="I",SUMIF('BG 2020'!B:B,Clasificaciones!C603,'BG 2020'!D:D),0)</f>
        <v>0</v>
      </c>
      <c r="L603" s="40"/>
      <c r="M603" s="68">
        <f>-IF(F603="I",SUMIF('BG 2020'!B:B,Clasificaciones!C603,'BG 2020'!E:E),0)</f>
        <v>0</v>
      </c>
    </row>
    <row r="604" spans="1:13" s="166" customFormat="1" ht="12" customHeight="1">
      <c r="A604" s="163" t="s">
        <v>190</v>
      </c>
      <c r="B604" s="163" t="s">
        <v>270</v>
      </c>
      <c r="C604" s="164">
        <v>403010127</v>
      </c>
      <c r="D604" s="164" t="s">
        <v>1180</v>
      </c>
      <c r="E604" s="165" t="s">
        <v>6</v>
      </c>
      <c r="F604" s="165" t="s">
        <v>344</v>
      </c>
      <c r="G604" s="47">
        <f>-IF(F604="I",IFERROR(VLOOKUP(C604,'BG 2021'!A:C,3,FALSE),0),0)</f>
        <v>0</v>
      </c>
      <c r="H604" s="163" t="s">
        <v>270</v>
      </c>
      <c r="I604" s="68">
        <f>-IF(F604="I",IFERROR(VLOOKUP(C604,'BG 2021'!A:D,4,FALSE),0),0)</f>
        <v>0</v>
      </c>
      <c r="J604" s="40"/>
      <c r="K604" s="47">
        <f>-IF(F604="I",SUMIF('BG 2020'!B:B,Clasificaciones!C604,'BG 2020'!D:D),0)</f>
        <v>0</v>
      </c>
      <c r="L604" s="40"/>
      <c r="M604" s="68">
        <f>-IF(F604="I",SUMIF('BG 2020'!B:B,Clasificaciones!C604,'BG 2020'!E:E),0)</f>
        <v>0</v>
      </c>
    </row>
    <row r="605" spans="1:13" s="166" customFormat="1" ht="12" customHeight="1">
      <c r="A605" s="163" t="s">
        <v>190</v>
      </c>
      <c r="B605" s="163" t="s">
        <v>270</v>
      </c>
      <c r="C605" s="164">
        <v>403010128</v>
      </c>
      <c r="D605" s="164" t="s">
        <v>1181</v>
      </c>
      <c r="E605" s="165" t="s">
        <v>229</v>
      </c>
      <c r="F605" s="165" t="s">
        <v>344</v>
      </c>
      <c r="G605" s="47">
        <f>-IF(F605="I",IFERROR(VLOOKUP(C605,'BG 2021'!A:C,3,FALSE),0),0)</f>
        <v>0</v>
      </c>
      <c r="H605" s="163" t="s">
        <v>270</v>
      </c>
      <c r="I605" s="68">
        <f>-IF(F605="I",IFERROR(VLOOKUP(C605,'BG 2021'!A:D,4,FALSE),0),0)</f>
        <v>0</v>
      </c>
      <c r="J605" s="40"/>
      <c r="K605" s="47">
        <f>-IF(F605="I",SUMIF('BG 2020'!B:B,Clasificaciones!C605,'BG 2020'!D:D),0)</f>
        <v>0</v>
      </c>
      <c r="L605" s="40"/>
      <c r="M605" s="68">
        <f>-IF(F605="I",SUMIF('BG 2020'!B:B,Clasificaciones!C605,'BG 2020'!E:E),0)</f>
        <v>0</v>
      </c>
    </row>
    <row r="606" spans="1:13" s="166" customFormat="1" ht="12" customHeight="1">
      <c r="A606" s="163" t="s">
        <v>190</v>
      </c>
      <c r="B606" s="163" t="s">
        <v>119</v>
      </c>
      <c r="C606" s="164">
        <v>403010129</v>
      </c>
      <c r="D606" s="164" t="s">
        <v>895</v>
      </c>
      <c r="E606" s="165" t="s">
        <v>6</v>
      </c>
      <c r="F606" s="165" t="s">
        <v>344</v>
      </c>
      <c r="G606" s="47">
        <f>-IF(F606="I",IFERROR(VLOOKUP(C606,'BG 2021'!A:C,3,FALSE),0),0)</f>
        <v>-6147471</v>
      </c>
      <c r="H606" s="163" t="s">
        <v>119</v>
      </c>
      <c r="I606" s="68">
        <f>-IF(F606="I",IFERROR(VLOOKUP(C606,'BG 2021'!A:D,4,FALSE),0),0)</f>
        <v>-911.5</v>
      </c>
      <c r="J606" s="40"/>
      <c r="K606" s="47">
        <f>-IF(F606="I",SUMIF('BG 2020'!B:B,Clasificaciones!C606,'BG 2020'!D:D),0)</f>
        <v>0</v>
      </c>
      <c r="L606" s="40"/>
      <c r="M606" s="68">
        <f>-IF(F606="I",SUMIF('BG 2020'!B:B,Clasificaciones!C606,'BG 2020'!E:E),0)</f>
        <v>0</v>
      </c>
    </row>
    <row r="607" spans="1:13" s="166" customFormat="1" ht="12" customHeight="1">
      <c r="A607" s="163" t="s">
        <v>190</v>
      </c>
      <c r="B607" s="163" t="s">
        <v>119</v>
      </c>
      <c r="C607" s="164">
        <v>403010130</v>
      </c>
      <c r="D607" s="164" t="s">
        <v>1182</v>
      </c>
      <c r="E607" s="165" t="s">
        <v>229</v>
      </c>
      <c r="F607" s="165" t="s">
        <v>344</v>
      </c>
      <c r="G607" s="47">
        <f>-IF(F607="I",IFERROR(VLOOKUP(C607,'BG 2021'!A:C,3,FALSE),0),0)</f>
        <v>0</v>
      </c>
      <c r="H607" s="163" t="s">
        <v>119</v>
      </c>
      <c r="I607" s="68">
        <f>-IF(F607="I",IFERROR(VLOOKUP(C607,'BG 2021'!A:D,4,FALSE),0),0)</f>
        <v>0</v>
      </c>
      <c r="J607" s="40"/>
      <c r="K607" s="47">
        <f>-IF(F607="I",SUMIF('BG 2020'!B:B,Clasificaciones!C607,'BG 2020'!D:D),0)</f>
        <v>-1173699</v>
      </c>
      <c r="L607" s="40"/>
      <c r="M607" s="68">
        <f>-IF(F607="I",SUMIF('BG 2020'!B:B,Clasificaciones!C607,'BG 2020'!E:E),0)</f>
        <v>-170.3</v>
      </c>
    </row>
    <row r="608" spans="1:13" s="166" customFormat="1" ht="12" customHeight="1">
      <c r="A608" s="163" t="s">
        <v>190</v>
      </c>
      <c r="B608" s="163"/>
      <c r="C608" s="164">
        <v>4030102</v>
      </c>
      <c r="D608" s="164" t="s">
        <v>896</v>
      </c>
      <c r="E608" s="165" t="s">
        <v>6</v>
      </c>
      <c r="F608" s="165" t="s">
        <v>343</v>
      </c>
      <c r="G608" s="47">
        <f>-IF(F608="I",IFERROR(VLOOKUP(C608,'BG 2021'!A:C,3,FALSE),0),0)</f>
        <v>0</v>
      </c>
      <c r="H608" s="163"/>
      <c r="I608" s="68">
        <f>-IF(F608="I",IFERROR(VLOOKUP(C608,'BG 2021'!A:D,4,FALSE),0),0)</f>
        <v>0</v>
      </c>
      <c r="J608" s="40"/>
      <c r="K608" s="47">
        <f>-IF(F608="I",SUMIF('BG 2020'!B:B,Clasificaciones!C608,'BG 2020'!D:D),0)</f>
        <v>0</v>
      </c>
      <c r="L608" s="40"/>
      <c r="M608" s="68">
        <f>-IF(F608="I",SUMIF('BG 2020'!B:B,Clasificaciones!C608,'BG 2020'!E:E),0)</f>
        <v>0</v>
      </c>
    </row>
    <row r="609" spans="1:13" s="166" customFormat="1" ht="12" customHeight="1">
      <c r="A609" s="163" t="s">
        <v>190</v>
      </c>
      <c r="B609" s="163" t="s">
        <v>119</v>
      </c>
      <c r="C609" s="164">
        <v>403010201</v>
      </c>
      <c r="D609" s="164" t="s">
        <v>896</v>
      </c>
      <c r="E609" s="165" t="s">
        <v>6</v>
      </c>
      <c r="F609" s="165" t="s">
        <v>344</v>
      </c>
      <c r="G609" s="47">
        <f>-IF(F609="I",IFERROR(VLOOKUP(C609,'BG 2021'!A:C,3,FALSE),0),0)</f>
        <v>-195616</v>
      </c>
      <c r="H609" s="163" t="s">
        <v>119</v>
      </c>
      <c r="I609" s="68">
        <f>-IF(F609="I",IFERROR(VLOOKUP(C609,'BG 2021'!A:D,4,FALSE),0),0)</f>
        <v>-28.23</v>
      </c>
      <c r="J609" s="40"/>
      <c r="K609" s="47">
        <f>-IF(F609="I",SUMIF('BG 2020'!B:B,Clasificaciones!C609,'BG 2020'!D:D),0)</f>
        <v>0</v>
      </c>
      <c r="L609" s="40"/>
      <c r="M609" s="68">
        <f>-IF(F609="I",SUMIF('BG 2020'!B:B,Clasificaciones!C609,'BG 2020'!E:E),0)</f>
        <v>0</v>
      </c>
    </row>
    <row r="610" spans="1:13" s="166" customFormat="1" ht="12" customHeight="1">
      <c r="A610" s="163" t="s">
        <v>190</v>
      </c>
      <c r="B610" s="163" t="s">
        <v>119</v>
      </c>
      <c r="C610" s="164">
        <v>403010202</v>
      </c>
      <c r="D610" s="164" t="s">
        <v>896</v>
      </c>
      <c r="E610" s="165" t="s">
        <v>229</v>
      </c>
      <c r="F610" s="165" t="s">
        <v>344</v>
      </c>
      <c r="G610" s="47">
        <f>-IF(F610="I",IFERROR(VLOOKUP(C610,'BG 2021'!A:C,3,FALSE),0),0)</f>
        <v>0</v>
      </c>
      <c r="H610" s="163" t="s">
        <v>119</v>
      </c>
      <c r="I610" s="68">
        <f>-IF(F610="I",IFERROR(VLOOKUP(C610,'BG 2021'!A:D,4,FALSE),0),0)</f>
        <v>0</v>
      </c>
      <c r="J610" s="40"/>
      <c r="K610" s="47">
        <f>-IF(F610="I",SUMIF('BG 2020'!B:B,Clasificaciones!C610,'BG 2020'!D:D),0)</f>
        <v>0</v>
      </c>
      <c r="L610" s="40"/>
      <c r="M610" s="68">
        <f>-IF(F610="I",SUMIF('BG 2020'!B:B,Clasificaciones!C610,'BG 2020'!E:E),0)</f>
        <v>0</v>
      </c>
    </row>
    <row r="611" spans="1:13" s="166" customFormat="1" ht="12" customHeight="1">
      <c r="A611" s="163" t="s">
        <v>190</v>
      </c>
      <c r="B611" s="163"/>
      <c r="C611" s="164">
        <v>40302</v>
      </c>
      <c r="D611" s="164" t="s">
        <v>897</v>
      </c>
      <c r="E611" s="165" t="s">
        <v>6</v>
      </c>
      <c r="F611" s="165" t="s">
        <v>343</v>
      </c>
      <c r="G611" s="47">
        <f>-IF(F611="I",IFERROR(VLOOKUP(C611,'BG 2021'!A:C,3,FALSE),0),0)</f>
        <v>0</v>
      </c>
      <c r="H611" s="163"/>
      <c r="I611" s="68">
        <f>-IF(F611="I",IFERROR(VLOOKUP(C611,'BG 2021'!A:D,4,FALSE),0),0)</f>
        <v>0</v>
      </c>
      <c r="J611" s="40"/>
      <c r="K611" s="47">
        <f>-IF(F611="I",SUMIF('BG 2020'!B:B,Clasificaciones!C611,'BG 2020'!D:D),0)</f>
        <v>0</v>
      </c>
      <c r="L611" s="40"/>
      <c r="M611" s="68">
        <f>-IF(F611="I",SUMIF('BG 2020'!B:B,Clasificaciones!C611,'BG 2020'!E:E),0)</f>
        <v>0</v>
      </c>
    </row>
    <row r="612" spans="1:13" s="166" customFormat="1" ht="12" customHeight="1">
      <c r="A612" s="163" t="s">
        <v>190</v>
      </c>
      <c r="B612" s="163"/>
      <c r="C612" s="164">
        <v>4030201</v>
      </c>
      <c r="D612" s="164" t="s">
        <v>898</v>
      </c>
      <c r="E612" s="165" t="s">
        <v>6</v>
      </c>
      <c r="F612" s="165" t="s">
        <v>343</v>
      </c>
      <c r="G612" s="47">
        <f>-IF(F612="I",IFERROR(VLOOKUP(C612,'BG 2021'!A:C,3,FALSE),0),0)</f>
        <v>0</v>
      </c>
      <c r="H612" s="163"/>
      <c r="I612" s="68">
        <f>-IF(F612="I",IFERROR(VLOOKUP(C612,'BG 2021'!A:D,4,FALSE),0),0)</f>
        <v>0</v>
      </c>
      <c r="J612" s="40"/>
      <c r="K612" s="47">
        <f>-IF(F612="I",SUMIF('BG 2020'!B:B,Clasificaciones!C612,'BG 2020'!D:D),0)</f>
        <v>0</v>
      </c>
      <c r="L612" s="40"/>
      <c r="M612" s="68">
        <f>-IF(F612="I",SUMIF('BG 2020'!B:B,Clasificaciones!C612,'BG 2020'!E:E),0)</f>
        <v>0</v>
      </c>
    </row>
    <row r="613" spans="1:13" s="166" customFormat="1" ht="12" customHeight="1">
      <c r="A613" s="163" t="s">
        <v>190</v>
      </c>
      <c r="B613" s="163" t="s">
        <v>35</v>
      </c>
      <c r="C613" s="164">
        <v>403020101</v>
      </c>
      <c r="D613" s="164" t="s">
        <v>884</v>
      </c>
      <c r="E613" s="165" t="s">
        <v>6</v>
      </c>
      <c r="F613" s="165" t="s">
        <v>344</v>
      </c>
      <c r="G613" s="47">
        <f>-IF(F613="I",IFERROR(VLOOKUP(C613,'BG 2021'!A:C,3,FALSE),0),0)</f>
        <v>-287339506</v>
      </c>
      <c r="H613" s="163" t="s">
        <v>35</v>
      </c>
      <c r="I613" s="68">
        <f>-IF(F613="I",IFERROR(VLOOKUP(C613,'BG 2021'!A:D,4,FALSE),0),0)</f>
        <v>-42626.12</v>
      </c>
      <c r="J613" s="40"/>
      <c r="K613" s="47">
        <f>-IF(F613="I",SUMIF('BG 2020'!B:B,Clasificaciones!C613,'BG 2020'!D:D),0)</f>
        <v>-2581316400</v>
      </c>
      <c r="L613" s="40"/>
      <c r="M613" s="68">
        <f>-IF(F613="I",SUMIF('BG 2020'!B:B,Clasificaciones!C613,'BG 2020'!E:E),0)</f>
        <v>-376604.47000000003</v>
      </c>
    </row>
    <row r="614" spans="1:13" s="166" customFormat="1" ht="12" customHeight="1">
      <c r="A614" s="163" t="s">
        <v>190</v>
      </c>
      <c r="B614" s="163" t="s">
        <v>35</v>
      </c>
      <c r="C614" s="164">
        <v>403020102</v>
      </c>
      <c r="D614" s="164" t="s">
        <v>1623</v>
      </c>
      <c r="E614" s="165" t="s">
        <v>229</v>
      </c>
      <c r="F614" s="165" t="s">
        <v>344</v>
      </c>
      <c r="G614" s="47">
        <f>-IF(F614="I",IFERROR(VLOOKUP(C614,'BG 2021'!A:C,3,FALSE),0),0)</f>
        <v>-50810352</v>
      </c>
      <c r="H614" s="163" t="s">
        <v>35</v>
      </c>
      <c r="I614" s="68">
        <f>-IF(F614="I",IFERROR(VLOOKUP(C614,'BG 2021'!A:D,4,FALSE),0),0)</f>
        <v>-7549.27</v>
      </c>
      <c r="J614" s="40"/>
      <c r="K614" s="47">
        <f>-IF(F614="I",SUMIF('BG 2020'!B:B,Clasificaciones!C614,'BG 2020'!D:D),0)</f>
        <v>0</v>
      </c>
      <c r="L614" s="40"/>
      <c r="M614" s="68">
        <f>-IF(F614="I",SUMIF('BG 2020'!B:B,Clasificaciones!C614,'BG 2020'!E:E),0)</f>
        <v>0</v>
      </c>
    </row>
    <row r="615" spans="1:13" s="166" customFormat="1" ht="12" customHeight="1">
      <c r="A615" s="163" t="s">
        <v>190</v>
      </c>
      <c r="B615" s="163" t="s">
        <v>35</v>
      </c>
      <c r="C615" s="164">
        <v>403020103</v>
      </c>
      <c r="D615" s="164" t="s">
        <v>885</v>
      </c>
      <c r="E615" s="165" t="s">
        <v>6</v>
      </c>
      <c r="F615" s="165" t="s">
        <v>344</v>
      </c>
      <c r="G615" s="47">
        <f>-IF(F615="I",IFERROR(VLOOKUP(C615,'BG 2021'!A:C,3,FALSE),0),0)</f>
        <v>-26698767</v>
      </c>
      <c r="H615" s="163" t="s">
        <v>35</v>
      </c>
      <c r="I615" s="68">
        <f>-IF(F615="I",IFERROR(VLOOKUP(C615,'BG 2021'!A:D,4,FALSE),0),0)</f>
        <v>-3839.49</v>
      </c>
      <c r="J615" s="40"/>
      <c r="K615" s="47">
        <f>-IF(F615="I",SUMIF('BG 2020'!B:B,Clasificaciones!C615,'BG 2020'!D:D),0)</f>
        <v>0</v>
      </c>
      <c r="L615" s="40"/>
      <c r="M615" s="68">
        <f>-IF(F615="I",SUMIF('BG 2020'!B:B,Clasificaciones!C615,'BG 2020'!E:E),0)</f>
        <v>0</v>
      </c>
    </row>
    <row r="616" spans="1:13" s="166" customFormat="1" ht="12" customHeight="1">
      <c r="A616" s="163" t="s">
        <v>190</v>
      </c>
      <c r="B616" s="163" t="s">
        <v>35</v>
      </c>
      <c r="C616" s="164">
        <v>403020104</v>
      </c>
      <c r="D616" s="164" t="s">
        <v>1634</v>
      </c>
      <c r="E616" s="165" t="s">
        <v>229</v>
      </c>
      <c r="F616" s="165" t="s">
        <v>344</v>
      </c>
      <c r="G616" s="47">
        <f>-IF(F616="I",IFERROR(VLOOKUP(C616,'BG 2021'!A:C,3,FALSE),0),0)</f>
        <v>-1045538193</v>
      </c>
      <c r="H616" s="163" t="s">
        <v>35</v>
      </c>
      <c r="I616" s="68">
        <f>-IF(F616="I",IFERROR(VLOOKUP(C616,'BG 2021'!A:D,4,FALSE),0),0)</f>
        <v>-154679.19</v>
      </c>
      <c r="J616" s="40"/>
      <c r="K616" s="47">
        <f>-IF(F616="I",SUMIF('BG 2020'!B:B,Clasificaciones!C616,'BG 2020'!D:D),0)</f>
        <v>0</v>
      </c>
      <c r="L616" s="40"/>
      <c r="M616" s="68">
        <f>-IF(F616="I",SUMIF('BG 2020'!B:B,Clasificaciones!C616,'BG 2020'!E:E),0)</f>
        <v>0</v>
      </c>
    </row>
    <row r="617" spans="1:13" s="166" customFormat="1" ht="12" customHeight="1">
      <c r="A617" s="163" t="s">
        <v>190</v>
      </c>
      <c r="B617" s="163" t="s">
        <v>728</v>
      </c>
      <c r="C617" s="164">
        <v>403020105</v>
      </c>
      <c r="D617" s="164" t="s">
        <v>887</v>
      </c>
      <c r="E617" s="165" t="s">
        <v>6</v>
      </c>
      <c r="F617" s="165" t="s">
        <v>344</v>
      </c>
      <c r="G617" s="47">
        <f>-IF(F617="I",IFERROR(VLOOKUP(C617,'BG 2021'!A:C,3,FALSE),0),0)</f>
        <v>-2031005218</v>
      </c>
      <c r="H617" s="163" t="s">
        <v>728</v>
      </c>
      <c r="I617" s="68">
        <f>-IF(F617="I",IFERROR(VLOOKUP(C617,'BG 2021'!A:D,4,FALSE),0),0)</f>
        <v>-297604.07</v>
      </c>
      <c r="J617" s="40"/>
      <c r="K617" s="47">
        <f>-IF(F617="I",SUMIF('BG 2020'!B:B,Clasificaciones!C617,'BG 2020'!D:D),0)</f>
        <v>-3918687347</v>
      </c>
      <c r="L617" s="40"/>
      <c r="M617" s="68">
        <f>-IF(F617="I",SUMIF('BG 2020'!B:B,Clasificaciones!C617,'BG 2020'!E:E),0)</f>
        <v>-576768.99</v>
      </c>
    </row>
    <row r="618" spans="1:13" s="166" customFormat="1" ht="12" customHeight="1">
      <c r="A618" s="163" t="s">
        <v>190</v>
      </c>
      <c r="B618" s="163" t="s">
        <v>728</v>
      </c>
      <c r="C618" s="164">
        <v>403020106</v>
      </c>
      <c r="D618" s="164" t="s">
        <v>1590</v>
      </c>
      <c r="E618" s="165" t="s">
        <v>229</v>
      </c>
      <c r="F618" s="165" t="s">
        <v>344</v>
      </c>
      <c r="G618" s="47">
        <f>-IF(F618="I",IFERROR(VLOOKUP(C618,'BG 2021'!A:C,3,FALSE),0),0)</f>
        <v>-2040036768</v>
      </c>
      <c r="H618" s="163" t="s">
        <v>728</v>
      </c>
      <c r="I618" s="68">
        <f>-IF(F618="I",IFERROR(VLOOKUP(C618,'BG 2021'!A:D,4,FALSE),0),0)</f>
        <v>-301940.08</v>
      </c>
      <c r="J618" s="40"/>
      <c r="K618" s="47">
        <f>-IF(F618="I",SUMIF('BG 2020'!B:B,Clasificaciones!C618,'BG 2020'!D:D),0)</f>
        <v>0</v>
      </c>
      <c r="L618" s="40"/>
      <c r="M618" s="68">
        <f>-IF(F618="I",SUMIF('BG 2020'!B:B,Clasificaciones!C618,'BG 2020'!E:E),0)</f>
        <v>0</v>
      </c>
    </row>
    <row r="619" spans="1:13" s="166" customFormat="1" ht="12" customHeight="1">
      <c r="A619" s="163" t="s">
        <v>190</v>
      </c>
      <c r="B619" s="163" t="s">
        <v>35</v>
      </c>
      <c r="C619" s="164">
        <v>403020107</v>
      </c>
      <c r="D619" s="164" t="s">
        <v>888</v>
      </c>
      <c r="E619" s="165" t="s">
        <v>6</v>
      </c>
      <c r="F619" s="165" t="s">
        <v>344</v>
      </c>
      <c r="G619" s="47">
        <f>-IF(F619="I",IFERROR(VLOOKUP(C619,'BG 2021'!A:C,3,FALSE),0),0)</f>
        <v>-1631143199</v>
      </c>
      <c r="H619" s="163" t="s">
        <v>35</v>
      </c>
      <c r="I619" s="68">
        <f>-IF(F619="I",IFERROR(VLOOKUP(C619,'BG 2021'!A:D,4,FALSE),0),0)</f>
        <v>-241578.48</v>
      </c>
      <c r="J619" s="40"/>
      <c r="K619" s="47">
        <f>-IF(F619="I",SUMIF('BG 2020'!B:B,Clasificaciones!C619,'BG 2020'!D:D),0)</f>
        <v>0</v>
      </c>
      <c r="L619" s="40"/>
      <c r="M619" s="68">
        <f>-IF(F619="I",SUMIF('BG 2020'!B:B,Clasificaciones!C619,'BG 2020'!E:E),0)</f>
        <v>0</v>
      </c>
    </row>
    <row r="620" spans="1:13" s="166" customFormat="1" ht="12" customHeight="1">
      <c r="A620" s="163" t="s">
        <v>190</v>
      </c>
      <c r="B620" s="163" t="s">
        <v>35</v>
      </c>
      <c r="C620" s="164">
        <v>403020108</v>
      </c>
      <c r="D620" s="164" t="s">
        <v>1630</v>
      </c>
      <c r="E620" s="165" t="s">
        <v>229</v>
      </c>
      <c r="F620" s="165" t="s">
        <v>344</v>
      </c>
      <c r="G620" s="47">
        <f>-IF(F620="I",IFERROR(VLOOKUP(C620,'BG 2021'!A:C,3,FALSE),0),0)</f>
        <v>-148298340</v>
      </c>
      <c r="H620" s="163" t="s">
        <v>35</v>
      </c>
      <c r="I620" s="68">
        <f>-IF(F620="I",IFERROR(VLOOKUP(C620,'BG 2021'!A:D,4,FALSE),0),0)</f>
        <v>-21466.48</v>
      </c>
      <c r="J620" s="40"/>
      <c r="K620" s="47">
        <f>-IF(F620="I",SUMIF('BG 2020'!B:B,Clasificaciones!C620,'BG 2020'!D:D),0)</f>
        <v>0</v>
      </c>
      <c r="L620" s="40"/>
      <c r="M620" s="68">
        <f>-IF(F620="I",SUMIF('BG 2020'!B:B,Clasificaciones!C620,'BG 2020'!E:E),0)</f>
        <v>0</v>
      </c>
    </row>
    <row r="621" spans="1:13" s="166" customFormat="1" ht="12" customHeight="1">
      <c r="A621" s="163" t="s">
        <v>190</v>
      </c>
      <c r="B621" s="163" t="s">
        <v>35</v>
      </c>
      <c r="C621" s="164">
        <v>403020109</v>
      </c>
      <c r="D621" s="164" t="s">
        <v>890</v>
      </c>
      <c r="E621" s="165" t="s">
        <v>6</v>
      </c>
      <c r="F621" s="165" t="s">
        <v>344</v>
      </c>
      <c r="G621" s="47">
        <f>-IF(F621="I",IFERROR(VLOOKUP(C621,'BG 2021'!A:C,3,FALSE),0),0)</f>
        <v>-4845379</v>
      </c>
      <c r="H621" s="163" t="s">
        <v>35</v>
      </c>
      <c r="I621" s="68">
        <f>-IF(F621="I",IFERROR(VLOOKUP(C621,'BG 2021'!A:D,4,FALSE),0),0)</f>
        <v>-743.64</v>
      </c>
      <c r="J621" s="40"/>
      <c r="K621" s="47">
        <f>-IF(F621="I",SUMIF('BG 2020'!B:B,Clasificaciones!C621,'BG 2020'!D:D),0)</f>
        <v>0</v>
      </c>
      <c r="L621" s="40"/>
      <c r="M621" s="68">
        <f>-IF(F621="I",SUMIF('BG 2020'!B:B,Clasificaciones!C621,'BG 2020'!E:E),0)</f>
        <v>0</v>
      </c>
    </row>
    <row r="622" spans="1:13" s="166" customFormat="1" ht="12" customHeight="1">
      <c r="A622" s="163" t="s">
        <v>190</v>
      </c>
      <c r="B622" s="163" t="s">
        <v>35</v>
      </c>
      <c r="C622" s="164">
        <v>403020110</v>
      </c>
      <c r="D622" s="164" t="s">
        <v>1003</v>
      </c>
      <c r="E622" s="165" t="s">
        <v>229</v>
      </c>
      <c r="F622" s="165" t="s">
        <v>344</v>
      </c>
      <c r="G622" s="47">
        <f>-IF(F622="I",IFERROR(VLOOKUP(C622,'BG 2021'!A:C,3,FALSE),0),0)</f>
        <v>0</v>
      </c>
      <c r="H622" s="163" t="s">
        <v>35</v>
      </c>
      <c r="I622" s="68">
        <f>-IF(F622="I",IFERROR(VLOOKUP(C622,'BG 2021'!A:D,4,FALSE),0),0)</f>
        <v>0</v>
      </c>
      <c r="J622" s="40"/>
      <c r="K622" s="47">
        <f>-IF(F622="I",SUMIF('BG 2020'!B:B,Clasificaciones!C622,'BG 2020'!D:D),0)</f>
        <v>0</v>
      </c>
      <c r="L622" s="40"/>
      <c r="M622" s="68">
        <f>-IF(F622="I",SUMIF('BG 2020'!B:B,Clasificaciones!C622,'BG 2020'!E:E),0)</f>
        <v>0</v>
      </c>
    </row>
    <row r="623" spans="1:13" s="166" customFormat="1" ht="12" customHeight="1">
      <c r="A623" s="163" t="s">
        <v>190</v>
      </c>
      <c r="B623" s="163" t="s">
        <v>35</v>
      </c>
      <c r="C623" s="164">
        <v>403020111</v>
      </c>
      <c r="D623" s="164" t="s">
        <v>1065</v>
      </c>
      <c r="E623" s="165" t="s">
        <v>6</v>
      </c>
      <c r="F623" s="165" t="s">
        <v>344</v>
      </c>
      <c r="G623" s="47">
        <f>-IF(F623="I",IFERROR(VLOOKUP(C623,'BG 2021'!A:C,3,FALSE),0),0)</f>
        <v>0</v>
      </c>
      <c r="H623" s="163" t="s">
        <v>35</v>
      </c>
      <c r="I623" s="68">
        <f>-IF(F623="I",IFERROR(VLOOKUP(C623,'BG 2021'!A:D,4,FALSE),0),0)</f>
        <v>0</v>
      </c>
      <c r="J623" s="40"/>
      <c r="K623" s="47">
        <f>-IF(F623="I",SUMIF('BG 2020'!B:B,Clasificaciones!C623,'BG 2020'!D:D),0)</f>
        <v>0</v>
      </c>
      <c r="L623" s="40"/>
      <c r="M623" s="68">
        <f>-IF(F623="I",SUMIF('BG 2020'!B:B,Clasificaciones!C623,'BG 2020'!E:E),0)</f>
        <v>0</v>
      </c>
    </row>
    <row r="624" spans="1:13" s="166" customFormat="1" ht="12" customHeight="1">
      <c r="A624" s="163" t="s">
        <v>190</v>
      </c>
      <c r="B624" s="163" t="s">
        <v>35</v>
      </c>
      <c r="C624" s="164">
        <v>403020112</v>
      </c>
      <c r="D624" s="164" t="s">
        <v>1006</v>
      </c>
      <c r="E624" s="165" t="s">
        <v>229</v>
      </c>
      <c r="F624" s="165" t="s">
        <v>344</v>
      </c>
      <c r="G624" s="47">
        <f>-IF(F624="I",IFERROR(VLOOKUP(C624,'BG 2021'!A:C,3,FALSE),0),0)</f>
        <v>0</v>
      </c>
      <c r="H624" s="163" t="s">
        <v>35</v>
      </c>
      <c r="I624" s="68">
        <f>-IF(F624="I",IFERROR(VLOOKUP(C624,'BG 2021'!A:D,4,FALSE),0),0)</f>
        <v>0</v>
      </c>
      <c r="J624" s="40"/>
      <c r="K624" s="47">
        <f>-IF(F624="I",SUMIF('BG 2020'!B:B,Clasificaciones!C624,'BG 2020'!D:D),0)</f>
        <v>0</v>
      </c>
      <c r="L624" s="40"/>
      <c r="M624" s="68">
        <f>-IF(F624="I",SUMIF('BG 2020'!B:B,Clasificaciones!C624,'BG 2020'!E:E),0)</f>
        <v>0</v>
      </c>
    </row>
    <row r="625" spans="1:13" s="166" customFormat="1" ht="12" customHeight="1">
      <c r="A625" s="163" t="s">
        <v>190</v>
      </c>
      <c r="B625" s="163" t="s">
        <v>120</v>
      </c>
      <c r="C625" s="164">
        <v>403020113</v>
      </c>
      <c r="D625" s="164" t="s">
        <v>901</v>
      </c>
      <c r="E625" s="165" t="s">
        <v>6</v>
      </c>
      <c r="F625" s="165" t="s">
        <v>344</v>
      </c>
      <c r="G625" s="47">
        <f>-IF(F625="I",IFERROR(VLOOKUP(C625,'BG 2021'!A:C,3,FALSE),0),0)</f>
        <v>-1138</v>
      </c>
      <c r="H625" s="163" t="s">
        <v>120</v>
      </c>
      <c r="I625" s="68">
        <f>-IF(F625="I",IFERROR(VLOOKUP(C625,'BG 2021'!A:D,4,FALSE),0),0)</f>
        <v>-0.16</v>
      </c>
      <c r="J625" s="40"/>
      <c r="K625" s="47">
        <f>-IF(F625="I",SUMIF('BG 2020'!B:B,Clasificaciones!C625,'BG 2020'!D:D),0)</f>
        <v>0</v>
      </c>
      <c r="L625" s="40"/>
      <c r="M625" s="68">
        <f>-IF(F625="I",SUMIF('BG 2020'!B:B,Clasificaciones!C625,'BG 2020'!E:E),0)</f>
        <v>0</v>
      </c>
    </row>
    <row r="626" spans="1:13" s="166" customFormat="1" ht="12" customHeight="1">
      <c r="A626" s="163" t="s">
        <v>190</v>
      </c>
      <c r="B626" s="163" t="s">
        <v>120</v>
      </c>
      <c r="C626" s="164">
        <v>403020114</v>
      </c>
      <c r="D626" s="164" t="s">
        <v>891</v>
      </c>
      <c r="E626" s="165" t="s">
        <v>229</v>
      </c>
      <c r="F626" s="165" t="s">
        <v>344</v>
      </c>
      <c r="G626" s="47">
        <f>-IF(F626="I",IFERROR(VLOOKUP(C626,'BG 2021'!A:C,3,FALSE),0),0)</f>
        <v>0</v>
      </c>
      <c r="H626" s="163" t="s">
        <v>120</v>
      </c>
      <c r="I626" s="68">
        <f>-IF(F626="I",IFERROR(VLOOKUP(C626,'BG 2021'!A:D,4,FALSE),0),0)</f>
        <v>0</v>
      </c>
      <c r="J626" s="40"/>
      <c r="K626" s="47">
        <f>-IF(F626="I",SUMIF('BG 2020'!B:B,Clasificaciones!C626,'BG 2020'!D:D),0)</f>
        <v>0</v>
      </c>
      <c r="L626" s="40"/>
      <c r="M626" s="68">
        <f>-IF(F626="I",SUMIF('BG 2020'!B:B,Clasificaciones!C626,'BG 2020'!E:E),0)</f>
        <v>0</v>
      </c>
    </row>
    <row r="627" spans="1:13" s="166" customFormat="1" ht="12" customHeight="1">
      <c r="A627" s="163" t="s">
        <v>190</v>
      </c>
      <c r="B627" s="163" t="s">
        <v>120</v>
      </c>
      <c r="C627" s="164">
        <v>403020115</v>
      </c>
      <c r="D627" s="164" t="s">
        <v>1173</v>
      </c>
      <c r="E627" s="165" t="s">
        <v>6</v>
      </c>
      <c r="F627" s="165" t="s">
        <v>344</v>
      </c>
      <c r="G627" s="47">
        <f>-IF(F627="I",IFERROR(VLOOKUP(C627,'BG 2021'!A:C,3,FALSE),0),0)</f>
        <v>0</v>
      </c>
      <c r="H627" s="163" t="s">
        <v>120</v>
      </c>
      <c r="I627" s="68">
        <f>-IF(F627="I",IFERROR(VLOOKUP(C627,'BG 2021'!A:D,4,FALSE),0),0)</f>
        <v>0</v>
      </c>
      <c r="J627" s="40"/>
      <c r="K627" s="47">
        <f>-IF(F627="I",SUMIF('BG 2020'!B:B,Clasificaciones!C627,'BG 2020'!D:D),0)</f>
        <v>0</v>
      </c>
      <c r="L627" s="40"/>
      <c r="M627" s="68">
        <f>-IF(F627="I",SUMIF('BG 2020'!B:B,Clasificaciones!C627,'BG 2020'!E:E),0)</f>
        <v>0</v>
      </c>
    </row>
    <row r="628" spans="1:13" s="166" customFormat="1" ht="12" customHeight="1">
      <c r="A628" s="163" t="s">
        <v>190</v>
      </c>
      <c r="B628" s="163" t="s">
        <v>120</v>
      </c>
      <c r="C628" s="164">
        <v>403020116</v>
      </c>
      <c r="D628" s="164" t="s">
        <v>1183</v>
      </c>
      <c r="E628" s="165" t="s">
        <v>229</v>
      </c>
      <c r="F628" s="165" t="s">
        <v>344</v>
      </c>
      <c r="G628" s="47">
        <f>-IF(F628="I",IFERROR(VLOOKUP(C628,'BG 2021'!A:C,3,FALSE),0),0)</f>
        <v>0</v>
      </c>
      <c r="H628" s="163" t="s">
        <v>120</v>
      </c>
      <c r="I628" s="68">
        <f>-IF(F628="I",IFERROR(VLOOKUP(C628,'BG 2021'!A:D,4,FALSE),0),0)</f>
        <v>0</v>
      </c>
      <c r="J628" s="40"/>
      <c r="K628" s="47">
        <f>-IF(F628="I",SUMIF('BG 2020'!B:B,Clasificaciones!C628,'BG 2020'!D:D),0)</f>
        <v>0</v>
      </c>
      <c r="L628" s="40"/>
      <c r="M628" s="68">
        <f>-IF(F628="I",SUMIF('BG 2020'!B:B,Clasificaciones!C628,'BG 2020'!E:E),0)</f>
        <v>0</v>
      </c>
    </row>
    <row r="629" spans="1:13" s="166" customFormat="1" ht="12" customHeight="1">
      <c r="A629" s="163" t="s">
        <v>190</v>
      </c>
      <c r="B629" s="163" t="s">
        <v>120</v>
      </c>
      <c r="C629" s="164">
        <v>403020117</v>
      </c>
      <c r="D629" s="164" t="s">
        <v>893</v>
      </c>
      <c r="E629" s="165" t="s">
        <v>6</v>
      </c>
      <c r="F629" s="165" t="s">
        <v>344</v>
      </c>
      <c r="G629" s="47">
        <f>-IF(F629="I",IFERROR(VLOOKUP(C629,'BG 2021'!A:C,3,FALSE),0),0)</f>
        <v>-5033923127</v>
      </c>
      <c r="H629" s="163" t="s">
        <v>120</v>
      </c>
      <c r="I629" s="68">
        <f>-IF(F629="I",IFERROR(VLOOKUP(C629,'BG 2021'!A:D,4,FALSE),0),0)</f>
        <v>-746108.57</v>
      </c>
      <c r="J629" s="40"/>
      <c r="K629" s="47">
        <f>-IF(F629="I",SUMIF('BG 2020'!B:B,Clasificaciones!C629,'BG 2020'!D:D),0)</f>
        <v>0</v>
      </c>
      <c r="L629" s="40"/>
      <c r="M629" s="68">
        <f>-IF(F629="I",SUMIF('BG 2020'!B:B,Clasificaciones!C629,'BG 2020'!E:E),0)</f>
        <v>0</v>
      </c>
    </row>
    <row r="630" spans="1:13" s="166" customFormat="1" ht="12" customHeight="1">
      <c r="A630" s="163" t="s">
        <v>190</v>
      </c>
      <c r="B630" s="163" t="s">
        <v>120</v>
      </c>
      <c r="C630" s="164">
        <v>403020118</v>
      </c>
      <c r="D630" s="164" t="s">
        <v>1633</v>
      </c>
      <c r="E630" s="165" t="s">
        <v>229</v>
      </c>
      <c r="F630" s="165" t="s">
        <v>344</v>
      </c>
      <c r="G630" s="47">
        <f>-IF(F630="I",IFERROR(VLOOKUP(C630,'BG 2021'!A:C,3,FALSE),0),0)</f>
        <v>-326940640</v>
      </c>
      <c r="H630" s="163" t="s">
        <v>120</v>
      </c>
      <c r="I630" s="68">
        <f>-IF(F630="I",IFERROR(VLOOKUP(C630,'BG 2021'!A:D,4,FALSE),0),0)</f>
        <v>-50346.49</v>
      </c>
      <c r="J630" s="40"/>
      <c r="K630" s="47">
        <f>-IF(F630="I",SUMIF('BG 2020'!B:B,Clasificaciones!C630,'BG 2020'!D:D),0)</f>
        <v>0</v>
      </c>
      <c r="L630" s="40"/>
      <c r="M630" s="68">
        <f>-IF(F630="I",SUMIF('BG 2020'!B:B,Clasificaciones!C630,'BG 2020'!E:E),0)</f>
        <v>0</v>
      </c>
    </row>
    <row r="631" spans="1:13" s="166" customFormat="1" ht="12" customHeight="1">
      <c r="A631" s="163" t="s">
        <v>190</v>
      </c>
      <c r="B631" s="163" t="s">
        <v>120</v>
      </c>
      <c r="C631" s="164">
        <v>403020119</v>
      </c>
      <c r="D631" s="164" t="s">
        <v>1174</v>
      </c>
      <c r="E631" s="165" t="s">
        <v>6</v>
      </c>
      <c r="F631" s="165" t="s">
        <v>344</v>
      </c>
      <c r="G631" s="47">
        <f>-IF(F631="I",IFERROR(VLOOKUP(C631,'BG 2021'!A:C,3,FALSE),0),0)</f>
        <v>-1253618015</v>
      </c>
      <c r="H631" s="163" t="s">
        <v>120</v>
      </c>
      <c r="I631" s="68">
        <f>-IF(F631="I",IFERROR(VLOOKUP(C631,'BG 2021'!A:D,4,FALSE),0),0)</f>
        <v>-189291.86</v>
      </c>
      <c r="J631" s="40"/>
      <c r="K631" s="47">
        <f>-IF(F631="I",SUMIF('BG 2020'!B:B,Clasificaciones!C631,'BG 2020'!D:D),0)</f>
        <v>0</v>
      </c>
      <c r="L631" s="40"/>
      <c r="M631" s="68">
        <f>-IF(F631="I",SUMIF('BG 2020'!B:B,Clasificaciones!C631,'BG 2020'!E:E),0)</f>
        <v>0</v>
      </c>
    </row>
    <row r="632" spans="1:13" s="166" customFormat="1" ht="12" customHeight="1">
      <c r="A632" s="163" t="s">
        <v>190</v>
      </c>
      <c r="B632" s="163" t="s">
        <v>120</v>
      </c>
      <c r="C632" s="164">
        <v>403020120</v>
      </c>
      <c r="D632" s="164" t="s">
        <v>1175</v>
      </c>
      <c r="E632" s="165" t="s">
        <v>229</v>
      </c>
      <c r="F632" s="165" t="s">
        <v>344</v>
      </c>
      <c r="G632" s="47">
        <f>-IF(F632="I",IFERROR(VLOOKUP(C632,'BG 2021'!A:C,3,FALSE),0),0)</f>
        <v>0</v>
      </c>
      <c r="H632" s="163" t="s">
        <v>120</v>
      </c>
      <c r="I632" s="68">
        <f>-IF(F632="I",IFERROR(VLOOKUP(C632,'BG 2021'!A:D,4,FALSE),0),0)</f>
        <v>0</v>
      </c>
      <c r="J632" s="40"/>
      <c r="K632" s="47">
        <f>-IF(F632="I",SUMIF('BG 2020'!B:B,Clasificaciones!C632,'BG 2020'!D:D),0)</f>
        <v>0</v>
      </c>
      <c r="L632" s="40"/>
      <c r="M632" s="68">
        <f>-IF(F632="I",SUMIF('BG 2020'!B:B,Clasificaciones!C632,'BG 2020'!E:E),0)</f>
        <v>0</v>
      </c>
    </row>
    <row r="633" spans="1:13" s="166" customFormat="1" ht="12" customHeight="1">
      <c r="A633" s="163" t="s">
        <v>190</v>
      </c>
      <c r="B633" s="163" t="s">
        <v>120</v>
      </c>
      <c r="C633" s="164">
        <v>403020121</v>
      </c>
      <c r="D633" s="164" t="s">
        <v>902</v>
      </c>
      <c r="E633" s="165" t="s">
        <v>6</v>
      </c>
      <c r="F633" s="165" t="s">
        <v>344</v>
      </c>
      <c r="G633" s="47">
        <f>-IF(F633="I",IFERROR(VLOOKUP(C633,'BG 2021'!A:C,3,FALSE),0),0)</f>
        <v>-226700074</v>
      </c>
      <c r="H633" s="163" t="s">
        <v>120</v>
      </c>
      <c r="I633" s="68">
        <f>-IF(F633="I",IFERROR(VLOOKUP(C633,'BG 2021'!A:D,4,FALSE),0),0)</f>
        <v>-32436.77</v>
      </c>
      <c r="J633" s="40"/>
      <c r="K633" s="47">
        <f>-IF(F633="I",SUMIF('BG 2020'!B:B,Clasificaciones!C633,'BG 2020'!D:D),0)</f>
        <v>0</v>
      </c>
      <c r="L633" s="40"/>
      <c r="M633" s="68">
        <f>-IF(F633="I",SUMIF('BG 2020'!B:B,Clasificaciones!C633,'BG 2020'!E:E),0)</f>
        <v>0</v>
      </c>
    </row>
    <row r="634" spans="1:13" s="166" customFormat="1" ht="12" customHeight="1">
      <c r="A634" s="163" t="s">
        <v>190</v>
      </c>
      <c r="B634" s="163" t="s">
        <v>120</v>
      </c>
      <c r="C634" s="164">
        <v>403020122</v>
      </c>
      <c r="D634" s="164" t="s">
        <v>1067</v>
      </c>
      <c r="E634" s="165" t="s">
        <v>229</v>
      </c>
      <c r="F634" s="165" t="s">
        <v>344</v>
      </c>
      <c r="G634" s="47">
        <f>-IF(F634="I",IFERROR(VLOOKUP(C634,'BG 2021'!A:C,3,FALSE),0),0)</f>
        <v>0</v>
      </c>
      <c r="H634" s="163" t="s">
        <v>120</v>
      </c>
      <c r="I634" s="68">
        <f>-IF(F634="I",IFERROR(VLOOKUP(C634,'BG 2021'!A:D,4,FALSE),0),0)</f>
        <v>0</v>
      </c>
      <c r="J634" s="40"/>
      <c r="K634" s="47">
        <f>-IF(F634="I",SUMIF('BG 2020'!B:B,Clasificaciones!C634,'BG 2020'!D:D),0)</f>
        <v>0</v>
      </c>
      <c r="L634" s="40"/>
      <c r="M634" s="68">
        <f>-IF(F634="I",SUMIF('BG 2020'!B:B,Clasificaciones!C634,'BG 2020'!E:E),0)</f>
        <v>0</v>
      </c>
    </row>
    <row r="635" spans="1:13" s="166" customFormat="1" ht="12" customHeight="1">
      <c r="A635" s="163" t="s">
        <v>190</v>
      </c>
      <c r="B635" s="163" t="s">
        <v>120</v>
      </c>
      <c r="C635" s="164">
        <v>403020123</v>
      </c>
      <c r="D635" s="164" t="s">
        <v>1176</v>
      </c>
      <c r="E635" s="165" t="s">
        <v>6</v>
      </c>
      <c r="F635" s="165" t="s">
        <v>344</v>
      </c>
      <c r="G635" s="47">
        <f>-IF(F635="I",IFERROR(VLOOKUP(C635,'BG 2021'!A:C,3,FALSE),0),0)</f>
        <v>0</v>
      </c>
      <c r="H635" s="163" t="s">
        <v>120</v>
      </c>
      <c r="I635" s="68">
        <f>-IF(F635="I",IFERROR(VLOOKUP(C635,'BG 2021'!A:D,4,FALSE),0),0)</f>
        <v>0</v>
      </c>
      <c r="J635" s="40"/>
      <c r="K635" s="47">
        <f>-IF(F635="I",SUMIF('BG 2020'!B:B,Clasificaciones!C635,'BG 2020'!D:D),0)</f>
        <v>0</v>
      </c>
      <c r="L635" s="40"/>
      <c r="M635" s="68">
        <f>-IF(F635="I",SUMIF('BG 2020'!B:B,Clasificaciones!C635,'BG 2020'!E:E),0)</f>
        <v>0</v>
      </c>
    </row>
    <row r="636" spans="1:13" s="166" customFormat="1" ht="12" customHeight="1">
      <c r="A636" s="163" t="s">
        <v>190</v>
      </c>
      <c r="B636" s="163" t="s">
        <v>120</v>
      </c>
      <c r="C636" s="164">
        <v>403020124</v>
      </c>
      <c r="D636" s="164" t="s">
        <v>1177</v>
      </c>
      <c r="E636" s="165" t="s">
        <v>229</v>
      </c>
      <c r="F636" s="165" t="s">
        <v>344</v>
      </c>
      <c r="G636" s="47">
        <f>-IF(F636="I",IFERROR(VLOOKUP(C636,'BG 2021'!A:C,3,FALSE),0),0)</f>
        <v>0</v>
      </c>
      <c r="H636" s="163" t="s">
        <v>120</v>
      </c>
      <c r="I636" s="68">
        <f>-IF(F636="I",IFERROR(VLOOKUP(C636,'BG 2021'!A:D,4,FALSE),0),0)</f>
        <v>0</v>
      </c>
      <c r="J636" s="40"/>
      <c r="K636" s="47">
        <f>-IF(F636="I",SUMIF('BG 2020'!B:B,Clasificaciones!C636,'BG 2020'!D:D),0)</f>
        <v>0</v>
      </c>
      <c r="L636" s="40"/>
      <c r="M636" s="68">
        <f>-IF(F636="I",SUMIF('BG 2020'!B:B,Clasificaciones!C636,'BG 2020'!E:E),0)</f>
        <v>0</v>
      </c>
    </row>
    <row r="637" spans="1:13" s="166" customFormat="1" ht="12" customHeight="1">
      <c r="A637" s="163" t="s">
        <v>190</v>
      </c>
      <c r="B637" s="163" t="s">
        <v>120</v>
      </c>
      <c r="C637" s="164">
        <v>403020125</v>
      </c>
      <c r="D637" s="164" t="s">
        <v>1178</v>
      </c>
      <c r="E637" s="165" t="s">
        <v>6</v>
      </c>
      <c r="F637" s="165" t="s">
        <v>344</v>
      </c>
      <c r="G637" s="47">
        <f>-IF(F637="I",IFERROR(VLOOKUP(C637,'BG 2021'!A:C,3,FALSE),0),0)</f>
        <v>0</v>
      </c>
      <c r="H637" s="163" t="s">
        <v>120</v>
      </c>
      <c r="I637" s="68">
        <f>-IF(F637="I",IFERROR(VLOOKUP(C637,'BG 2021'!A:D,4,FALSE),0),0)</f>
        <v>0</v>
      </c>
      <c r="J637" s="40"/>
      <c r="K637" s="47">
        <f>-IF(F637="I",SUMIF('BG 2020'!B:B,Clasificaciones!C637,'BG 2020'!D:D),0)</f>
        <v>0</v>
      </c>
      <c r="L637" s="40"/>
      <c r="M637" s="68">
        <f>-IF(F637="I",SUMIF('BG 2020'!B:B,Clasificaciones!C637,'BG 2020'!E:E),0)</f>
        <v>0</v>
      </c>
    </row>
    <row r="638" spans="1:13" s="166" customFormat="1" ht="12" customHeight="1">
      <c r="A638" s="163" t="s">
        <v>190</v>
      </c>
      <c r="B638" s="163" t="s">
        <v>120</v>
      </c>
      <c r="C638" s="164">
        <v>403020126</v>
      </c>
      <c r="D638" s="164" t="s">
        <v>1179</v>
      </c>
      <c r="E638" s="165" t="s">
        <v>229</v>
      </c>
      <c r="F638" s="165" t="s">
        <v>344</v>
      </c>
      <c r="G638" s="47">
        <f>-IF(F638="I",IFERROR(VLOOKUP(C638,'BG 2021'!A:C,3,FALSE),0),0)</f>
        <v>0</v>
      </c>
      <c r="H638" s="163" t="s">
        <v>120</v>
      </c>
      <c r="I638" s="68">
        <f>-IF(F638="I",IFERROR(VLOOKUP(C638,'BG 2021'!A:D,4,FALSE),0),0)</f>
        <v>0</v>
      </c>
      <c r="J638" s="40"/>
      <c r="K638" s="47">
        <f>-IF(F638="I",SUMIF('BG 2020'!B:B,Clasificaciones!C638,'BG 2020'!D:D),0)</f>
        <v>0</v>
      </c>
      <c r="L638" s="40"/>
      <c r="M638" s="68">
        <f>-IF(F638="I",SUMIF('BG 2020'!B:B,Clasificaciones!C638,'BG 2020'!E:E),0)</f>
        <v>0</v>
      </c>
    </row>
    <row r="639" spans="1:13" s="166" customFormat="1" ht="12" customHeight="1">
      <c r="A639" s="163" t="s">
        <v>190</v>
      </c>
      <c r="B639" s="163" t="s">
        <v>120</v>
      </c>
      <c r="C639" s="164">
        <v>403020127</v>
      </c>
      <c r="D639" s="164" t="s">
        <v>1180</v>
      </c>
      <c r="E639" s="165" t="s">
        <v>6</v>
      </c>
      <c r="F639" s="165" t="s">
        <v>344</v>
      </c>
      <c r="G639" s="47">
        <f>-IF(F639="I",IFERROR(VLOOKUP(C639,'BG 2021'!A:C,3,FALSE),0),0)</f>
        <v>0</v>
      </c>
      <c r="H639" s="163" t="s">
        <v>120</v>
      </c>
      <c r="I639" s="68">
        <f>-IF(F639="I",IFERROR(VLOOKUP(C639,'BG 2021'!A:D,4,FALSE),0),0)</f>
        <v>0</v>
      </c>
      <c r="J639" s="40"/>
      <c r="K639" s="47">
        <f>-IF(F639="I",SUMIF('BG 2020'!B:B,Clasificaciones!C639,'BG 2020'!D:D),0)</f>
        <v>0</v>
      </c>
      <c r="L639" s="40"/>
      <c r="M639" s="68">
        <f>-IF(F639="I",SUMIF('BG 2020'!B:B,Clasificaciones!C639,'BG 2020'!E:E),0)</f>
        <v>0</v>
      </c>
    </row>
    <row r="640" spans="1:13" s="166" customFormat="1" ht="12" customHeight="1">
      <c r="A640" s="163" t="s">
        <v>190</v>
      </c>
      <c r="B640" s="163" t="s">
        <v>120</v>
      </c>
      <c r="C640" s="164">
        <v>403020128</v>
      </c>
      <c r="D640" s="164" t="s">
        <v>1181</v>
      </c>
      <c r="E640" s="165" t="s">
        <v>229</v>
      </c>
      <c r="F640" s="165" t="s">
        <v>344</v>
      </c>
      <c r="G640" s="47">
        <f>-IF(F640="I",IFERROR(VLOOKUP(C640,'BG 2021'!A:C,3,FALSE),0),0)</f>
        <v>0</v>
      </c>
      <c r="H640" s="163" t="s">
        <v>120</v>
      </c>
      <c r="I640" s="68">
        <f>-IF(F640="I",IFERROR(VLOOKUP(C640,'BG 2021'!A:D,4,FALSE),0),0)</f>
        <v>0</v>
      </c>
      <c r="J640" s="40"/>
      <c r="K640" s="47">
        <f>-IF(F640="I",SUMIF('BG 2020'!B:B,Clasificaciones!C640,'BG 2020'!D:D),0)</f>
        <v>0</v>
      </c>
      <c r="L640" s="40"/>
      <c r="M640" s="68">
        <f>-IF(F640="I",SUMIF('BG 2020'!B:B,Clasificaciones!C640,'BG 2020'!E:E),0)</f>
        <v>0</v>
      </c>
    </row>
    <row r="641" spans="1:13" s="166" customFormat="1" ht="12" customHeight="1">
      <c r="A641" s="163" t="s">
        <v>190</v>
      </c>
      <c r="B641" s="163" t="s">
        <v>35</v>
      </c>
      <c r="C641" s="164">
        <v>403020129</v>
      </c>
      <c r="D641" s="164" t="s">
        <v>895</v>
      </c>
      <c r="E641" s="165" t="s">
        <v>6</v>
      </c>
      <c r="F641" s="165" t="s">
        <v>344</v>
      </c>
      <c r="G641" s="47">
        <f>-IF(F641="I",IFERROR(VLOOKUP(C641,'BG 2021'!A:C,3,FALSE),0),0)</f>
        <v>-347379263</v>
      </c>
      <c r="H641" s="163" t="s">
        <v>35</v>
      </c>
      <c r="I641" s="68">
        <f>-IF(F641="I",IFERROR(VLOOKUP(C641,'BG 2021'!A:D,4,FALSE),0),0)</f>
        <v>-50485.440000000002</v>
      </c>
      <c r="J641" s="40"/>
      <c r="K641" s="47">
        <f>-IF(F641="I",SUMIF('BG 2020'!B:B,Clasificaciones!C641,'BG 2020'!D:D),0)</f>
        <v>0</v>
      </c>
      <c r="L641" s="40"/>
      <c r="M641" s="68">
        <f>-IF(F641="I",SUMIF('BG 2020'!B:B,Clasificaciones!C641,'BG 2020'!E:E),0)</f>
        <v>0</v>
      </c>
    </row>
    <row r="642" spans="1:13" s="166" customFormat="1" ht="12" customHeight="1">
      <c r="A642" s="163" t="s">
        <v>190</v>
      </c>
      <c r="B642" s="163" t="s">
        <v>35</v>
      </c>
      <c r="C642" s="164">
        <v>403020130</v>
      </c>
      <c r="D642" s="164" t="s">
        <v>1182</v>
      </c>
      <c r="E642" s="165" t="s">
        <v>229</v>
      </c>
      <c r="F642" s="165" t="s">
        <v>344</v>
      </c>
      <c r="G642" s="47">
        <f>-IF(F642="I",IFERROR(VLOOKUP(C642,'BG 2021'!A:C,3,FALSE),0),0)</f>
        <v>0</v>
      </c>
      <c r="H642" s="163" t="s">
        <v>35</v>
      </c>
      <c r="I642" s="68">
        <f>-IF(F642="I",IFERROR(VLOOKUP(C642,'BG 2021'!A:D,4,FALSE),0),0)</f>
        <v>0</v>
      </c>
      <c r="J642" s="40"/>
      <c r="K642" s="47">
        <f>-IF(F642="I",SUMIF('BG 2020'!B:B,Clasificaciones!C642,'BG 2020'!D:D),0)</f>
        <v>0</v>
      </c>
      <c r="L642" s="40"/>
      <c r="M642" s="68">
        <f>-IF(F642="I",SUMIF('BG 2020'!B:B,Clasificaciones!C642,'BG 2020'!E:E),0)</f>
        <v>0</v>
      </c>
    </row>
    <row r="643" spans="1:13" s="166" customFormat="1" ht="12" customHeight="1">
      <c r="A643" s="163" t="s">
        <v>190</v>
      </c>
      <c r="B643" s="163" t="s">
        <v>35</v>
      </c>
      <c r="C643" s="164">
        <v>403020131</v>
      </c>
      <c r="D643" s="164" t="s">
        <v>903</v>
      </c>
      <c r="E643" s="165" t="s">
        <v>6</v>
      </c>
      <c r="F643" s="165" t="s">
        <v>344</v>
      </c>
      <c r="G643" s="47">
        <f>-IF(F643="I",IFERROR(VLOOKUP(C643,'BG 2021'!A:C,3,FALSE),0),0)</f>
        <v>-51189968</v>
      </c>
      <c r="H643" s="163" t="s">
        <v>35</v>
      </c>
      <c r="I643" s="68">
        <f>-IF(F643="I",IFERROR(VLOOKUP(C643,'BG 2021'!A:D,4,FALSE),0),0)</f>
        <v>-7631.38</v>
      </c>
      <c r="J643" s="40"/>
      <c r="K643" s="47">
        <f>-IF(F643="I",SUMIF('BG 2020'!B:B,Clasificaciones!C643,'BG 2020'!D:D),0)</f>
        <v>-192230510</v>
      </c>
      <c r="L643" s="40"/>
      <c r="M643" s="68">
        <f>-IF(F643="I",SUMIF('BG 2020'!B:B,Clasificaciones!C643,'BG 2020'!E:E),0)</f>
        <v>-27473.33</v>
      </c>
    </row>
    <row r="644" spans="1:13" s="166" customFormat="1" ht="12" customHeight="1">
      <c r="A644" s="163" t="s">
        <v>190</v>
      </c>
      <c r="B644" s="163" t="s">
        <v>35</v>
      </c>
      <c r="C644" s="164">
        <v>403020132</v>
      </c>
      <c r="D644" s="164" t="s">
        <v>1184</v>
      </c>
      <c r="E644" s="165" t="s">
        <v>229</v>
      </c>
      <c r="F644" s="165" t="s">
        <v>344</v>
      </c>
      <c r="G644" s="47">
        <f>-IF(F644="I",IFERROR(VLOOKUP(C644,'BG 2021'!A:C,3,FALSE),0),0)</f>
        <v>0</v>
      </c>
      <c r="H644" s="163" t="s">
        <v>35</v>
      </c>
      <c r="I644" s="68">
        <f>-IF(F644="I",IFERROR(VLOOKUP(C644,'BG 2021'!A:D,4,FALSE),0),0)</f>
        <v>0</v>
      </c>
      <c r="J644" s="40"/>
      <c r="K644" s="47">
        <f>-IF(F644="I",SUMIF('BG 2020'!B:B,Clasificaciones!C644,'BG 2020'!D:D),0)</f>
        <v>0</v>
      </c>
      <c r="L644" s="40"/>
      <c r="M644" s="68">
        <f>-IF(F644="I",SUMIF('BG 2020'!B:B,Clasificaciones!C644,'BG 2020'!E:E),0)</f>
        <v>0</v>
      </c>
    </row>
    <row r="645" spans="1:13" s="166" customFormat="1" ht="12" customHeight="1">
      <c r="A645" s="163" t="s">
        <v>190</v>
      </c>
      <c r="B645" s="163" t="s">
        <v>120</v>
      </c>
      <c r="C645" s="164">
        <v>403020133</v>
      </c>
      <c r="D645" s="164" t="s">
        <v>904</v>
      </c>
      <c r="E645" s="165" t="s">
        <v>6</v>
      </c>
      <c r="F645" s="165" t="s">
        <v>344</v>
      </c>
      <c r="G645" s="47">
        <f>-IF(F645="I",IFERROR(VLOOKUP(C645,'BG 2021'!A:C,3,FALSE),0),0)</f>
        <v>-610001703</v>
      </c>
      <c r="H645" s="163" t="s">
        <v>120</v>
      </c>
      <c r="I645" s="68">
        <f>-IF(F645="I",IFERROR(VLOOKUP(C645,'BG 2021'!A:D,4,FALSE),0),0)</f>
        <v>-88117.29</v>
      </c>
      <c r="J645" s="40"/>
      <c r="K645" s="47">
        <f>-IF(F645="I",SUMIF('BG 2020'!B:B,Clasificaciones!C645,'BG 2020'!D:D),0)</f>
        <v>0</v>
      </c>
      <c r="L645" s="40"/>
      <c r="M645" s="68">
        <f>-IF(F645="I",SUMIF('BG 2020'!B:B,Clasificaciones!C645,'BG 2020'!E:E),0)</f>
        <v>0</v>
      </c>
    </row>
    <row r="646" spans="1:13" s="166" customFormat="1" ht="12" customHeight="1">
      <c r="A646" s="163" t="s">
        <v>190</v>
      </c>
      <c r="B646" s="163" t="s">
        <v>120</v>
      </c>
      <c r="C646" s="164">
        <v>403020134</v>
      </c>
      <c r="D646" s="163" t="s">
        <v>1185</v>
      </c>
      <c r="E646" s="165" t="s">
        <v>229</v>
      </c>
      <c r="F646" s="165" t="s">
        <v>344</v>
      </c>
      <c r="G646" s="47">
        <f>-IF(F646="I",IFERROR(VLOOKUP(C646,'BG 2021'!A:C,3,FALSE),0),0)</f>
        <v>0</v>
      </c>
      <c r="H646" s="163" t="s">
        <v>120</v>
      </c>
      <c r="I646" s="68">
        <f>-IF(F646="I",IFERROR(VLOOKUP(C646,'BG 2021'!A:D,4,FALSE),0),0)</f>
        <v>0</v>
      </c>
      <c r="J646" s="40"/>
      <c r="K646" s="47">
        <f>-IF(F646="I",SUMIF('BG 2020'!B:B,Clasificaciones!C646,'BG 2020'!D:D),0)</f>
        <v>0</v>
      </c>
      <c r="L646" s="40"/>
      <c r="M646" s="68">
        <f>-IF(F646="I",SUMIF('BG 2020'!B:B,Clasificaciones!C646,'BG 2020'!E:E),0)</f>
        <v>0</v>
      </c>
    </row>
    <row r="647" spans="1:13" s="166" customFormat="1" ht="12" customHeight="1">
      <c r="A647" s="163" t="s">
        <v>190</v>
      </c>
      <c r="B647" s="163"/>
      <c r="C647" s="164">
        <v>4030202</v>
      </c>
      <c r="D647" s="164" t="s">
        <v>1186</v>
      </c>
      <c r="E647" s="165" t="s">
        <v>6</v>
      </c>
      <c r="F647" s="165" t="s">
        <v>343</v>
      </c>
      <c r="G647" s="47">
        <f>-IF(F647="I",IFERROR(VLOOKUP(C647,'BG 2021'!A:C,3,FALSE),0),0)</f>
        <v>0</v>
      </c>
      <c r="H647" s="163"/>
      <c r="I647" s="68">
        <f>-IF(F647="I",IFERROR(VLOOKUP(C647,'BG 2021'!A:D,4,FALSE),0),0)</f>
        <v>0</v>
      </c>
      <c r="J647" s="40"/>
      <c r="K647" s="47">
        <f>-IF(F647="I",SUMIF('BG 2020'!B:B,Clasificaciones!C647,'BG 2020'!D:D),0)</f>
        <v>0</v>
      </c>
      <c r="L647" s="40"/>
      <c r="M647" s="68">
        <f>-IF(F647="I",SUMIF('BG 2020'!B:B,Clasificaciones!C647,'BG 2020'!E:E),0)</f>
        <v>0</v>
      </c>
    </row>
    <row r="648" spans="1:13" s="166" customFormat="1" ht="12" customHeight="1">
      <c r="A648" s="163" t="s">
        <v>190</v>
      </c>
      <c r="B648" s="163" t="s">
        <v>233</v>
      </c>
      <c r="C648" s="164">
        <v>403020201</v>
      </c>
      <c r="D648" s="164" t="s">
        <v>1186</v>
      </c>
      <c r="E648" s="165" t="s">
        <v>6</v>
      </c>
      <c r="F648" s="165" t="s">
        <v>344</v>
      </c>
      <c r="G648" s="47">
        <f>-IF(F648="I",IFERROR(VLOOKUP(C648,'BG 2021'!A:C,3,FALSE),0),0)</f>
        <v>0</v>
      </c>
      <c r="H648" s="163" t="s">
        <v>233</v>
      </c>
      <c r="I648" s="68">
        <f>-IF(F648="I",IFERROR(VLOOKUP(C648,'BG 2021'!A:D,4,FALSE),0),0)</f>
        <v>0</v>
      </c>
      <c r="J648" s="40"/>
      <c r="K648" s="47">
        <f>-IF(F648="I",SUMIF('BG 2020'!B:B,Clasificaciones!C648,'BG 2020'!D:D),0)</f>
        <v>0</v>
      </c>
      <c r="L648" s="40"/>
      <c r="M648" s="68">
        <f>-IF(F648="I",SUMIF('BG 2020'!B:B,Clasificaciones!C648,'BG 2020'!E:E),0)</f>
        <v>0</v>
      </c>
    </row>
    <row r="649" spans="1:13" s="166" customFormat="1" ht="12" customHeight="1">
      <c r="A649" s="163" t="s">
        <v>190</v>
      </c>
      <c r="B649" s="163" t="s">
        <v>233</v>
      </c>
      <c r="C649" s="164">
        <v>403020202</v>
      </c>
      <c r="D649" s="164" t="s">
        <v>1186</v>
      </c>
      <c r="E649" s="165" t="s">
        <v>229</v>
      </c>
      <c r="F649" s="165" t="s">
        <v>344</v>
      </c>
      <c r="G649" s="47">
        <f>-IF(F649="I",IFERROR(VLOOKUP(C649,'BG 2021'!A:C,3,FALSE),0),0)</f>
        <v>-265305</v>
      </c>
      <c r="H649" s="163" t="s">
        <v>233</v>
      </c>
      <c r="I649" s="68">
        <f>-IF(F649="I",IFERROR(VLOOKUP(C649,'BG 2021'!A:D,4,FALSE),0),0)</f>
        <v>-38.72</v>
      </c>
      <c r="J649" s="40"/>
      <c r="K649" s="47">
        <f>-IF(F649="I",SUMIF('BG 2020'!B:B,Clasificaciones!C649,'BG 2020'!D:D),0)</f>
        <v>-3516576</v>
      </c>
      <c r="L649" s="40"/>
      <c r="M649" s="68">
        <f>-IF(F649="I",SUMIF('BG 2020'!B:B,Clasificaciones!C649,'BG 2020'!E:E),0)</f>
        <v>-535.42999999999995</v>
      </c>
    </row>
    <row r="650" spans="1:13" s="166" customFormat="1" ht="12" customHeight="1">
      <c r="A650" s="163" t="s">
        <v>190</v>
      </c>
      <c r="B650" s="163"/>
      <c r="C650" s="164">
        <v>404</v>
      </c>
      <c r="D650" s="164" t="s">
        <v>1187</v>
      </c>
      <c r="E650" s="165" t="s">
        <v>6</v>
      </c>
      <c r="F650" s="165" t="s">
        <v>343</v>
      </c>
      <c r="G650" s="47">
        <f>-IF(F650="I",IFERROR(VLOOKUP(C650,'BG 2021'!A:C,3,FALSE),0),0)</f>
        <v>0</v>
      </c>
      <c r="H650" s="163"/>
      <c r="I650" s="68">
        <f>-IF(F650="I",IFERROR(VLOOKUP(C650,'BG 2021'!A:D,4,FALSE),0),0)</f>
        <v>0</v>
      </c>
      <c r="J650" s="40"/>
      <c r="K650" s="47">
        <f>-IF(F650="I",SUMIF('BG 2020'!B:B,Clasificaciones!C650,'BG 2020'!D:D),0)</f>
        <v>0</v>
      </c>
      <c r="L650" s="40"/>
      <c r="M650" s="68">
        <f>-IF(F650="I",SUMIF('BG 2020'!B:B,Clasificaciones!C650,'BG 2020'!E:E),0)</f>
        <v>0</v>
      </c>
    </row>
    <row r="651" spans="1:13" s="166" customFormat="1" ht="12" customHeight="1">
      <c r="A651" s="163" t="s">
        <v>190</v>
      </c>
      <c r="B651" s="163"/>
      <c r="C651" s="164">
        <v>40401</v>
      </c>
      <c r="D651" s="164" t="s">
        <v>1188</v>
      </c>
      <c r="E651" s="165" t="s">
        <v>6</v>
      </c>
      <c r="F651" s="165" t="s">
        <v>343</v>
      </c>
      <c r="G651" s="47">
        <f>-IF(F651="I",IFERROR(VLOOKUP(C651,'BG 2021'!A:C,3,FALSE),0),0)</f>
        <v>0</v>
      </c>
      <c r="H651" s="163"/>
      <c r="I651" s="68">
        <f>-IF(F651="I",IFERROR(VLOOKUP(C651,'BG 2021'!A:D,4,FALSE),0),0)</f>
        <v>0</v>
      </c>
      <c r="J651" s="40"/>
      <c r="K651" s="47">
        <f>-IF(F651="I",SUMIF('BG 2020'!B:B,Clasificaciones!C651,'BG 2020'!D:D),0)</f>
        <v>0</v>
      </c>
      <c r="L651" s="40"/>
      <c r="M651" s="68">
        <f>-IF(F651="I",SUMIF('BG 2020'!B:B,Clasificaciones!C651,'BG 2020'!E:E),0)</f>
        <v>0</v>
      </c>
    </row>
    <row r="652" spans="1:13" s="166" customFormat="1" ht="12" customHeight="1">
      <c r="A652" s="163" t="s">
        <v>190</v>
      </c>
      <c r="B652" s="163" t="s">
        <v>270</v>
      </c>
      <c r="C652" s="164">
        <v>4040101</v>
      </c>
      <c r="D652" s="164" t="s">
        <v>1425</v>
      </c>
      <c r="E652" s="165" t="s">
        <v>6</v>
      </c>
      <c r="F652" s="165" t="s">
        <v>344</v>
      </c>
      <c r="G652" s="47">
        <f>-IF(F652="I",IFERROR(VLOOKUP(C652,'BG 2021'!A:C,3,FALSE),0),0)</f>
        <v>-11011210</v>
      </c>
      <c r="H652" s="163" t="s">
        <v>270</v>
      </c>
      <c r="I652" s="68">
        <f>-IF(F652="I",IFERROR(VLOOKUP(C652,'BG 2021'!A:D,4,FALSE),0),0)</f>
        <v>-1600</v>
      </c>
      <c r="J652" s="40"/>
      <c r="K652" s="47">
        <f>-IF(F652="I",SUMIF('BG 2020'!B:B,Clasificaciones!C652,'BG 2020'!D:D),0)</f>
        <v>0</v>
      </c>
      <c r="L652" s="40"/>
      <c r="M652" s="68">
        <f>-IF(F652="I",SUMIF('BG 2020'!B:B,Clasificaciones!C652,'BG 2020'!E:E),0)</f>
        <v>0</v>
      </c>
    </row>
    <row r="653" spans="1:13" s="166" customFormat="1" ht="12" customHeight="1">
      <c r="A653" s="163" t="s">
        <v>190</v>
      </c>
      <c r="B653" s="163" t="s">
        <v>270</v>
      </c>
      <c r="C653" s="164">
        <v>4040102</v>
      </c>
      <c r="D653" s="164" t="s">
        <v>1426</v>
      </c>
      <c r="E653" s="165" t="s">
        <v>6</v>
      </c>
      <c r="F653" s="165" t="s">
        <v>344</v>
      </c>
      <c r="G653" s="47">
        <f>-IF(F653="I",IFERROR(VLOOKUP(C653,'BG 2021'!A:C,3,FALSE),0),0)</f>
        <v>-16516815</v>
      </c>
      <c r="H653" s="163" t="s">
        <v>270</v>
      </c>
      <c r="I653" s="68">
        <f>-IF(F653="I",IFERROR(VLOOKUP(C653,'BG 2021'!A:D,4,FALSE),0),0)</f>
        <v>-2400</v>
      </c>
      <c r="J653" s="40"/>
      <c r="K653" s="47">
        <f>-IF(F653="I",SUMIF('BG 2020'!B:B,Clasificaciones!C653,'BG 2020'!D:D),0)</f>
        <v>0</v>
      </c>
      <c r="L653" s="40"/>
      <c r="M653" s="68">
        <f>-IF(F653="I",SUMIF('BG 2020'!B:B,Clasificaciones!C653,'BG 2020'!E:E),0)</f>
        <v>0</v>
      </c>
    </row>
    <row r="654" spans="1:13" s="166" customFormat="1" ht="12" customHeight="1">
      <c r="A654" s="163" t="s">
        <v>190</v>
      </c>
      <c r="B654" s="163" t="s">
        <v>270</v>
      </c>
      <c r="C654" s="164">
        <v>4040103</v>
      </c>
      <c r="D654" s="164" t="s">
        <v>1427</v>
      </c>
      <c r="E654" s="165" t="s">
        <v>6</v>
      </c>
      <c r="F654" s="165" t="s">
        <v>344</v>
      </c>
      <c r="G654" s="47">
        <f>-IF(F654="I",IFERROR(VLOOKUP(C654,'BG 2021'!A:C,3,FALSE),0),0)</f>
        <v>-55056050</v>
      </c>
      <c r="H654" s="163" t="s">
        <v>270</v>
      </c>
      <c r="I654" s="68">
        <f>-IF(F654="I",IFERROR(VLOOKUP(C654,'BG 2021'!A:D,4,FALSE),0),0)</f>
        <v>-8000</v>
      </c>
      <c r="J654" s="40"/>
      <c r="K654" s="47">
        <f>-IF(F654="I",SUMIF('BG 2020'!B:B,Clasificaciones!C654,'BG 2020'!D:D),0)</f>
        <v>0</v>
      </c>
      <c r="L654" s="40"/>
      <c r="M654" s="68">
        <f>-IF(F654="I",SUMIF('BG 2020'!B:B,Clasificaciones!C654,'BG 2020'!E:E),0)</f>
        <v>0</v>
      </c>
    </row>
    <row r="655" spans="1:13" s="166" customFormat="1" ht="12" customHeight="1">
      <c r="A655" s="163" t="s">
        <v>190</v>
      </c>
      <c r="B655" s="163"/>
      <c r="C655" s="164">
        <v>406</v>
      </c>
      <c r="D655" s="164" t="s">
        <v>905</v>
      </c>
      <c r="E655" s="165" t="s">
        <v>6</v>
      </c>
      <c r="F655" s="165" t="s">
        <v>343</v>
      </c>
      <c r="G655" s="47">
        <f>-IF(F655="I",IFERROR(VLOOKUP(C655,'BG 2021'!A:C,3,FALSE),0),0)</f>
        <v>0</v>
      </c>
      <c r="H655" s="163"/>
      <c r="I655" s="68">
        <f>-IF(F655="I",IFERROR(VLOOKUP(C655,'BG 2021'!A:D,4,FALSE),0),0)</f>
        <v>0</v>
      </c>
      <c r="J655" s="40"/>
      <c r="K655" s="47">
        <f>-IF(F655="I",SUMIF('BG 2020'!B:B,Clasificaciones!C655,'BG 2020'!D:D),0)</f>
        <v>0</v>
      </c>
      <c r="L655" s="40"/>
      <c r="M655" s="68">
        <f>-IF(F655="I",SUMIF('BG 2020'!B:B,Clasificaciones!C655,'BG 2020'!E:E),0)</f>
        <v>0</v>
      </c>
    </row>
    <row r="656" spans="1:13" s="166" customFormat="1" ht="12" customHeight="1">
      <c r="A656" s="163" t="s">
        <v>190</v>
      </c>
      <c r="B656" s="163"/>
      <c r="C656" s="164">
        <v>40601</v>
      </c>
      <c r="D656" s="164" t="s">
        <v>1189</v>
      </c>
      <c r="E656" s="165" t="s">
        <v>6</v>
      </c>
      <c r="F656" s="165" t="s">
        <v>343</v>
      </c>
      <c r="G656" s="47">
        <f>-IF(F656="I",IFERROR(VLOOKUP(C656,'BG 2021'!A:C,3,FALSE),0),0)</f>
        <v>0</v>
      </c>
      <c r="H656" s="163"/>
      <c r="I656" s="68">
        <f>-IF(F656="I",IFERROR(VLOOKUP(C656,'BG 2021'!A:D,4,FALSE),0),0)</f>
        <v>0</v>
      </c>
      <c r="J656" s="40"/>
      <c r="K656" s="47">
        <f>-IF(F656="I",SUMIF('BG 2020'!B:B,Clasificaciones!C656,'BG 2020'!D:D),0)</f>
        <v>0</v>
      </c>
      <c r="L656" s="40"/>
      <c r="M656" s="68">
        <f>-IF(F656="I",SUMIF('BG 2020'!B:B,Clasificaciones!C656,'BG 2020'!E:E),0)</f>
        <v>0</v>
      </c>
    </row>
    <row r="657" spans="1:13" s="166" customFormat="1" ht="12" customHeight="1">
      <c r="A657" s="163" t="s">
        <v>190</v>
      </c>
      <c r="B657" s="163" t="s">
        <v>233</v>
      </c>
      <c r="C657" s="164">
        <v>4060101</v>
      </c>
      <c r="D657" s="164" t="s">
        <v>1190</v>
      </c>
      <c r="E657" s="165" t="s">
        <v>6</v>
      </c>
      <c r="F657" s="165" t="s">
        <v>344</v>
      </c>
      <c r="G657" s="47">
        <f>-IF(F657="I",IFERROR(VLOOKUP(C657,'BG 2021'!A:C,3,FALSE),0),0)</f>
        <v>-11000000</v>
      </c>
      <c r="H657" s="163" t="s">
        <v>233</v>
      </c>
      <c r="I657" s="68">
        <f>-IF(F657="I",IFERROR(VLOOKUP(C657,'BG 2021'!A:D,4,FALSE),0),0)</f>
        <v>-1607.73</v>
      </c>
      <c r="J657" s="40"/>
      <c r="K657" s="47">
        <f>-IF(F657="I",SUMIF('BG 2020'!B:B,Clasificaciones!C657,'BG 2020'!D:D),0)</f>
        <v>0</v>
      </c>
      <c r="L657" s="40"/>
      <c r="M657" s="68">
        <f>-IF(F657="I",SUMIF('BG 2020'!B:B,Clasificaciones!C657,'BG 2020'!E:E),0)</f>
        <v>0</v>
      </c>
    </row>
    <row r="658" spans="1:13" s="166" customFormat="1" ht="12" customHeight="1">
      <c r="A658" s="163" t="s">
        <v>190</v>
      </c>
      <c r="B658" s="163"/>
      <c r="C658" s="164">
        <v>4060102</v>
      </c>
      <c r="D658" s="164" t="s">
        <v>1191</v>
      </c>
      <c r="E658" s="165" t="s">
        <v>6</v>
      </c>
      <c r="F658" s="165" t="s">
        <v>344</v>
      </c>
      <c r="G658" s="47">
        <f>-IF(F658="I",IFERROR(VLOOKUP(C658,'BG 2021'!A:C,3,FALSE),0),0)</f>
        <v>0</v>
      </c>
      <c r="H658" s="163"/>
      <c r="I658" s="68">
        <f>-IF(F658="I",IFERROR(VLOOKUP(C658,'BG 2021'!A:D,4,FALSE),0),0)</f>
        <v>0</v>
      </c>
      <c r="J658" s="40"/>
      <c r="K658" s="47">
        <f>-IF(F658="I",SUMIF('BG 2020'!B:B,Clasificaciones!C658,'BG 2020'!D:D),0)</f>
        <v>0</v>
      </c>
      <c r="L658" s="40"/>
      <c r="M658" s="68">
        <f>-IF(F658="I",SUMIF('BG 2020'!B:B,Clasificaciones!C658,'BG 2020'!E:E),0)</f>
        <v>0</v>
      </c>
    </row>
    <row r="659" spans="1:13" s="166" customFormat="1" ht="12" customHeight="1">
      <c r="A659" s="163" t="s">
        <v>190</v>
      </c>
      <c r="B659" s="163"/>
      <c r="C659" s="164">
        <v>40602</v>
      </c>
      <c r="D659" s="164" t="s">
        <v>1192</v>
      </c>
      <c r="E659" s="165" t="s">
        <v>6</v>
      </c>
      <c r="F659" s="165" t="s">
        <v>343</v>
      </c>
      <c r="G659" s="47">
        <f>-IF(F659="I",IFERROR(VLOOKUP(C659,'BG 2021'!A:C,3,FALSE),0),0)</f>
        <v>0</v>
      </c>
      <c r="H659" s="163"/>
      <c r="I659" s="68">
        <f>-IF(F659="I",IFERROR(VLOOKUP(C659,'BG 2021'!A:D,4,FALSE),0),0)</f>
        <v>0</v>
      </c>
      <c r="J659" s="40"/>
      <c r="K659" s="47">
        <f>-IF(F659="I",SUMIF('BG 2020'!B:B,Clasificaciones!C659,'BG 2020'!D:D),0)</f>
        <v>0</v>
      </c>
      <c r="L659" s="40"/>
      <c r="M659" s="68">
        <f>-IF(F659="I",SUMIF('BG 2020'!B:B,Clasificaciones!C659,'BG 2020'!E:E),0)</f>
        <v>0</v>
      </c>
    </row>
    <row r="660" spans="1:13" s="166" customFormat="1" ht="12" customHeight="1">
      <c r="A660" s="163" t="s">
        <v>190</v>
      </c>
      <c r="B660" s="163"/>
      <c r="C660" s="164">
        <v>4060201</v>
      </c>
      <c r="D660" s="164" t="s">
        <v>1193</v>
      </c>
      <c r="E660" s="165" t="s">
        <v>6</v>
      </c>
      <c r="F660" s="165" t="s">
        <v>344</v>
      </c>
      <c r="G660" s="47">
        <f>-IF(F660="I",IFERROR(VLOOKUP(C660,'BG 2021'!A:C,3,FALSE),0),0)</f>
        <v>0</v>
      </c>
      <c r="H660" s="163"/>
      <c r="I660" s="68">
        <f>-IF(F660="I",IFERROR(VLOOKUP(C660,'BG 2021'!A:D,4,FALSE),0),0)</f>
        <v>0</v>
      </c>
      <c r="J660" s="40"/>
      <c r="K660" s="47">
        <f>-IF(F660="I",SUMIF('BG 2020'!B:B,Clasificaciones!C660,'BG 2020'!D:D),0)</f>
        <v>0</v>
      </c>
      <c r="L660" s="40"/>
      <c r="M660" s="68">
        <f>-IF(F660="I",SUMIF('BG 2020'!B:B,Clasificaciones!C660,'BG 2020'!E:E),0)</f>
        <v>0</v>
      </c>
    </row>
    <row r="661" spans="1:13" s="166" customFormat="1" ht="12" customHeight="1">
      <c r="A661" s="163" t="s">
        <v>190</v>
      </c>
      <c r="B661" s="163"/>
      <c r="C661" s="164">
        <v>4060202</v>
      </c>
      <c r="D661" s="164" t="s">
        <v>1193</v>
      </c>
      <c r="E661" s="165" t="s">
        <v>6</v>
      </c>
      <c r="F661" s="165" t="s">
        <v>344</v>
      </c>
      <c r="G661" s="47">
        <f>-IF(F661="I",IFERROR(VLOOKUP(C661,'BG 2021'!A:C,3,FALSE),0),0)</f>
        <v>0</v>
      </c>
      <c r="H661" s="163"/>
      <c r="I661" s="68">
        <f>-IF(F661="I",IFERROR(VLOOKUP(C661,'BG 2021'!A:D,4,FALSE),0),0)</f>
        <v>0</v>
      </c>
      <c r="J661" s="40"/>
      <c r="K661" s="47">
        <f>-IF(F661="I",SUMIF('BG 2020'!B:B,Clasificaciones!C661,'BG 2020'!D:D),0)</f>
        <v>0</v>
      </c>
      <c r="L661" s="40"/>
      <c r="M661" s="68">
        <f>-IF(F661="I",SUMIF('BG 2020'!B:B,Clasificaciones!C661,'BG 2020'!E:E),0)</f>
        <v>0</v>
      </c>
    </row>
    <row r="662" spans="1:13" s="166" customFormat="1" ht="12" customHeight="1">
      <c r="A662" s="163" t="s">
        <v>190</v>
      </c>
      <c r="B662" s="163"/>
      <c r="C662" s="164">
        <v>40603</v>
      </c>
      <c r="D662" s="164" t="s">
        <v>1194</v>
      </c>
      <c r="E662" s="165" t="s">
        <v>6</v>
      </c>
      <c r="F662" s="165" t="s">
        <v>343</v>
      </c>
      <c r="G662" s="47">
        <f>-IF(F662="I",IFERROR(VLOOKUP(C662,'BG 2021'!A:C,3,FALSE),0),0)</f>
        <v>0</v>
      </c>
      <c r="H662" s="163"/>
      <c r="I662" s="68">
        <f>-IF(F662="I",IFERROR(VLOOKUP(C662,'BG 2021'!A:D,4,FALSE),0),0)</f>
        <v>0</v>
      </c>
      <c r="J662" s="40"/>
      <c r="K662" s="47">
        <f>-IF(F662="I",SUMIF('BG 2020'!B:B,Clasificaciones!C662,'BG 2020'!D:D),0)</f>
        <v>0</v>
      </c>
      <c r="L662" s="40"/>
      <c r="M662" s="68">
        <f>-IF(F662="I",SUMIF('BG 2020'!B:B,Clasificaciones!C662,'BG 2020'!E:E),0)</f>
        <v>0</v>
      </c>
    </row>
    <row r="663" spans="1:13" s="166" customFormat="1" ht="12" customHeight="1">
      <c r="A663" s="163" t="s">
        <v>190</v>
      </c>
      <c r="B663" s="163"/>
      <c r="C663" s="164">
        <v>4060301</v>
      </c>
      <c r="D663" s="164" t="s">
        <v>1195</v>
      </c>
      <c r="E663" s="165" t="s">
        <v>6</v>
      </c>
      <c r="F663" s="165" t="s">
        <v>344</v>
      </c>
      <c r="G663" s="47">
        <f>-IF(F663="I",IFERROR(VLOOKUP(C663,'BG 2021'!A:C,3,FALSE),0),0)</f>
        <v>0</v>
      </c>
      <c r="H663" s="163"/>
      <c r="I663" s="68">
        <f>-IF(F663="I",IFERROR(VLOOKUP(C663,'BG 2021'!A:D,4,FALSE),0),0)</f>
        <v>0</v>
      </c>
      <c r="J663" s="40"/>
      <c r="K663" s="47">
        <f>-IF(F663="I",SUMIF('BG 2020'!B:B,Clasificaciones!C663,'BG 2020'!D:D),0)</f>
        <v>0</v>
      </c>
      <c r="L663" s="40"/>
      <c r="M663" s="68">
        <f>-IF(F663="I",SUMIF('BG 2020'!B:B,Clasificaciones!C663,'BG 2020'!E:E),0)</f>
        <v>0</v>
      </c>
    </row>
    <row r="664" spans="1:13" s="166" customFormat="1" ht="12" customHeight="1">
      <c r="A664" s="163" t="s">
        <v>190</v>
      </c>
      <c r="B664" s="163"/>
      <c r="C664" s="164">
        <v>4060302</v>
      </c>
      <c r="D664" s="164" t="s">
        <v>1196</v>
      </c>
      <c r="E664" s="165" t="s">
        <v>6</v>
      </c>
      <c r="F664" s="165" t="s">
        <v>344</v>
      </c>
      <c r="G664" s="47">
        <f>-IF(F664="I",IFERROR(VLOOKUP(C664,'BG 2021'!A:C,3,FALSE),0),0)</f>
        <v>0</v>
      </c>
      <c r="H664" s="163"/>
      <c r="I664" s="68">
        <f>-IF(F664="I",IFERROR(VLOOKUP(C664,'BG 2021'!A:D,4,FALSE),0),0)</f>
        <v>0</v>
      </c>
      <c r="J664" s="40"/>
      <c r="K664" s="47">
        <f>-IF(F664="I",SUMIF('BG 2020'!B:B,Clasificaciones!C664,'BG 2020'!D:D),0)</f>
        <v>0</v>
      </c>
      <c r="L664" s="40"/>
      <c r="M664" s="68">
        <f>-IF(F664="I",SUMIF('BG 2020'!B:B,Clasificaciones!C664,'BG 2020'!E:E),0)</f>
        <v>0</v>
      </c>
    </row>
    <row r="665" spans="1:13" s="166" customFormat="1" ht="12" customHeight="1">
      <c r="A665" s="163" t="s">
        <v>190</v>
      </c>
      <c r="B665" s="163"/>
      <c r="C665" s="164">
        <v>40604</v>
      </c>
      <c r="D665" s="164" t="s">
        <v>906</v>
      </c>
      <c r="E665" s="165" t="s">
        <v>6</v>
      </c>
      <c r="F665" s="165" t="s">
        <v>343</v>
      </c>
      <c r="G665" s="47">
        <f>-IF(F665="I",IFERROR(VLOOKUP(C665,'BG 2021'!A:C,3,FALSE),0),0)</f>
        <v>0</v>
      </c>
      <c r="H665" s="163"/>
      <c r="I665" s="68">
        <f>-IF(F665="I",IFERROR(VLOOKUP(C665,'BG 2021'!A:D,4,FALSE),0),0)</f>
        <v>0</v>
      </c>
      <c r="J665" s="40"/>
      <c r="K665" s="47">
        <f>-IF(F665="I",SUMIF('BG 2020'!B:B,Clasificaciones!C665,'BG 2020'!D:D),0)</f>
        <v>0</v>
      </c>
      <c r="L665" s="40"/>
      <c r="M665" s="68">
        <f>-IF(F665="I",SUMIF('BG 2020'!B:B,Clasificaciones!C665,'BG 2020'!E:E),0)</f>
        <v>0</v>
      </c>
    </row>
    <row r="666" spans="1:13" s="166" customFormat="1" ht="12" customHeight="1">
      <c r="A666" s="163" t="s">
        <v>190</v>
      </c>
      <c r="B666" s="163" t="s">
        <v>233</v>
      </c>
      <c r="C666" s="164">
        <v>4060401</v>
      </c>
      <c r="D666" s="164" t="s">
        <v>907</v>
      </c>
      <c r="E666" s="165" t="s">
        <v>6</v>
      </c>
      <c r="F666" s="165" t="s">
        <v>344</v>
      </c>
      <c r="G666" s="47">
        <f>-IF(F666="I",IFERROR(VLOOKUP(C666,'BG 2021'!A:C,3,FALSE),0),0)</f>
        <v>-77220978</v>
      </c>
      <c r="H666" s="163" t="s">
        <v>233</v>
      </c>
      <c r="I666" s="68">
        <f>-IF(F666="I",IFERROR(VLOOKUP(C666,'BG 2021'!A:D,4,FALSE),0),0)</f>
        <v>-11473.050000000001</v>
      </c>
      <c r="J666" s="40"/>
      <c r="K666" s="47">
        <f>-IF(F666="I",SUMIF('BG 2020'!B:B,Clasificaciones!C666,'BG 2020'!D:D),0)</f>
        <v>-86114976</v>
      </c>
      <c r="L666" s="40"/>
      <c r="M666" s="68">
        <f>-IF(F666="I",SUMIF('BG 2020'!B:B,Clasificaciones!C666,'BG 2020'!E:E),0)</f>
        <v>-12895.43</v>
      </c>
    </row>
    <row r="667" spans="1:13" s="166" customFormat="1" ht="12" customHeight="1">
      <c r="A667" s="163" t="s">
        <v>190</v>
      </c>
      <c r="B667" s="163" t="s">
        <v>233</v>
      </c>
      <c r="C667" s="164">
        <v>4060402</v>
      </c>
      <c r="D667" s="164" t="s">
        <v>1635</v>
      </c>
      <c r="E667" s="165" t="s">
        <v>229</v>
      </c>
      <c r="F667" s="165" t="s">
        <v>344</v>
      </c>
      <c r="G667" s="47">
        <f>-IF(F667="I",IFERROR(VLOOKUP(C667,'BG 2021'!A:C,3,FALSE),0),0)</f>
        <v>-8655356</v>
      </c>
      <c r="H667" s="163" t="s">
        <v>233</v>
      </c>
      <c r="I667" s="68">
        <f>-IF(F667="I",IFERROR(VLOOKUP(C667,'BG 2021'!A:D,4,FALSE),0),0)</f>
        <v>-1289.23</v>
      </c>
      <c r="J667" s="40"/>
      <c r="K667" s="47">
        <f>-IF(F667="I",SUMIF('BG 2020'!B:B,Clasificaciones!C667,'BG 2020'!D:D),0)</f>
        <v>0</v>
      </c>
      <c r="L667" s="40"/>
      <c r="M667" s="68">
        <f>-IF(F667="I",SUMIF('BG 2020'!B:B,Clasificaciones!C667,'BG 2020'!E:E),0)</f>
        <v>0</v>
      </c>
    </row>
    <row r="668" spans="1:13" s="166" customFormat="1" ht="12" customHeight="1">
      <c r="A668" s="163" t="s">
        <v>190</v>
      </c>
      <c r="B668" s="163"/>
      <c r="C668" s="164">
        <v>40605</v>
      </c>
      <c r="D668" s="164" t="s">
        <v>284</v>
      </c>
      <c r="E668" s="165" t="s">
        <v>6</v>
      </c>
      <c r="F668" s="165" t="s">
        <v>343</v>
      </c>
      <c r="G668" s="47">
        <f>-IF(F668="I",IFERROR(VLOOKUP(C668,'BG 2021'!A:C,3,FALSE),0),0)</f>
        <v>0</v>
      </c>
      <c r="H668" s="163"/>
      <c r="I668" s="68">
        <f>-IF(F668="I",IFERROR(VLOOKUP(C668,'BG 2021'!A:D,4,FALSE),0),0)</f>
        <v>0</v>
      </c>
      <c r="J668" s="40"/>
      <c r="K668" s="47">
        <f>-IF(F668="I",SUMIF('BG 2020'!B:B,Clasificaciones!C668,'BG 2020'!D:D),0)</f>
        <v>0</v>
      </c>
      <c r="L668" s="40"/>
      <c r="M668" s="68">
        <f>-IF(F668="I",SUMIF('BG 2020'!B:B,Clasificaciones!C668,'BG 2020'!E:E),0)</f>
        <v>0</v>
      </c>
    </row>
    <row r="669" spans="1:13" s="166" customFormat="1" ht="12" customHeight="1">
      <c r="A669" s="163" t="s">
        <v>190</v>
      </c>
      <c r="B669" s="163" t="s">
        <v>233</v>
      </c>
      <c r="C669" s="164">
        <v>4060501</v>
      </c>
      <c r="D669" s="164" t="s">
        <v>1666</v>
      </c>
      <c r="E669" s="165" t="s">
        <v>6</v>
      </c>
      <c r="F669" s="165" t="s">
        <v>344</v>
      </c>
      <c r="G669" s="47">
        <f>-IF(F669="I",IFERROR(VLOOKUP(C669,'BG 2021'!A:C,3,FALSE),0),0)</f>
        <v>-19128253</v>
      </c>
      <c r="H669" s="163" t="s">
        <v>233</v>
      </c>
      <c r="I669" s="68">
        <f>-IF(F669="I",IFERROR(VLOOKUP(C669,'BG 2021'!A:D,4,FALSE),0),0)</f>
        <v>-2841.54</v>
      </c>
      <c r="J669" s="40"/>
      <c r="K669" s="47">
        <f>-IF(F669="I",SUMIF('BG 2020'!B:B,Clasificaciones!C669,'BG 2020'!D:D),0)</f>
        <v>-21544991</v>
      </c>
      <c r="L669" s="40"/>
      <c r="M669" s="68">
        <f>-IF(F669="I",SUMIF('BG 2020'!B:B,Clasificaciones!C669,'BG 2020'!E:E),0)</f>
        <v>-3226.22</v>
      </c>
    </row>
    <row r="670" spans="1:13" s="166" customFormat="1" ht="12" customHeight="1">
      <c r="A670" s="163" t="s">
        <v>190</v>
      </c>
      <c r="B670" s="163" t="s">
        <v>233</v>
      </c>
      <c r="C670" s="164">
        <v>4060502</v>
      </c>
      <c r="D670" s="164" t="s">
        <v>1667</v>
      </c>
      <c r="E670" s="165" t="s">
        <v>229</v>
      </c>
      <c r="F670" s="165" t="s">
        <v>344</v>
      </c>
      <c r="G670" s="47">
        <f>-IF(F670="I",IFERROR(VLOOKUP(C670,'BG 2021'!A:C,3,FALSE),0),0)</f>
        <v>-2090413</v>
      </c>
      <c r="H670" s="163" t="s">
        <v>233</v>
      </c>
      <c r="I670" s="68">
        <f>-IF(F670="I",IFERROR(VLOOKUP(C670,'BG 2021'!A:D,4,FALSE),0),0)</f>
        <v>-311.55</v>
      </c>
      <c r="J670" s="40"/>
      <c r="K670" s="47">
        <f>-IF(F670="I",SUMIF('BG 2020'!B:B,Clasificaciones!C670,'BG 2020'!D:D),0)</f>
        <v>0</v>
      </c>
      <c r="L670" s="40"/>
      <c r="M670" s="68">
        <f>-IF(F670="I",SUMIF('BG 2020'!B:B,Clasificaciones!C670,'BG 2020'!E:E),0)</f>
        <v>0</v>
      </c>
    </row>
    <row r="671" spans="1:13" s="166" customFormat="1" ht="12" customHeight="1">
      <c r="A671" s="163" t="s">
        <v>190</v>
      </c>
      <c r="B671" s="163"/>
      <c r="C671" s="164">
        <v>40606</v>
      </c>
      <c r="D671" s="164" t="s">
        <v>233</v>
      </c>
      <c r="E671" s="165" t="s">
        <v>6</v>
      </c>
      <c r="F671" s="165" t="s">
        <v>343</v>
      </c>
      <c r="G671" s="47">
        <f>-IF(F671="I",IFERROR(VLOOKUP(C671,'BG 2021'!A:C,3,FALSE),0),0)</f>
        <v>0</v>
      </c>
      <c r="H671" s="163"/>
      <c r="I671" s="68">
        <f>-IF(F671="I",IFERROR(VLOOKUP(C671,'BG 2021'!A:D,4,FALSE),0),0)</f>
        <v>0</v>
      </c>
      <c r="J671" s="40"/>
      <c r="K671" s="47">
        <f>-IF(F671="I",SUMIF('BG 2020'!B:B,Clasificaciones!C671,'BG 2020'!D:D),0)</f>
        <v>0</v>
      </c>
      <c r="L671" s="40"/>
      <c r="M671" s="68">
        <f>-IF(F671="I",SUMIF('BG 2020'!B:B,Clasificaciones!C671,'BG 2020'!E:E),0)</f>
        <v>0</v>
      </c>
    </row>
    <row r="672" spans="1:13" s="166" customFormat="1" ht="12" customHeight="1">
      <c r="A672" s="163" t="s">
        <v>190</v>
      </c>
      <c r="B672" s="163" t="s">
        <v>233</v>
      </c>
      <c r="C672" s="164">
        <v>4060601</v>
      </c>
      <c r="D672" s="164" t="s">
        <v>911</v>
      </c>
      <c r="E672" s="165" t="s">
        <v>6</v>
      </c>
      <c r="F672" s="165" t="s">
        <v>344</v>
      </c>
      <c r="G672" s="47">
        <f>-IF(F672="I",IFERROR(VLOOKUP(C672,'BG 2021'!A:C,3,FALSE),0),0)</f>
        <v>-235150</v>
      </c>
      <c r="H672" s="163" t="s">
        <v>233</v>
      </c>
      <c r="I672" s="68">
        <f>-IF(F672="I",IFERROR(VLOOKUP(C672,'BG 2021'!A:D,4,FALSE),0),0)</f>
        <v>-34.090000000000003</v>
      </c>
      <c r="J672" s="40"/>
      <c r="K672" s="47">
        <f>-IF(F672="I",SUMIF('BG 2020'!B:B,Clasificaciones!C672,'BG 2020'!D:D),0)</f>
        <v>-6021870</v>
      </c>
      <c r="L672" s="40"/>
      <c r="M672" s="68">
        <f>-IF(F672="I",SUMIF('BG 2020'!B:B,Clasificaciones!C672,'BG 2020'!E:E),0)</f>
        <v>-881.76</v>
      </c>
    </row>
    <row r="673" spans="1:13" s="166" customFormat="1" ht="12" customHeight="1">
      <c r="A673" s="163" t="s">
        <v>190</v>
      </c>
      <c r="B673" s="163" t="s">
        <v>233</v>
      </c>
      <c r="C673" s="164">
        <v>4060602</v>
      </c>
      <c r="D673" s="164" t="s">
        <v>1637</v>
      </c>
      <c r="E673" s="165" t="s">
        <v>6</v>
      </c>
      <c r="F673" s="165" t="s">
        <v>344</v>
      </c>
      <c r="G673" s="47">
        <f>-IF(F673="I",IFERROR(VLOOKUP(C673,'BG 2021'!A:C,3,FALSE),0),0)</f>
        <v>-2049375</v>
      </c>
      <c r="H673" s="163" t="s">
        <v>233</v>
      </c>
      <c r="I673" s="68">
        <f>-IF(F673="I",IFERROR(VLOOKUP(C673,'BG 2021'!A:D,4,FALSE),0),0)</f>
        <v>-300</v>
      </c>
      <c r="J673" s="40"/>
      <c r="K673" s="47">
        <f>-IF(F673="I",SUMIF('BG 2020'!B:B,Clasificaciones!C673,'BG 2020'!D:D),0)</f>
        <v>0</v>
      </c>
      <c r="L673" s="40"/>
      <c r="M673" s="68">
        <f>-IF(F673="I",SUMIF('BG 2020'!B:B,Clasificaciones!C673,'BG 2020'!E:E),0)</f>
        <v>0</v>
      </c>
    </row>
    <row r="674" spans="1:13" s="166" customFormat="1" ht="12" customHeight="1">
      <c r="A674" s="163" t="s">
        <v>190</v>
      </c>
      <c r="B674" s="163"/>
      <c r="C674" s="164">
        <v>407</v>
      </c>
      <c r="D674" s="164" t="s">
        <v>286</v>
      </c>
      <c r="E674" s="165" t="s">
        <v>6</v>
      </c>
      <c r="F674" s="165" t="s">
        <v>343</v>
      </c>
      <c r="G674" s="47">
        <f>-IF(F674="I",IFERROR(VLOOKUP(C674,'BG 2021'!A:C,3,FALSE),0),0)</f>
        <v>0</v>
      </c>
      <c r="H674" s="163"/>
      <c r="I674" s="68">
        <f>-IF(F674="I",IFERROR(VLOOKUP(C674,'BG 2021'!A:D,4,FALSE),0),0)</f>
        <v>0</v>
      </c>
      <c r="J674" s="40"/>
      <c r="K674" s="47">
        <f>-IF(F674="I",SUMIF('BG 2020'!B:B,Clasificaciones!C674,'BG 2020'!D:D),0)</f>
        <v>0</v>
      </c>
      <c r="L674" s="40"/>
      <c r="M674" s="68">
        <f>-IF(F674="I",SUMIF('BG 2020'!B:B,Clasificaciones!C674,'BG 2020'!E:E),0)</f>
        <v>0</v>
      </c>
    </row>
    <row r="675" spans="1:13" s="166" customFormat="1" ht="12" customHeight="1">
      <c r="A675" s="163" t="s">
        <v>190</v>
      </c>
      <c r="B675" s="163" t="s">
        <v>124</v>
      </c>
      <c r="C675" s="164">
        <v>40701</v>
      </c>
      <c r="D675" s="164" t="s">
        <v>124</v>
      </c>
      <c r="E675" s="165" t="s">
        <v>6</v>
      </c>
      <c r="F675" s="165" t="s">
        <v>344</v>
      </c>
      <c r="G675" s="47">
        <f>-IF(F675="I",IFERROR(VLOOKUP(C675,'BG 2021'!A:C,3,FALSE),0),0)</f>
        <v>-3714440</v>
      </c>
      <c r="H675" s="163" t="s">
        <v>124</v>
      </c>
      <c r="I675" s="68">
        <f>-IF(F675="I",IFERROR(VLOOKUP(C675,'BG 2021'!A:D,4,FALSE),0),0)</f>
        <v>-556.67999999999995</v>
      </c>
      <c r="J675" s="40"/>
      <c r="K675" s="47">
        <f>-IF(F675="I",SUMIF('BG 2020'!B:B,Clasificaciones!C675,'BG 2020'!D:D),0)</f>
        <v>-1193634</v>
      </c>
      <c r="L675" s="40"/>
      <c r="M675" s="68">
        <f>-IF(F675="I",SUMIF('BG 2020'!B:B,Clasificaciones!C675,'BG 2020'!E:E),0)</f>
        <v>-176.57</v>
      </c>
    </row>
    <row r="676" spans="1:13" s="166" customFormat="1" ht="12" customHeight="1">
      <c r="A676" s="163" t="s">
        <v>190</v>
      </c>
      <c r="B676" s="163"/>
      <c r="C676" s="164">
        <v>40702</v>
      </c>
      <c r="D676" s="164" t="s">
        <v>912</v>
      </c>
      <c r="E676" s="165" t="s">
        <v>6</v>
      </c>
      <c r="F676" s="165" t="s">
        <v>343</v>
      </c>
      <c r="G676" s="47">
        <f>-IF(F676="I",IFERROR(VLOOKUP(C676,'BG 2021'!A:C,3,FALSE),0),0)</f>
        <v>0</v>
      </c>
      <c r="H676" s="163"/>
      <c r="I676" s="68">
        <f>-IF(F676="I",IFERROR(VLOOKUP(C676,'BG 2021'!A:D,4,FALSE),0),0)</f>
        <v>0</v>
      </c>
      <c r="J676" s="40"/>
      <c r="K676" s="47">
        <f>-IF(F676="I",SUMIF('BG 2020'!B:B,Clasificaciones!C676,'BG 2020'!D:D),0)</f>
        <v>0</v>
      </c>
      <c r="L676" s="40"/>
      <c r="M676" s="68">
        <f>-IF(F676="I",SUMIF('BG 2020'!B:B,Clasificaciones!C676,'BG 2020'!E:E),0)</f>
        <v>0</v>
      </c>
    </row>
    <row r="677" spans="1:13" s="166" customFormat="1" ht="12" customHeight="1">
      <c r="A677" s="163" t="s">
        <v>190</v>
      </c>
      <c r="B677" s="163" t="s">
        <v>240</v>
      </c>
      <c r="C677" s="164">
        <v>4070201</v>
      </c>
      <c r="D677" s="164" t="s">
        <v>913</v>
      </c>
      <c r="E677" s="165" t="s">
        <v>6</v>
      </c>
      <c r="F677" s="165" t="s">
        <v>344</v>
      </c>
      <c r="G677" s="47">
        <f>-IF(F677="I",IFERROR(VLOOKUP(C677,'BG 2021'!A:C,3,FALSE),0),0)</f>
        <v>-2354409344</v>
      </c>
      <c r="H677" s="163" t="s">
        <v>240</v>
      </c>
      <c r="I677" s="68">
        <f>-IF(F677="I",IFERROR(VLOOKUP(C677,'BG 2021'!A:D,4,FALSE),0),0)</f>
        <v>-958555.49</v>
      </c>
      <c r="J677" s="40"/>
      <c r="K677" s="47">
        <v>-1066878151</v>
      </c>
      <c r="L677" s="40"/>
      <c r="M677" s="68">
        <f>-IF(F677="I",SUMIF('BG 2020'!B:B,Clasificaciones!C677,'BG 2020'!E:E),0)</f>
        <v>-410155.61</v>
      </c>
    </row>
    <row r="678" spans="1:13" s="166" customFormat="1" ht="12" customHeight="1">
      <c r="A678" s="163" t="s">
        <v>190</v>
      </c>
      <c r="B678" s="163" t="s">
        <v>240</v>
      </c>
      <c r="C678" s="164">
        <v>4070202</v>
      </c>
      <c r="D678" s="164" t="s">
        <v>914</v>
      </c>
      <c r="E678" s="165" t="s">
        <v>6</v>
      </c>
      <c r="F678" s="165" t="s">
        <v>344</v>
      </c>
      <c r="G678" s="47">
        <f>-IF(F678="I",IFERROR(VLOOKUP(C678,'BG 2021'!A:C,3,FALSE),0),0)</f>
        <v>-1195814894</v>
      </c>
      <c r="H678" s="163" t="s">
        <v>240</v>
      </c>
      <c r="I678" s="68">
        <f>-IF(F678="I",IFERROR(VLOOKUP(C678,'BG 2021'!A:D,4,FALSE),0),0)</f>
        <v>-1425172.9116</v>
      </c>
      <c r="J678" s="40"/>
      <c r="K678" s="47">
        <v>-221217283</v>
      </c>
      <c r="L678" s="40"/>
      <c r="M678" s="68">
        <f>-IF(F678="I",SUMIF('BG 2020'!B:B,Clasificaciones!C678,'BG 2020'!E:E),0)</f>
        <v>0</v>
      </c>
    </row>
    <row r="679" spans="1:13" s="166" customFormat="1" ht="12" customHeight="1">
      <c r="A679" s="163" t="s">
        <v>190</v>
      </c>
      <c r="B679" s="163"/>
      <c r="C679" s="164">
        <v>408</v>
      </c>
      <c r="D679" s="164" t="s">
        <v>915</v>
      </c>
      <c r="E679" s="165" t="s">
        <v>6</v>
      </c>
      <c r="F679" s="165" t="s">
        <v>343</v>
      </c>
      <c r="G679" s="47">
        <f>-IF(F679="I",IFERROR(VLOOKUP(C679,'BG 2021'!A:C,3,FALSE),0),0)</f>
        <v>0</v>
      </c>
      <c r="H679" s="163"/>
      <c r="I679" s="68">
        <f>-IF(F679="I",IFERROR(VLOOKUP(C679,'BG 2021'!A:D,4,FALSE),0),0)</f>
        <v>0</v>
      </c>
      <c r="J679" s="40"/>
      <c r="K679" s="47">
        <f>-IF(F679="I",SUMIF('BG 2020'!B:B,Clasificaciones!C679,'BG 2020'!D:D),0)</f>
        <v>0</v>
      </c>
      <c r="L679" s="40"/>
      <c r="M679" s="68">
        <f>-IF(F679="I",SUMIF('BG 2020'!B:B,Clasificaciones!C679,'BG 2020'!E:E),0)</f>
        <v>0</v>
      </c>
    </row>
    <row r="680" spans="1:13" s="166" customFormat="1" ht="12" customHeight="1">
      <c r="A680" s="163" t="s">
        <v>190</v>
      </c>
      <c r="B680" s="163"/>
      <c r="C680" s="164">
        <v>40801</v>
      </c>
      <c r="D680" s="164" t="s">
        <v>1198</v>
      </c>
      <c r="E680" s="165" t="s">
        <v>6</v>
      </c>
      <c r="F680" s="165" t="s">
        <v>344</v>
      </c>
      <c r="G680" s="47">
        <f>-IF(F680="I",IFERROR(VLOOKUP(C680,'BG 2021'!A:C,3,FALSE),0),0)</f>
        <v>0</v>
      </c>
      <c r="H680" s="163"/>
      <c r="I680" s="68">
        <f>-IF(F680="I",IFERROR(VLOOKUP(C680,'BG 2021'!A:D,4,FALSE),0),0)</f>
        <v>0</v>
      </c>
      <c r="J680" s="40"/>
      <c r="K680" s="47">
        <f>-IF(F680="I",SUMIF('BG 2020'!B:B,Clasificaciones!C680,'BG 2020'!D:D),0)</f>
        <v>0</v>
      </c>
      <c r="L680" s="40"/>
      <c r="M680" s="68">
        <f>-IF(F680="I",SUMIF('BG 2020'!B:B,Clasificaciones!C680,'BG 2020'!E:E),0)</f>
        <v>0</v>
      </c>
    </row>
    <row r="681" spans="1:13" s="166" customFormat="1" ht="12" customHeight="1">
      <c r="A681" s="163" t="s">
        <v>190</v>
      </c>
      <c r="B681" s="163" t="s">
        <v>181</v>
      </c>
      <c r="C681" s="164">
        <v>40802</v>
      </c>
      <c r="D681" s="164" t="s">
        <v>916</v>
      </c>
      <c r="E681" s="165" t="s">
        <v>6</v>
      </c>
      <c r="F681" s="165" t="s">
        <v>344</v>
      </c>
      <c r="G681" s="47">
        <f>-IF(F681="I",IFERROR(VLOOKUP(C681,'BG 2021'!A:C,3,FALSE),0),0)</f>
        <v>-8177</v>
      </c>
      <c r="H681" s="163" t="s">
        <v>181</v>
      </c>
      <c r="I681" s="68">
        <f>-IF(F681="I",IFERROR(VLOOKUP(C681,'BG 2021'!A:D,4,FALSE),0),0)</f>
        <v>-4.2489999999999997</v>
      </c>
      <c r="J681" s="40"/>
      <c r="K681" s="47">
        <f>-IF(F681="I",SUMIF('BG 2020'!B:B,Clasificaciones!C681,'BG 2020'!D:D),0)</f>
        <v>0</v>
      </c>
      <c r="L681" s="40"/>
      <c r="M681" s="68">
        <f>-IF(F681="I",SUMIF('BG 2020'!B:B,Clasificaciones!C681,'BG 2020'!E:E),0)</f>
        <v>0</v>
      </c>
    </row>
    <row r="682" spans="1:13" s="166" customFormat="1" ht="12" customHeight="1">
      <c r="A682" s="163" t="s">
        <v>190</v>
      </c>
      <c r="B682" s="163" t="s">
        <v>733</v>
      </c>
      <c r="C682" s="164">
        <v>40803</v>
      </c>
      <c r="D682" s="164" t="s">
        <v>733</v>
      </c>
      <c r="E682" s="165" t="s">
        <v>6</v>
      </c>
      <c r="F682" s="165" t="s">
        <v>344</v>
      </c>
      <c r="G682" s="47">
        <f>-IF(F682="I",IFERROR(VLOOKUP(C682,'BG 2021'!A:C,3,FALSE),0),0)</f>
        <v>-49787771</v>
      </c>
      <c r="H682" s="163" t="s">
        <v>733</v>
      </c>
      <c r="I682" s="68">
        <f>-IF(F682="I",IFERROR(VLOOKUP(C682,'BG 2021'!A:D,4,FALSE),0),0)</f>
        <v>-5091.71</v>
      </c>
      <c r="J682" s="40"/>
      <c r="K682" s="47">
        <f>-IF(F682="I",SUMIF('BG 2020'!B:B,Clasificaciones!C682,'BG 2020'!D:D),0)</f>
        <v>-12973985</v>
      </c>
      <c r="L682" s="40"/>
      <c r="M682" s="68">
        <f>-IF(F682="I",SUMIF('BG 2020'!B:B,Clasificaciones!C682,'BG 2020'!E:E),0)</f>
        <v>-1908.47</v>
      </c>
    </row>
    <row r="683" spans="1:13" s="166" customFormat="1" ht="12" customHeight="1">
      <c r="A683" s="163" t="s">
        <v>190</v>
      </c>
      <c r="B683" s="163"/>
      <c r="C683" s="164">
        <v>40804</v>
      </c>
      <c r="D683" s="164" t="s">
        <v>1199</v>
      </c>
      <c r="E683" s="165" t="s">
        <v>6</v>
      </c>
      <c r="F683" s="165" t="s">
        <v>344</v>
      </c>
      <c r="G683" s="47">
        <f>-IF(F683="I",IFERROR(VLOOKUP(C683,'BG 2021'!A:C,3,FALSE),0),0)</f>
        <v>0</v>
      </c>
      <c r="H683" s="163"/>
      <c r="I683" s="68">
        <f>-IF(F683="I",IFERROR(VLOOKUP(C683,'BG 2021'!A:D,4,FALSE),0),0)</f>
        <v>0</v>
      </c>
      <c r="J683" s="40"/>
      <c r="K683" s="47">
        <f>-IF(F683="I",SUMIF('BG 2020'!B:B,Clasificaciones!C683,'BG 2020'!D:D),0)</f>
        <v>0</v>
      </c>
      <c r="L683" s="40"/>
      <c r="M683" s="68">
        <f>-IF(F683="I",SUMIF('BG 2020'!B:B,Clasificaciones!C683,'BG 2020'!E:E),0)</f>
        <v>0</v>
      </c>
    </row>
    <row r="684" spans="1:13" s="166" customFormat="1" ht="12" customHeight="1">
      <c r="A684" s="163" t="s">
        <v>190</v>
      </c>
      <c r="B684" s="163"/>
      <c r="C684" s="164">
        <v>40805</v>
      </c>
      <c r="D684" s="164" t="s">
        <v>1200</v>
      </c>
      <c r="E684" s="165" t="s">
        <v>6</v>
      </c>
      <c r="F684" s="165" t="s">
        <v>344</v>
      </c>
      <c r="G684" s="47">
        <f>-IF(F684="I",IFERROR(VLOOKUP(C684,'BG 2021'!A:C,3,FALSE),0),0)</f>
        <v>0</v>
      </c>
      <c r="H684" s="163"/>
      <c r="I684" s="68">
        <f>-IF(F684="I",IFERROR(VLOOKUP(C684,'BG 2021'!A:D,4,FALSE),0),0)</f>
        <v>0</v>
      </c>
      <c r="J684" s="40"/>
      <c r="K684" s="47">
        <f>-IF(F684="I",SUMIF('BG 2020'!B:B,Clasificaciones!C684,'BG 2020'!D:D),0)</f>
        <v>0</v>
      </c>
      <c r="L684" s="40"/>
      <c r="M684" s="68">
        <f>-IF(F684="I",SUMIF('BG 2020'!B:B,Clasificaciones!C684,'BG 2020'!E:E),0)</f>
        <v>0</v>
      </c>
    </row>
    <row r="685" spans="1:13" s="166" customFormat="1" ht="12" customHeight="1">
      <c r="A685" s="163" t="s">
        <v>190</v>
      </c>
      <c r="B685" s="163"/>
      <c r="C685" s="164">
        <v>40806</v>
      </c>
      <c r="D685" s="164" t="s">
        <v>1201</v>
      </c>
      <c r="E685" s="165" t="s">
        <v>6</v>
      </c>
      <c r="F685" s="165" t="s">
        <v>344</v>
      </c>
      <c r="G685" s="47">
        <f>-IF(F685="I",IFERROR(VLOOKUP(C685,'BG 2021'!A:C,3,FALSE),0),0)</f>
        <v>0</v>
      </c>
      <c r="H685" s="163"/>
      <c r="I685" s="68">
        <f>-IF(F685="I",IFERROR(VLOOKUP(C685,'BG 2021'!A:D,4,FALSE),0),0)</f>
        <v>0</v>
      </c>
      <c r="J685" s="40"/>
      <c r="K685" s="47">
        <f>-IF(F685="I",SUMIF('BG 2020'!B:B,Clasificaciones!C685,'BG 2020'!D:D),0)</f>
        <v>0</v>
      </c>
      <c r="L685" s="40"/>
      <c r="M685" s="68">
        <f>-IF(F685="I",SUMIF('BG 2020'!B:B,Clasificaciones!C685,'BG 2020'!E:E),0)</f>
        <v>0</v>
      </c>
    </row>
    <row r="686" spans="1:13" s="166" customFormat="1" ht="12" customHeight="1">
      <c r="A686" s="163" t="s">
        <v>190</v>
      </c>
      <c r="B686" s="163"/>
      <c r="C686" s="164">
        <v>40807</v>
      </c>
      <c r="D686" s="164" t="s">
        <v>1202</v>
      </c>
      <c r="E686" s="165" t="s">
        <v>6</v>
      </c>
      <c r="F686" s="165" t="s">
        <v>344</v>
      </c>
      <c r="G686" s="47">
        <f>-IF(F686="I",IFERROR(VLOOKUP(C686,'BG 2021'!A:C,3,FALSE),0),0)</f>
        <v>0</v>
      </c>
      <c r="H686" s="163"/>
      <c r="I686" s="68">
        <f>-IF(F686="I",IFERROR(VLOOKUP(C686,'BG 2021'!A:D,4,FALSE),0),0)</f>
        <v>0</v>
      </c>
      <c r="J686" s="40"/>
      <c r="K686" s="47">
        <f>-IF(F686="I",SUMIF('BG 2020'!B:B,Clasificaciones!C686,'BG 2020'!D:D),0)</f>
        <v>0</v>
      </c>
      <c r="L686" s="40"/>
      <c r="M686" s="68">
        <f>-IF(F686="I",SUMIF('BG 2020'!B:B,Clasificaciones!C686,'BG 2020'!E:E),0)</f>
        <v>0</v>
      </c>
    </row>
    <row r="687" spans="1:13" s="166" customFormat="1" ht="12" customHeight="1">
      <c r="A687" s="163" t="s">
        <v>190</v>
      </c>
      <c r="B687" s="163" t="s">
        <v>181</v>
      </c>
      <c r="C687" s="164">
        <v>40808</v>
      </c>
      <c r="D687" s="164" t="s">
        <v>611</v>
      </c>
      <c r="E687" s="165" t="s">
        <v>6</v>
      </c>
      <c r="F687" s="165" t="s">
        <v>344</v>
      </c>
      <c r="G687" s="47">
        <f>-IF(F687="I",IFERROR(VLOOKUP(C687,'BG 2021'!A:C,3,FALSE),0),0)</f>
        <v>-1943416237</v>
      </c>
      <c r="H687" s="163" t="s">
        <v>181</v>
      </c>
      <c r="I687" s="68">
        <f>-IF(F687="I",IFERROR(VLOOKUP(C687,'BG 2021'!A:D,4,FALSE),0),0)</f>
        <v>-289543.25</v>
      </c>
      <c r="J687" s="40"/>
      <c r="K687" s="47">
        <f>-IF(F687="I",SUMIF('BG 2020'!B:B,Clasificaciones!C687,'BG 2020'!D:D),0)</f>
        <v>-103990631</v>
      </c>
      <c r="L687" s="40"/>
      <c r="M687" s="68">
        <f>-IF(F687="I",SUMIF('BG 2020'!B:B,Clasificaciones!C687,'BG 2020'!E:E),0)</f>
        <v>-15083.21</v>
      </c>
    </row>
    <row r="688" spans="1:13" s="166" customFormat="1" ht="12" customHeight="1">
      <c r="A688" s="163" t="s">
        <v>190</v>
      </c>
      <c r="B688" s="163" t="s">
        <v>181</v>
      </c>
      <c r="C688" s="164">
        <v>40809</v>
      </c>
      <c r="D688" s="164" t="s">
        <v>1368</v>
      </c>
      <c r="E688" s="165" t="s">
        <v>6</v>
      </c>
      <c r="F688" s="165" t="s">
        <v>344</v>
      </c>
      <c r="G688" s="47">
        <f>-IF(F688="I",IFERROR(VLOOKUP(C688,'BG 2021'!A:C,3,FALSE),0),0)</f>
        <v>-12670644</v>
      </c>
      <c r="H688" s="163" t="s">
        <v>181</v>
      </c>
      <c r="I688" s="68">
        <f>-IF(F688="I",IFERROR(VLOOKUP(C688,'BG 2021'!A:D,4,FALSE),0),0)</f>
        <v>-1881.01</v>
      </c>
      <c r="J688" s="40"/>
      <c r="K688" s="47">
        <f>-IF(F688="I",SUMIF('BG 2020'!B:B,Clasificaciones!C688,'BG 2020'!D:D),0)</f>
        <v>0</v>
      </c>
      <c r="L688" s="40"/>
      <c r="M688" s="68">
        <f>-IF(F688="I",SUMIF('BG 2020'!B:B,Clasificaciones!C688,'BG 2020'!E:E),0)</f>
        <v>0</v>
      </c>
    </row>
    <row r="689" spans="1:13" s="166" customFormat="1" ht="12" customHeight="1">
      <c r="A689" s="163" t="s">
        <v>190</v>
      </c>
      <c r="B689" s="163" t="s">
        <v>181</v>
      </c>
      <c r="C689" s="164">
        <v>40811</v>
      </c>
      <c r="D689" s="164" t="s">
        <v>1327</v>
      </c>
      <c r="E689" s="165" t="s">
        <v>6</v>
      </c>
      <c r="F689" s="165" t="s">
        <v>344</v>
      </c>
      <c r="G689" s="47">
        <f>-IF(F689="I",IFERROR(VLOOKUP(C689,'BG 2021'!A:C,3,FALSE),0),0)</f>
        <v>-168921218</v>
      </c>
      <c r="H689" s="163" t="s">
        <v>181</v>
      </c>
      <c r="I689" s="68">
        <f>-IF(F689="I",IFERROR(VLOOKUP(C689,'BG 2021'!A:D,4,FALSE),0),0)</f>
        <v>-24604.75</v>
      </c>
      <c r="J689" s="40"/>
      <c r="K689" s="47">
        <f>-IF(F689="I",SUMIF('BG 2020'!B:B,Clasificaciones!C689,'BG 2020'!D:D),0)</f>
        <v>0</v>
      </c>
      <c r="L689" s="40"/>
      <c r="M689" s="68">
        <f>-IF(F689="I",SUMIF('BG 2020'!B:B,Clasificaciones!C689,'BG 2020'!E:E),0)</f>
        <v>0</v>
      </c>
    </row>
    <row r="690" spans="1:13" s="166" customFormat="1" ht="12" customHeight="1">
      <c r="A690" s="163" t="s">
        <v>190</v>
      </c>
      <c r="B690" s="163" t="s">
        <v>181</v>
      </c>
      <c r="C690" s="164">
        <v>40812</v>
      </c>
      <c r="D690" s="164" t="s">
        <v>1369</v>
      </c>
      <c r="E690" s="165" t="s">
        <v>6</v>
      </c>
      <c r="F690" s="165" t="s">
        <v>344</v>
      </c>
      <c r="G690" s="47">
        <f>-IF(F690="I",IFERROR(VLOOKUP(C690,'BG 2021'!A:C,3,FALSE),0),0)</f>
        <v>-20514102</v>
      </c>
      <c r="H690" s="163" t="s">
        <v>181</v>
      </c>
      <c r="I690" s="68">
        <f>-IF(F690="I",IFERROR(VLOOKUP(C690,'BG 2021'!A:D,4,FALSE),0),0)</f>
        <v>-2978.19</v>
      </c>
      <c r="J690" s="40"/>
      <c r="K690" s="47">
        <f>-IF(F690="I",SUMIF('BG 2020'!B:B,Clasificaciones!C690,'BG 2020'!D:D),0)</f>
        <v>0</v>
      </c>
      <c r="L690" s="40"/>
      <c r="M690" s="68">
        <f>-IF(F690="I",SUMIF('BG 2020'!B:B,Clasificaciones!C690,'BG 2020'!E:E),0)</f>
        <v>0</v>
      </c>
    </row>
    <row r="691" spans="1:13" s="166" customFormat="1" ht="12" customHeight="1">
      <c r="A691" s="163" t="s">
        <v>232</v>
      </c>
      <c r="B691" s="163"/>
      <c r="C691" s="164">
        <v>5</v>
      </c>
      <c r="D691" s="164" t="s">
        <v>232</v>
      </c>
      <c r="E691" s="165" t="s">
        <v>6</v>
      </c>
      <c r="F691" s="165" t="s">
        <v>343</v>
      </c>
      <c r="G691" s="47">
        <f>IF(F691="I",IFERROR(VLOOKUP(C691,'BG 2021'!A:C,3,FALSE),0),0)</f>
        <v>0</v>
      </c>
      <c r="H691" s="163"/>
      <c r="I691" s="68">
        <f>IF(F691="I",IFERROR(VLOOKUP(C691,'BG 2021'!A:D,4,FALSE),0),0)</f>
        <v>0</v>
      </c>
      <c r="J691" s="40"/>
      <c r="K691" s="47">
        <f>IF(F691="I",SUMIF('BG 2020'!B:B,Clasificaciones!C691,'BG 2020'!D:D),0)</f>
        <v>0</v>
      </c>
      <c r="L691" s="40"/>
      <c r="M691" s="68">
        <f>IF(F691="I",SUMIF('BG 2020'!B:B,Clasificaciones!C691,'BG 2020'!E:E),0)</f>
        <v>0</v>
      </c>
    </row>
    <row r="692" spans="1:13" s="166" customFormat="1" ht="12" customHeight="1">
      <c r="A692" s="163" t="s">
        <v>232</v>
      </c>
      <c r="B692" s="163"/>
      <c r="C692" s="164">
        <v>51</v>
      </c>
      <c r="D692" s="164" t="s">
        <v>917</v>
      </c>
      <c r="E692" s="165" t="s">
        <v>6</v>
      </c>
      <c r="F692" s="165" t="s">
        <v>343</v>
      </c>
      <c r="G692" s="47">
        <f>IF(F692="I",IFERROR(VLOOKUP(C692,'BG 2021'!A:C,3,FALSE),0),0)</f>
        <v>0</v>
      </c>
      <c r="H692" s="163"/>
      <c r="I692" s="68">
        <f>IF(F692="I",IFERROR(VLOOKUP(C692,'BG 2021'!A:D,4,FALSE),0),0)</f>
        <v>0</v>
      </c>
      <c r="J692" s="40"/>
      <c r="K692" s="47">
        <f>IF(F692="I",SUMIF('BG 2020'!B:B,Clasificaciones!C692,'BG 2020'!D:D),0)</f>
        <v>0</v>
      </c>
      <c r="L692" s="40"/>
      <c r="M692" s="68">
        <f>IF(F692="I",SUMIF('BG 2020'!B:B,Clasificaciones!C692,'BG 2020'!E:E),0)</f>
        <v>0</v>
      </c>
    </row>
    <row r="693" spans="1:13" s="166" customFormat="1" ht="12" customHeight="1">
      <c r="A693" s="163" t="s">
        <v>232</v>
      </c>
      <c r="B693" s="163"/>
      <c r="C693" s="164">
        <v>511</v>
      </c>
      <c r="D693" s="164" t="s">
        <v>918</v>
      </c>
      <c r="E693" s="165" t="s">
        <v>6</v>
      </c>
      <c r="F693" s="165" t="s">
        <v>343</v>
      </c>
      <c r="G693" s="47">
        <f>IF(F693="I",IFERROR(VLOOKUP(C693,'BG 2021'!A:C,3,FALSE),0),0)</f>
        <v>0</v>
      </c>
      <c r="H693" s="163"/>
      <c r="I693" s="68">
        <f>IF(F693="I",IFERROR(VLOOKUP(C693,'BG 2021'!A:D,4,FALSE),0),0)</f>
        <v>0</v>
      </c>
      <c r="J693" s="40"/>
      <c r="K693" s="47">
        <f>IF(F693="I",SUMIF('BG 2020'!B:B,Clasificaciones!C693,'BG 2020'!D:D),0)</f>
        <v>0</v>
      </c>
      <c r="L693" s="40"/>
      <c r="M693" s="68">
        <f>IF(F693="I",SUMIF('BG 2020'!B:B,Clasificaciones!C693,'BG 2020'!E:E),0)</f>
        <v>0</v>
      </c>
    </row>
    <row r="694" spans="1:13" s="166" customFormat="1" ht="12" customHeight="1">
      <c r="A694" s="163" t="s">
        <v>232</v>
      </c>
      <c r="B694" s="163"/>
      <c r="C694" s="164">
        <v>51101</v>
      </c>
      <c r="D694" s="164" t="s">
        <v>40</v>
      </c>
      <c r="E694" s="165" t="s">
        <v>6</v>
      </c>
      <c r="F694" s="165" t="s">
        <v>343</v>
      </c>
      <c r="G694" s="47">
        <f>IF(F694="I",IFERROR(VLOOKUP(C694,'BG 2021'!A:C,3,FALSE),0),0)</f>
        <v>0</v>
      </c>
      <c r="H694" s="163"/>
      <c r="I694" s="68">
        <f>IF(F694="I",IFERROR(VLOOKUP(C694,'BG 2021'!A:D,4,FALSE),0),0)</f>
        <v>0</v>
      </c>
      <c r="J694" s="40"/>
      <c r="K694" s="47">
        <f>IF(F694="I",SUMIF('BG 2020'!B:B,Clasificaciones!C694,'BG 2020'!D:D),0)</f>
        <v>0</v>
      </c>
      <c r="L694" s="40"/>
      <c r="M694" s="68">
        <f>IF(F694="I",SUMIF('BG 2020'!B:B,Clasificaciones!C694,'BG 2020'!E:E),0)</f>
        <v>0</v>
      </c>
    </row>
    <row r="695" spans="1:13" s="166" customFormat="1" ht="12" customHeight="1">
      <c r="A695" s="163" t="s">
        <v>232</v>
      </c>
      <c r="B695" s="163"/>
      <c r="C695" s="164">
        <v>5110101</v>
      </c>
      <c r="D695" s="164" t="s">
        <v>1203</v>
      </c>
      <c r="E695" s="165" t="s">
        <v>6</v>
      </c>
      <c r="F695" s="165" t="s">
        <v>344</v>
      </c>
      <c r="G695" s="47">
        <f>IF(F695="I",IFERROR(VLOOKUP(C695,'BG 2021'!A:C,3,FALSE),0),0)</f>
        <v>0</v>
      </c>
      <c r="H695" s="163"/>
      <c r="I695" s="68">
        <f>IF(F695="I",IFERROR(VLOOKUP(C695,'BG 2021'!A:D,4,FALSE),0),0)</f>
        <v>0</v>
      </c>
      <c r="J695" s="40"/>
      <c r="K695" s="47">
        <f>IF(F695="I",SUMIF('BG 2020'!B:B,Clasificaciones!C695,'BG 2020'!D:D),0)</f>
        <v>0</v>
      </c>
      <c r="L695" s="40"/>
      <c r="M695" s="68">
        <f>IF(F695="I",SUMIF('BG 2020'!B:B,Clasificaciones!C695,'BG 2020'!E:E),0)</f>
        <v>0</v>
      </c>
    </row>
    <row r="696" spans="1:13" s="166" customFormat="1" ht="12" customHeight="1">
      <c r="A696" s="163" t="s">
        <v>232</v>
      </c>
      <c r="B696" s="163"/>
      <c r="C696" s="164">
        <v>5110102</v>
      </c>
      <c r="D696" s="164" t="s">
        <v>919</v>
      </c>
      <c r="E696" s="165" t="s">
        <v>6</v>
      </c>
      <c r="F696" s="165" t="s">
        <v>343</v>
      </c>
      <c r="G696" s="47">
        <f>IF(F696="I",IFERROR(VLOOKUP(C696,'BG 2021'!A:C,3,FALSE),0),0)</f>
        <v>0</v>
      </c>
      <c r="H696" s="163"/>
      <c r="I696" s="68">
        <f>IF(F696="I",IFERROR(VLOOKUP(C696,'BG 2021'!A:D,4,FALSE),0),0)</f>
        <v>0</v>
      </c>
      <c r="J696" s="40"/>
      <c r="K696" s="47">
        <f>IF(F696="I",SUMIF('BG 2020'!B:B,Clasificaciones!C696,'BG 2020'!D:D),0)</f>
        <v>0</v>
      </c>
      <c r="L696" s="40"/>
      <c r="M696" s="68">
        <f>IF(F696="I",SUMIF('BG 2020'!B:B,Clasificaciones!C696,'BG 2020'!E:E),0)</f>
        <v>0</v>
      </c>
    </row>
    <row r="697" spans="1:13" s="166" customFormat="1" ht="12" customHeight="1">
      <c r="A697" s="163" t="s">
        <v>232</v>
      </c>
      <c r="B697" s="163" t="s">
        <v>40</v>
      </c>
      <c r="C697" s="164">
        <v>511010201</v>
      </c>
      <c r="D697" s="164" t="s">
        <v>920</v>
      </c>
      <c r="E697" s="165" t="s">
        <v>6</v>
      </c>
      <c r="F697" s="165" t="s">
        <v>344</v>
      </c>
      <c r="G697" s="47">
        <f>IF(F697="I",IFERROR(VLOOKUP(C697,'BG 2021'!A:C,3,FALSE),0),0)</f>
        <v>160953638</v>
      </c>
      <c r="H697" s="163" t="s">
        <v>40</v>
      </c>
      <c r="I697" s="68">
        <f>IF(F697="I",IFERROR(VLOOKUP(C697,'BG 2021'!A:D,4,FALSE),0),0)</f>
        <v>24315.660000000149</v>
      </c>
      <c r="J697" s="40"/>
      <c r="K697" s="47">
        <f>IF(F697="I",SUMIF('BG 2020'!B:B,Clasificaciones!C697,'BG 2020'!D:D),0)</f>
        <v>56638828</v>
      </c>
      <c r="L697" s="40"/>
      <c r="M697" s="68">
        <f>IF(F697="I",SUMIF('BG 2020'!B:B,Clasificaciones!C697,'BG 2020'!E:E),0)</f>
        <v>8580.3799999999992</v>
      </c>
    </row>
    <row r="698" spans="1:13" s="166" customFormat="1" ht="12" customHeight="1">
      <c r="A698" s="163" t="s">
        <v>232</v>
      </c>
      <c r="B698" s="163"/>
      <c r="C698" s="164">
        <v>511010202</v>
      </c>
      <c r="D698" s="164" t="s">
        <v>920</v>
      </c>
      <c r="E698" s="165" t="s">
        <v>229</v>
      </c>
      <c r="F698" s="165" t="s">
        <v>344</v>
      </c>
      <c r="G698" s="47">
        <f>IF(F698="I",IFERROR(VLOOKUP(C698,'BG 2021'!A:C,3,FALSE),0),0)</f>
        <v>0</v>
      </c>
      <c r="H698" s="163"/>
      <c r="I698" s="68">
        <f>IF(F698="I",IFERROR(VLOOKUP(C698,'BG 2021'!A:D,4,FALSE),0),0)</f>
        <v>0</v>
      </c>
      <c r="J698" s="40"/>
      <c r="K698" s="47">
        <f>IF(F698="I",SUMIF('BG 2020'!B:B,Clasificaciones!C698,'BG 2020'!D:D),0)</f>
        <v>0</v>
      </c>
      <c r="L698" s="40"/>
      <c r="M698" s="68">
        <f>IF(F698="I",SUMIF('BG 2020'!B:B,Clasificaciones!C698,'BG 2020'!E:E),0)</f>
        <v>0</v>
      </c>
    </row>
    <row r="699" spans="1:13" s="166" customFormat="1" ht="12" customHeight="1">
      <c r="A699" s="163" t="s">
        <v>232</v>
      </c>
      <c r="B699" s="163"/>
      <c r="C699" s="164">
        <v>51102</v>
      </c>
      <c r="D699" s="164" t="s">
        <v>921</v>
      </c>
      <c r="E699" s="165" t="s">
        <v>6</v>
      </c>
      <c r="F699" s="165" t="s">
        <v>343</v>
      </c>
      <c r="G699" s="47">
        <f>IF(F699="I",IFERROR(VLOOKUP(C699,'BG 2021'!A:C,3,FALSE),0),0)</f>
        <v>0</v>
      </c>
      <c r="H699" s="163"/>
      <c r="I699" s="68">
        <f>IF(F699="I",IFERROR(VLOOKUP(C699,'BG 2021'!A:D,4,FALSE),0),0)</f>
        <v>0</v>
      </c>
      <c r="J699" s="40"/>
      <c r="K699" s="47">
        <f>IF(F699="I",SUMIF('BG 2020'!B:B,Clasificaciones!C699,'BG 2020'!D:D),0)</f>
        <v>0</v>
      </c>
      <c r="L699" s="40"/>
      <c r="M699" s="68">
        <f>IF(F699="I",SUMIF('BG 2020'!B:B,Clasificaciones!C699,'BG 2020'!E:E),0)</f>
        <v>0</v>
      </c>
    </row>
    <row r="700" spans="1:13" s="166" customFormat="1" ht="12" customHeight="1">
      <c r="A700" s="163" t="s">
        <v>232</v>
      </c>
      <c r="B700" s="163"/>
      <c r="C700" s="164">
        <v>5110201</v>
      </c>
      <c r="D700" s="164" t="s">
        <v>922</v>
      </c>
      <c r="E700" s="165" t="s">
        <v>6</v>
      </c>
      <c r="F700" s="165" t="s">
        <v>343</v>
      </c>
      <c r="G700" s="47">
        <f>IF(F700="I",IFERROR(VLOOKUP(C700,'BG 2021'!A:C,3,FALSE),0),0)</f>
        <v>0</v>
      </c>
      <c r="H700" s="163"/>
      <c r="I700" s="68">
        <f>IF(F700="I",IFERROR(VLOOKUP(C700,'BG 2021'!A:D,4,FALSE),0),0)</f>
        <v>0</v>
      </c>
      <c r="J700" s="40"/>
      <c r="K700" s="47">
        <f>IF(F700="I",SUMIF('BG 2020'!B:B,Clasificaciones!C700,'BG 2020'!D:D),0)</f>
        <v>0</v>
      </c>
      <c r="L700" s="40"/>
      <c r="M700" s="68">
        <f>IF(F700="I",SUMIF('BG 2020'!B:B,Clasificaciones!C700,'BG 2020'!E:E),0)</f>
        <v>0</v>
      </c>
    </row>
    <row r="701" spans="1:13" s="166" customFormat="1" ht="12" customHeight="1">
      <c r="A701" s="163" t="s">
        <v>232</v>
      </c>
      <c r="B701" s="163" t="s">
        <v>39</v>
      </c>
      <c r="C701" s="164">
        <v>511020101</v>
      </c>
      <c r="D701" s="164" t="s">
        <v>979</v>
      </c>
      <c r="E701" s="165" t="s">
        <v>6</v>
      </c>
      <c r="F701" s="165" t="s">
        <v>344</v>
      </c>
      <c r="G701" s="47">
        <f>IF(F701="I",IFERROR(VLOOKUP(C701,'BG 2021'!A:C,3,FALSE),0),0)</f>
        <v>165047513</v>
      </c>
      <c r="H701" s="163" t="s">
        <v>39</v>
      </c>
      <c r="I701" s="68">
        <f>IF(F701="I",IFERROR(VLOOKUP(C701,'BG 2021'!A:D,4,FALSE),0),0)</f>
        <v>24090.53</v>
      </c>
      <c r="J701" s="40"/>
      <c r="K701" s="47">
        <f>IF(F701="I",SUMIF('BG 2020'!B:B,Clasificaciones!C701,'BG 2020'!D:D),0)</f>
        <v>223124937</v>
      </c>
      <c r="L701" s="40"/>
      <c r="M701" s="68">
        <f>IF(F701="I",SUMIF('BG 2020'!B:B,Clasificaciones!C701,'BG 2020'!E:E),0)</f>
        <v>32647.14</v>
      </c>
    </row>
    <row r="702" spans="1:13" s="166" customFormat="1" ht="12" customHeight="1">
      <c r="A702" s="163" t="s">
        <v>232</v>
      </c>
      <c r="B702" s="163" t="s">
        <v>39</v>
      </c>
      <c r="C702" s="164">
        <v>511020102</v>
      </c>
      <c r="D702" s="164" t="s">
        <v>1638</v>
      </c>
      <c r="E702" s="165" t="s">
        <v>229</v>
      </c>
      <c r="F702" s="165" t="s">
        <v>344</v>
      </c>
      <c r="G702" s="47">
        <f>IF(F702="I",IFERROR(VLOOKUP(C702,'BG 2021'!A:C,3,FALSE),0),0)</f>
        <v>118789281</v>
      </c>
      <c r="H702" s="163" t="s">
        <v>39</v>
      </c>
      <c r="I702" s="68">
        <f>IF(F702="I",IFERROR(VLOOKUP(C702,'BG 2021'!A:D,4,FALSE),0),0)</f>
        <v>17453.349999999999</v>
      </c>
      <c r="J702" s="40"/>
      <c r="K702" s="47">
        <f>IF(F702="I",SUMIF('BG 2020'!B:B,Clasificaciones!C702,'BG 2020'!D:D),0)</f>
        <v>0</v>
      </c>
      <c r="L702" s="40"/>
      <c r="M702" s="68">
        <f>IF(F702="I",SUMIF('BG 2020'!B:B,Clasificaciones!C702,'BG 2020'!E:E),0)</f>
        <v>0</v>
      </c>
    </row>
    <row r="703" spans="1:13" s="166" customFormat="1" ht="12" customHeight="1">
      <c r="A703" s="163" t="s">
        <v>232</v>
      </c>
      <c r="B703" s="163"/>
      <c r="C703" s="164">
        <v>5110202</v>
      </c>
      <c r="D703" s="164" t="s">
        <v>284</v>
      </c>
      <c r="E703" s="165" t="s">
        <v>6</v>
      </c>
      <c r="F703" s="165" t="s">
        <v>343</v>
      </c>
      <c r="G703" s="47">
        <f>IF(F703="I",IFERROR(VLOOKUP(C703,'BG 2021'!A:C,3,FALSE),0),0)</f>
        <v>0</v>
      </c>
      <c r="H703" s="163"/>
      <c r="I703" s="68">
        <f>IF(F703="I",IFERROR(VLOOKUP(C703,'BG 2021'!A:D,4,FALSE),0),0)</f>
        <v>0</v>
      </c>
      <c r="J703" s="40"/>
      <c r="K703" s="47">
        <f>IF(F703="I",SUMIF('BG 2020'!B:B,Clasificaciones!C703,'BG 2020'!D:D),0)</f>
        <v>0</v>
      </c>
      <c r="L703" s="40"/>
      <c r="M703" s="68">
        <f>IF(F703="I",SUMIF('BG 2020'!B:B,Clasificaciones!C703,'BG 2020'!E:E),0)</f>
        <v>0</v>
      </c>
    </row>
    <row r="704" spans="1:13" s="166" customFormat="1" ht="12" customHeight="1">
      <c r="A704" s="163" t="s">
        <v>232</v>
      </c>
      <c r="B704" s="163" t="s">
        <v>39</v>
      </c>
      <c r="C704" s="164">
        <v>511020201</v>
      </c>
      <c r="D704" s="164" t="s">
        <v>909</v>
      </c>
      <c r="E704" s="165" t="s">
        <v>6</v>
      </c>
      <c r="F704" s="165" t="s">
        <v>344</v>
      </c>
      <c r="G704" s="47">
        <f>IF(F704="I",IFERROR(VLOOKUP(C704,'BG 2021'!A:C,3,FALSE),0),0)</f>
        <v>56121803</v>
      </c>
      <c r="H704" s="163" t="s">
        <v>39</v>
      </c>
      <c r="I704" s="68">
        <f>IF(F704="I",IFERROR(VLOOKUP(C704,'BG 2021'!A:D,4,FALSE),0),0)</f>
        <v>8318.68</v>
      </c>
      <c r="J704" s="40"/>
      <c r="K704" s="47">
        <f>IF(F704="I",SUMIF('BG 2020'!B:B,Clasificaciones!C704,'BG 2020'!D:D),0)</f>
        <v>47538328</v>
      </c>
      <c r="L704" s="40"/>
      <c r="M704" s="68">
        <f>IF(F704="I",SUMIF('BG 2020'!B:B,Clasificaciones!C704,'BG 2020'!E:E),0)</f>
        <v>6993.33</v>
      </c>
    </row>
    <row r="705" spans="1:13" s="166" customFormat="1" ht="12" customHeight="1">
      <c r="A705" s="163" t="s">
        <v>232</v>
      </c>
      <c r="B705" s="163" t="s">
        <v>39</v>
      </c>
      <c r="C705" s="164">
        <v>511020202</v>
      </c>
      <c r="D705" s="164" t="s">
        <v>1636</v>
      </c>
      <c r="E705" s="165" t="s">
        <v>229</v>
      </c>
      <c r="F705" s="165" t="s">
        <v>344</v>
      </c>
      <c r="G705" s="47">
        <f>IF(F705="I",IFERROR(VLOOKUP(C705,'BG 2021'!A:C,3,FALSE),0),0)</f>
        <v>5098164</v>
      </c>
      <c r="H705" s="163" t="s">
        <v>39</v>
      </c>
      <c r="I705" s="68">
        <f>IF(F705="I",IFERROR(VLOOKUP(C705,'BG 2021'!A:D,4,FALSE),0),0)</f>
        <v>752.71</v>
      </c>
      <c r="J705" s="40"/>
      <c r="K705" s="47">
        <f>IF(F705="I",SUMIF('BG 2020'!B:B,Clasificaciones!C705,'BG 2020'!D:D),0)</f>
        <v>0</v>
      </c>
      <c r="L705" s="40"/>
      <c r="M705" s="68">
        <f>IF(F705="I",SUMIF('BG 2020'!B:B,Clasificaciones!C705,'BG 2020'!E:E),0)</f>
        <v>0</v>
      </c>
    </row>
    <row r="706" spans="1:13" s="166" customFormat="1" ht="12" customHeight="1">
      <c r="A706" s="163" t="s">
        <v>232</v>
      </c>
      <c r="B706" s="163" t="s">
        <v>729</v>
      </c>
      <c r="C706" s="164">
        <v>5110203</v>
      </c>
      <c r="D706" s="164" t="s">
        <v>293</v>
      </c>
      <c r="E706" s="165" t="s">
        <v>6</v>
      </c>
      <c r="F706" s="165" t="s">
        <v>344</v>
      </c>
      <c r="G706" s="47">
        <f>IF(F706="I",IFERROR(VLOOKUP(C706,'BG 2021'!A:C,3,FALSE),0),0)</f>
        <v>2530200</v>
      </c>
      <c r="H706" s="163" t="s">
        <v>729</v>
      </c>
      <c r="I706" s="68">
        <f>IF(F706="I",IFERROR(VLOOKUP(C706,'BG 2021'!A:D,4,FALSE),0),0)</f>
        <v>364.4</v>
      </c>
      <c r="J706" s="40"/>
      <c r="K706" s="47">
        <f>IF(F706="I",SUMIF('BG 2020'!B:B,Clasificaciones!C706,'BG 2020'!D:D),0)</f>
        <v>2530200</v>
      </c>
      <c r="L706" s="40"/>
      <c r="M706" s="68">
        <f>IF(F706="I",SUMIF('BG 2020'!B:B,Clasificaciones!C706,'BG 2020'!E:E),0)</f>
        <v>390.84</v>
      </c>
    </row>
    <row r="707" spans="1:13" s="166" customFormat="1" ht="12" customHeight="1">
      <c r="A707" s="163" t="s">
        <v>232</v>
      </c>
      <c r="B707" s="163"/>
      <c r="C707" s="164">
        <v>51103</v>
      </c>
      <c r="D707" s="164" t="s">
        <v>260</v>
      </c>
      <c r="E707" s="165" t="s">
        <v>6</v>
      </c>
      <c r="F707" s="165" t="s">
        <v>343</v>
      </c>
      <c r="G707" s="47">
        <f>IF(F707="I",IFERROR(VLOOKUP(C707,'BG 2021'!A:C,3,FALSE),0),0)</f>
        <v>0</v>
      </c>
      <c r="H707" s="163"/>
      <c r="I707" s="68">
        <f>IF(F707="I",IFERROR(VLOOKUP(C707,'BG 2021'!A:D,4,FALSE),0),0)</f>
        <v>0</v>
      </c>
      <c r="J707" s="40"/>
      <c r="K707" s="47">
        <f>IF(F707="I",SUMIF('BG 2020'!B:B,Clasificaciones!C707,'BG 2020'!D:D),0)</f>
        <v>0</v>
      </c>
      <c r="L707" s="40"/>
      <c r="M707" s="68">
        <f>IF(F707="I",SUMIF('BG 2020'!B:B,Clasificaciones!C707,'BG 2020'!E:E),0)</f>
        <v>0</v>
      </c>
    </row>
    <row r="708" spans="1:13" s="166" customFormat="1" ht="12" customHeight="1">
      <c r="A708" s="163" t="s">
        <v>232</v>
      </c>
      <c r="B708" s="163"/>
      <c r="C708" s="164">
        <v>5110301</v>
      </c>
      <c r="D708" s="164" t="s">
        <v>897</v>
      </c>
      <c r="E708" s="165" t="s">
        <v>6</v>
      </c>
      <c r="F708" s="165" t="s">
        <v>343</v>
      </c>
      <c r="G708" s="47">
        <f>IF(F708="I",IFERROR(VLOOKUP(C708,'BG 2021'!A:C,3,FALSE),0),0)</f>
        <v>0</v>
      </c>
      <c r="H708" s="163"/>
      <c r="I708" s="68">
        <f>IF(F708="I",IFERROR(VLOOKUP(C708,'BG 2021'!A:D,4,FALSE),0),0)</f>
        <v>0</v>
      </c>
      <c r="J708" s="40"/>
      <c r="K708" s="47">
        <f>IF(F708="I",SUMIF('BG 2020'!B:B,Clasificaciones!C708,'BG 2020'!D:D),0)</f>
        <v>0</v>
      </c>
      <c r="L708" s="40"/>
      <c r="M708" s="68">
        <f>IF(F708="I",SUMIF('BG 2020'!B:B,Clasificaciones!C708,'BG 2020'!E:E),0)</f>
        <v>0</v>
      </c>
    </row>
    <row r="709" spans="1:13" s="166" customFormat="1" ht="12" customHeight="1">
      <c r="A709" s="163" t="s">
        <v>232</v>
      </c>
      <c r="B709" s="163"/>
      <c r="C709" s="164">
        <v>511030101</v>
      </c>
      <c r="D709" s="164" t="s">
        <v>1186</v>
      </c>
      <c r="E709" s="165" t="s">
        <v>6</v>
      </c>
      <c r="F709" s="165" t="s">
        <v>343</v>
      </c>
      <c r="G709" s="47">
        <f>IF(F709="I",IFERROR(VLOOKUP(C709,'BG 2021'!A:C,3,FALSE),0),0)</f>
        <v>0</v>
      </c>
      <c r="H709" s="163"/>
      <c r="I709" s="68">
        <f>IF(F709="I",IFERROR(VLOOKUP(C709,'BG 2021'!A:D,4,FALSE),0),0)</f>
        <v>0</v>
      </c>
      <c r="J709" s="40"/>
      <c r="K709" s="47">
        <f>IF(F709="I",SUMIF('BG 2020'!B:B,Clasificaciones!C709,'BG 2020'!D:D),0)</f>
        <v>0</v>
      </c>
      <c r="L709" s="40"/>
      <c r="M709" s="68">
        <f>IF(F709="I",SUMIF('BG 2020'!B:B,Clasificaciones!C709,'BG 2020'!E:E),0)</f>
        <v>0</v>
      </c>
    </row>
    <row r="710" spans="1:13" s="166" customFormat="1" ht="12" customHeight="1">
      <c r="A710" s="163" t="s">
        <v>232</v>
      </c>
      <c r="B710" s="163" t="s">
        <v>729</v>
      </c>
      <c r="C710" s="164">
        <v>51103010101</v>
      </c>
      <c r="D710" s="164" t="s">
        <v>887</v>
      </c>
      <c r="E710" s="165" t="s">
        <v>6</v>
      </c>
      <c r="F710" s="165" t="s">
        <v>344</v>
      </c>
      <c r="G710" s="47">
        <f>IF(F710="I",IFERROR(VLOOKUP(C710,'BG 2021'!A:C,3,FALSE),0),0)</f>
        <v>178819883</v>
      </c>
      <c r="H710" s="163" t="s">
        <v>729</v>
      </c>
      <c r="I710" s="68">
        <f>IF(F710="I",IFERROR(VLOOKUP(C710,'BG 2021'!A:D,4,FALSE),0),0)</f>
        <v>26191.899999999907</v>
      </c>
      <c r="J710" s="40"/>
      <c r="K710" s="47">
        <f>IF(F710="I",SUMIF('BG 2020'!B:B,Clasificaciones!C710,'BG 2020'!D:D),0)</f>
        <v>82039498</v>
      </c>
      <c r="L710" s="40"/>
      <c r="M710" s="68">
        <f>IF(F710="I",SUMIF('BG 2020'!B:B,Clasificaciones!C710,'BG 2020'!E:E),0)</f>
        <v>12160.739999999991</v>
      </c>
    </row>
    <row r="711" spans="1:13" s="166" customFormat="1" ht="12" customHeight="1">
      <c r="A711" s="163" t="s">
        <v>232</v>
      </c>
      <c r="B711" s="163" t="s">
        <v>729</v>
      </c>
      <c r="C711" s="164">
        <v>51103010102</v>
      </c>
      <c r="D711" s="164" t="s">
        <v>1590</v>
      </c>
      <c r="E711" s="165" t="s">
        <v>229</v>
      </c>
      <c r="F711" s="165" t="s">
        <v>344</v>
      </c>
      <c r="G711" s="47">
        <f>IF(F711="I",IFERROR(VLOOKUP(C711,'BG 2021'!A:C,3,FALSE),0),0)</f>
        <v>128059774</v>
      </c>
      <c r="H711" s="163" t="s">
        <v>729</v>
      </c>
      <c r="I711" s="68">
        <f>IF(F711="I",IFERROR(VLOOKUP(C711,'BG 2021'!A:D,4,FALSE),0),0)</f>
        <v>18696.72</v>
      </c>
      <c r="J711" s="40"/>
      <c r="K711" s="47">
        <f>IF(F711="I",SUMIF('BG 2020'!B:B,Clasificaciones!C711,'BG 2020'!D:D),0)</f>
        <v>0</v>
      </c>
      <c r="L711" s="40"/>
      <c r="M711" s="68">
        <f>IF(F711="I",SUMIF('BG 2020'!B:B,Clasificaciones!C711,'BG 2020'!E:E),0)</f>
        <v>0</v>
      </c>
    </row>
    <row r="712" spans="1:13" s="166" customFormat="1" ht="12" customHeight="1">
      <c r="A712" s="163" t="s">
        <v>232</v>
      </c>
      <c r="B712" s="163" t="s">
        <v>729</v>
      </c>
      <c r="C712" s="164">
        <v>51103010103</v>
      </c>
      <c r="D712" s="164" t="s">
        <v>780</v>
      </c>
      <c r="E712" s="165" t="s">
        <v>229</v>
      </c>
      <c r="F712" s="165" t="s">
        <v>344</v>
      </c>
      <c r="G712" s="47">
        <f>IF(F712="I",IFERROR(VLOOKUP(C712,'BG 2021'!A:C,3,FALSE),0),0)</f>
        <v>125180710</v>
      </c>
      <c r="H712" s="163" t="s">
        <v>729</v>
      </c>
      <c r="I712" s="68">
        <f>IF(F712="I",IFERROR(VLOOKUP(C712,'BG 2021'!A:D,4,FALSE),0),0)</f>
        <v>18206.77</v>
      </c>
      <c r="J712" s="40"/>
      <c r="K712" s="47">
        <f>IF(F712="I",SUMIF('BG 2020'!B:B,Clasificaciones!C712,'BG 2020'!D:D),0)</f>
        <v>0</v>
      </c>
      <c r="L712" s="40"/>
      <c r="M712" s="68">
        <f>IF(F712="I",SUMIF('BG 2020'!B:B,Clasificaciones!C712,'BG 2020'!E:E),0)</f>
        <v>0</v>
      </c>
    </row>
    <row r="713" spans="1:13" s="166" customFormat="1" ht="12" customHeight="1">
      <c r="A713" s="163" t="s">
        <v>232</v>
      </c>
      <c r="B713" s="163" t="s">
        <v>729</v>
      </c>
      <c r="C713" s="164">
        <v>51103010104</v>
      </c>
      <c r="D713" s="164" t="s">
        <v>884</v>
      </c>
      <c r="E713" s="165" t="s">
        <v>229</v>
      </c>
      <c r="F713" s="165" t="s">
        <v>344</v>
      </c>
      <c r="G713" s="47">
        <f>IF(F713="I",IFERROR(VLOOKUP(C713,'BG 2021'!A:C,3,FALSE),0),0)</f>
        <v>169749924</v>
      </c>
      <c r="H713" s="163" t="s">
        <v>729</v>
      </c>
      <c r="I713" s="68">
        <f>IF(F713="I",IFERROR(VLOOKUP(C713,'BG 2021'!A:D,4,FALSE),0),0)</f>
        <v>24692.720000000001</v>
      </c>
      <c r="J713" s="40"/>
      <c r="K713" s="47">
        <f>IF(F713="I",SUMIF('BG 2020'!B:B,Clasificaciones!C713,'BG 2020'!D:D),0)</f>
        <v>0</v>
      </c>
      <c r="L713" s="40"/>
      <c r="M713" s="68">
        <f>IF(F713="I",SUMIF('BG 2020'!B:B,Clasificaciones!C713,'BG 2020'!E:E),0)</f>
        <v>0</v>
      </c>
    </row>
    <row r="714" spans="1:13" s="166" customFormat="1" ht="12" customHeight="1">
      <c r="A714" s="163" t="s">
        <v>232</v>
      </c>
      <c r="B714" s="163" t="s">
        <v>729</v>
      </c>
      <c r="C714" s="164">
        <v>51103010105</v>
      </c>
      <c r="D714" s="164" t="s">
        <v>1370</v>
      </c>
      <c r="E714" s="165" t="s">
        <v>229</v>
      </c>
      <c r="F714" s="165" t="s">
        <v>344</v>
      </c>
      <c r="G714" s="47">
        <f>IF(F714="I",IFERROR(VLOOKUP(C714,'BG 2021'!A:C,3,FALSE),0),0)</f>
        <v>272230702</v>
      </c>
      <c r="H714" s="163" t="s">
        <v>729</v>
      </c>
      <c r="I714" s="68">
        <f>IF(F714="I",IFERROR(VLOOKUP(C714,'BG 2021'!A:D,4,FALSE),0),0)</f>
        <v>39725.42</v>
      </c>
      <c r="J714" s="40"/>
      <c r="K714" s="47">
        <f>IF(F714="I",SUMIF('BG 2020'!B:B,Clasificaciones!C714,'BG 2020'!D:D),0)</f>
        <v>0</v>
      </c>
      <c r="L714" s="40"/>
      <c r="M714" s="68">
        <f>IF(F714="I",SUMIF('BG 2020'!B:B,Clasificaciones!C714,'BG 2020'!E:E),0)</f>
        <v>0</v>
      </c>
    </row>
    <row r="715" spans="1:13" s="166" customFormat="1" ht="12" customHeight="1">
      <c r="A715" s="163" t="s">
        <v>232</v>
      </c>
      <c r="B715" s="163" t="s">
        <v>729</v>
      </c>
      <c r="C715" s="164">
        <v>51103010106</v>
      </c>
      <c r="D715" s="164" t="s">
        <v>307</v>
      </c>
      <c r="E715" s="165" t="s">
        <v>229</v>
      </c>
      <c r="F715" s="165" t="s">
        <v>344</v>
      </c>
      <c r="G715" s="47">
        <f>IF(F715="I",IFERROR(VLOOKUP(C715,'BG 2021'!A:C,3,FALSE),0),0)</f>
        <v>19678822</v>
      </c>
      <c r="H715" s="163" t="s">
        <v>729</v>
      </c>
      <c r="I715" s="68">
        <f>IF(F715="I",IFERROR(VLOOKUP(C715,'BG 2021'!A:D,4,FALSE),0),0)</f>
        <v>2881.11</v>
      </c>
      <c r="J715" s="40"/>
      <c r="K715" s="47">
        <f>IF(F715="I",SUMIF('BG 2020'!B:B,Clasificaciones!C715,'BG 2020'!D:D),0)</f>
        <v>0</v>
      </c>
      <c r="L715" s="40"/>
      <c r="M715" s="68">
        <f>IF(F715="I",SUMIF('BG 2020'!B:B,Clasificaciones!C715,'BG 2020'!E:E),0)</f>
        <v>0</v>
      </c>
    </row>
    <row r="716" spans="1:13" s="166" customFormat="1" ht="12" customHeight="1">
      <c r="A716" s="163" t="s">
        <v>232</v>
      </c>
      <c r="B716" s="163"/>
      <c r="C716" s="164">
        <v>511030120</v>
      </c>
      <c r="D716" s="164" t="s">
        <v>924</v>
      </c>
      <c r="E716" s="165" t="s">
        <v>6</v>
      </c>
      <c r="F716" s="165" t="s">
        <v>343</v>
      </c>
      <c r="G716" s="47">
        <f>IF(F716="I",IFERROR(VLOOKUP(C716,'BG 2021'!A:C,3,FALSE),0),0)</f>
        <v>0</v>
      </c>
      <c r="H716" s="163"/>
      <c r="I716" s="68">
        <f>IF(F716="I",IFERROR(VLOOKUP(C716,'BG 2021'!A:D,4,FALSE),0),0)</f>
        <v>0</v>
      </c>
      <c r="J716" s="40"/>
      <c r="K716" s="47">
        <f>IF(F716="I",SUMIF('BG 2020'!B:B,Clasificaciones!C716,'BG 2020'!D:D),0)</f>
        <v>0</v>
      </c>
      <c r="L716" s="40"/>
      <c r="M716" s="68">
        <f>IF(F716="I",SUMIF('BG 2020'!B:B,Clasificaciones!C716,'BG 2020'!E:E),0)</f>
        <v>0</v>
      </c>
    </row>
    <row r="717" spans="1:13" s="166" customFormat="1" ht="12" customHeight="1">
      <c r="A717" s="163" t="s">
        <v>232</v>
      </c>
      <c r="B717" s="163" t="s">
        <v>729</v>
      </c>
      <c r="C717" s="164">
        <v>51103012001</v>
      </c>
      <c r="D717" s="164" t="s">
        <v>884</v>
      </c>
      <c r="E717" s="165" t="s">
        <v>6</v>
      </c>
      <c r="F717" s="165" t="s">
        <v>344</v>
      </c>
      <c r="G717" s="47">
        <f>IF(F717="I",IFERROR(VLOOKUP(C717,'BG 2021'!A:C,3,FALSE),0),0)</f>
        <v>1824993</v>
      </c>
      <c r="H717" s="163" t="s">
        <v>729</v>
      </c>
      <c r="I717" s="68">
        <f>IF(F717="I",IFERROR(VLOOKUP(C717,'BG 2021'!A:D,4,FALSE),0),0)</f>
        <v>268.39</v>
      </c>
      <c r="J717" s="40"/>
      <c r="K717" s="47">
        <f>IF(F717="I",SUMIF('BG 2020'!B:B,Clasificaciones!C717,'BG 2020'!D:D),0)</f>
        <v>251012134</v>
      </c>
      <c r="L717" s="40"/>
      <c r="M717" s="68">
        <f>IF(F717="I",SUMIF('BG 2020'!B:B,Clasificaciones!C717,'BG 2020'!E:E),0)</f>
        <v>36032.400000000001</v>
      </c>
    </row>
    <row r="718" spans="1:13" s="166" customFormat="1" ht="12" customHeight="1">
      <c r="A718" s="163" t="s">
        <v>232</v>
      </c>
      <c r="B718" s="163" t="s">
        <v>729</v>
      </c>
      <c r="C718" s="164">
        <v>51103012002</v>
      </c>
      <c r="D718" s="164" t="s">
        <v>1623</v>
      </c>
      <c r="E718" s="165" t="s">
        <v>229</v>
      </c>
      <c r="F718" s="165" t="s">
        <v>344</v>
      </c>
      <c r="G718" s="47">
        <f>IF(F718="I",IFERROR(VLOOKUP(C718,'BG 2021'!A:C,3,FALSE),0),0)</f>
        <v>5516245</v>
      </c>
      <c r="H718" s="163" t="s">
        <v>729</v>
      </c>
      <c r="I718" s="68">
        <f>IF(F718="I",IFERROR(VLOOKUP(C718,'BG 2021'!A:D,4,FALSE),0),0)</f>
        <v>812.75</v>
      </c>
      <c r="J718" s="40"/>
      <c r="K718" s="47">
        <f>IF(F718="I",SUMIF('BG 2020'!B:B,Clasificaciones!C718,'BG 2020'!D:D),0)</f>
        <v>1057133388</v>
      </c>
      <c r="L718" s="40"/>
      <c r="M718" s="68">
        <f>IF(F718="I",SUMIF('BG 2020'!B:B,Clasificaciones!C718,'BG 2020'!E:E),0)</f>
        <v>153811.15</v>
      </c>
    </row>
    <row r="719" spans="1:13" s="166" customFormat="1" ht="12" customHeight="1">
      <c r="A719" s="163" t="s">
        <v>232</v>
      </c>
      <c r="B719" s="163"/>
      <c r="C719" s="164">
        <v>51103012003</v>
      </c>
      <c r="D719" s="164" t="s">
        <v>885</v>
      </c>
      <c r="E719" s="165" t="s">
        <v>6</v>
      </c>
      <c r="F719" s="165" t="s">
        <v>344</v>
      </c>
      <c r="G719" s="47">
        <f>IF(F719="I",IFERROR(VLOOKUP(C719,'BG 2021'!A:C,3,FALSE),0),0)</f>
        <v>0</v>
      </c>
      <c r="H719" s="163"/>
      <c r="I719" s="68">
        <f>IF(F719="I",IFERROR(VLOOKUP(C719,'BG 2021'!A:D,4,FALSE),0),0)</f>
        <v>0</v>
      </c>
      <c r="J719" s="40"/>
      <c r="K719" s="47">
        <f>IF(F719="I",SUMIF('BG 2020'!B:B,Clasificaciones!C719,'BG 2020'!D:D),0)</f>
        <v>0</v>
      </c>
      <c r="L719" s="40"/>
      <c r="M719" s="68">
        <f>IF(F719="I",SUMIF('BG 2020'!B:B,Clasificaciones!C719,'BG 2020'!E:E),0)</f>
        <v>0</v>
      </c>
    </row>
    <row r="720" spans="1:13" s="166" customFormat="1" ht="12" customHeight="1">
      <c r="A720" s="163" t="s">
        <v>232</v>
      </c>
      <c r="B720" s="163" t="s">
        <v>729</v>
      </c>
      <c r="C720" s="164">
        <v>51103012004</v>
      </c>
      <c r="D720" s="164" t="s">
        <v>1613</v>
      </c>
      <c r="E720" s="165" t="s">
        <v>229</v>
      </c>
      <c r="F720" s="165" t="s">
        <v>344</v>
      </c>
      <c r="G720" s="47">
        <f>IF(F720="I",IFERROR(VLOOKUP(C720,'BG 2021'!A:C,3,FALSE),0),0)</f>
        <v>83121122</v>
      </c>
      <c r="H720" s="163" t="s">
        <v>729</v>
      </c>
      <c r="I720" s="68">
        <f>IF(F720="I",IFERROR(VLOOKUP(C720,'BG 2021'!A:D,4,FALSE),0),0)</f>
        <v>12220.57</v>
      </c>
      <c r="J720" s="40"/>
      <c r="K720" s="47">
        <f>IF(F720="I",SUMIF('BG 2020'!B:B,Clasificaciones!C720,'BG 2020'!D:D),0)</f>
        <v>0</v>
      </c>
      <c r="L720" s="40"/>
      <c r="M720" s="68">
        <f>IF(F720="I",SUMIF('BG 2020'!B:B,Clasificaciones!C720,'BG 2020'!E:E),0)</f>
        <v>0</v>
      </c>
    </row>
    <row r="721" spans="1:13" s="166" customFormat="1" ht="12" customHeight="1">
      <c r="A721" s="163" t="s">
        <v>232</v>
      </c>
      <c r="B721" s="163" t="s">
        <v>729</v>
      </c>
      <c r="C721" s="164">
        <v>51103012005</v>
      </c>
      <c r="D721" s="164" t="s">
        <v>887</v>
      </c>
      <c r="E721" s="165" t="s">
        <v>6</v>
      </c>
      <c r="F721" s="165" t="s">
        <v>344</v>
      </c>
      <c r="G721" s="47">
        <f>IF(F721="I",IFERROR(VLOOKUP(C721,'BG 2021'!A:C,3,FALSE),0),0)</f>
        <v>1429841268</v>
      </c>
      <c r="H721" s="163" t="s">
        <v>729</v>
      </c>
      <c r="I721" s="68">
        <f>IF(F721="I",IFERROR(VLOOKUP(C721,'BG 2021'!A:D,4,FALSE),0),0)</f>
        <v>209977</v>
      </c>
      <c r="J721" s="40"/>
      <c r="K721" s="47">
        <f>IF(F721="I",SUMIF('BG 2020'!B:B,Clasificaciones!C721,'BG 2020'!D:D),0)</f>
        <v>0</v>
      </c>
      <c r="L721" s="40"/>
      <c r="M721" s="68">
        <f>IF(F721="I",SUMIF('BG 2020'!B:B,Clasificaciones!C721,'BG 2020'!E:E),0)</f>
        <v>0</v>
      </c>
    </row>
    <row r="722" spans="1:13" s="166" customFormat="1" ht="12" customHeight="1">
      <c r="A722" s="163" t="s">
        <v>232</v>
      </c>
      <c r="B722" s="163" t="s">
        <v>729</v>
      </c>
      <c r="C722" s="164">
        <v>51103012006</v>
      </c>
      <c r="D722" s="164" t="s">
        <v>1590</v>
      </c>
      <c r="E722" s="165" t="s">
        <v>229</v>
      </c>
      <c r="F722" s="165" t="s">
        <v>344</v>
      </c>
      <c r="G722" s="47">
        <f>IF(F722="I",IFERROR(VLOOKUP(C722,'BG 2021'!A:C,3,FALSE),0),0)</f>
        <v>792603478</v>
      </c>
      <c r="H722" s="163" t="s">
        <v>729</v>
      </c>
      <c r="I722" s="68">
        <f>IF(F722="I",IFERROR(VLOOKUP(C722,'BG 2021'!A:D,4,FALSE),0),0)</f>
        <v>116002.12</v>
      </c>
      <c r="J722" s="40"/>
      <c r="K722" s="47">
        <f>IF(F722="I",SUMIF('BG 2020'!B:B,Clasificaciones!C722,'BG 2020'!D:D),0)</f>
        <v>0</v>
      </c>
      <c r="L722" s="40"/>
      <c r="M722" s="68">
        <f>IF(F722="I",SUMIF('BG 2020'!B:B,Clasificaciones!C722,'BG 2020'!E:E),0)</f>
        <v>0</v>
      </c>
    </row>
    <row r="723" spans="1:13" s="166" customFormat="1" ht="12" customHeight="1">
      <c r="A723" s="163" t="s">
        <v>232</v>
      </c>
      <c r="B723" s="163" t="s">
        <v>729</v>
      </c>
      <c r="C723" s="164">
        <v>51103012007</v>
      </c>
      <c r="D723" s="164" t="s">
        <v>888</v>
      </c>
      <c r="E723" s="165" t="s">
        <v>6</v>
      </c>
      <c r="F723" s="165" t="s">
        <v>344</v>
      </c>
      <c r="G723" s="47">
        <f>IF(F723="I",IFERROR(VLOOKUP(C723,'BG 2021'!A:C,3,FALSE),0),0)</f>
        <v>1298993482</v>
      </c>
      <c r="H723" s="163" t="s">
        <v>729</v>
      </c>
      <c r="I723" s="68">
        <f>IF(F723="I",IFERROR(VLOOKUP(C723,'BG 2021'!A:D,4,FALSE),0),0)</f>
        <v>193942.19999999998</v>
      </c>
      <c r="J723" s="40"/>
      <c r="K723" s="47">
        <f>IF(F723="I",SUMIF('BG 2020'!B:B,Clasificaciones!C723,'BG 2020'!D:D),0)</f>
        <v>0</v>
      </c>
      <c r="L723" s="40"/>
      <c r="M723" s="68">
        <f>IF(F723="I",SUMIF('BG 2020'!B:B,Clasificaciones!C723,'BG 2020'!E:E),0)</f>
        <v>0</v>
      </c>
    </row>
    <row r="724" spans="1:13" s="166" customFormat="1" ht="12" customHeight="1">
      <c r="A724" s="163" t="s">
        <v>232</v>
      </c>
      <c r="B724" s="163" t="s">
        <v>729</v>
      </c>
      <c r="C724" s="164">
        <v>51103012008</v>
      </c>
      <c r="D724" s="164" t="s">
        <v>1630</v>
      </c>
      <c r="E724" s="165" t="s">
        <v>229</v>
      </c>
      <c r="F724" s="165" t="s">
        <v>344</v>
      </c>
      <c r="G724" s="47">
        <f>IF(F724="I",IFERROR(VLOOKUP(C724,'BG 2021'!A:C,3,FALSE),0),0)</f>
        <v>112716866</v>
      </c>
      <c r="H724" s="163" t="s">
        <v>729</v>
      </c>
      <c r="I724" s="68">
        <f>IF(F724="I",IFERROR(VLOOKUP(C724,'BG 2021'!A:D,4,FALSE),0),0)</f>
        <v>16350.09</v>
      </c>
      <c r="J724" s="40"/>
      <c r="K724" s="47">
        <f>IF(F724="I",SUMIF('BG 2020'!B:B,Clasificaciones!C724,'BG 2020'!D:D),0)</f>
        <v>0</v>
      </c>
      <c r="L724" s="40"/>
      <c r="M724" s="68">
        <f>IF(F724="I",SUMIF('BG 2020'!B:B,Clasificaciones!C724,'BG 2020'!E:E),0)</f>
        <v>0</v>
      </c>
    </row>
    <row r="725" spans="1:13" s="166" customFormat="1" ht="12" customHeight="1">
      <c r="A725" s="163" t="s">
        <v>232</v>
      </c>
      <c r="B725" s="163" t="s">
        <v>729</v>
      </c>
      <c r="C725" s="164">
        <v>51103012009</v>
      </c>
      <c r="D725" s="164" t="s">
        <v>890</v>
      </c>
      <c r="E725" s="165" t="s">
        <v>6</v>
      </c>
      <c r="F725" s="165" t="s">
        <v>344</v>
      </c>
      <c r="G725" s="47">
        <f>IF(F725="I",IFERROR(VLOOKUP(C725,'BG 2021'!A:C,3,FALSE),0),0)</f>
        <v>212441006</v>
      </c>
      <c r="H725" s="163" t="s">
        <v>729</v>
      </c>
      <c r="I725" s="68">
        <f>IF(F725="I",IFERROR(VLOOKUP(C725,'BG 2021'!A:D,4,FALSE),0),0)</f>
        <v>31900.2</v>
      </c>
      <c r="J725" s="40"/>
      <c r="K725" s="47">
        <f>IF(F725="I",SUMIF('BG 2020'!B:B,Clasificaciones!C725,'BG 2020'!D:D),0)</f>
        <v>0</v>
      </c>
      <c r="L725" s="40"/>
      <c r="M725" s="68">
        <f>IF(F725="I",SUMIF('BG 2020'!B:B,Clasificaciones!C725,'BG 2020'!E:E),0)</f>
        <v>0</v>
      </c>
    </row>
    <row r="726" spans="1:13" s="166" customFormat="1" ht="12" customHeight="1">
      <c r="A726" s="163" t="s">
        <v>232</v>
      </c>
      <c r="B726" s="163"/>
      <c r="C726" s="164">
        <v>51103012010</v>
      </c>
      <c r="D726" s="164" t="s">
        <v>1003</v>
      </c>
      <c r="E726" s="165" t="s">
        <v>229</v>
      </c>
      <c r="F726" s="165" t="s">
        <v>344</v>
      </c>
      <c r="G726" s="47">
        <f>IF(F726="I",IFERROR(VLOOKUP(C726,'BG 2021'!A:C,3,FALSE),0),0)</f>
        <v>0</v>
      </c>
      <c r="H726" s="163"/>
      <c r="I726" s="68">
        <f>IF(F726="I",IFERROR(VLOOKUP(C726,'BG 2021'!A:D,4,FALSE),0),0)</f>
        <v>0</v>
      </c>
      <c r="J726" s="40"/>
      <c r="K726" s="47">
        <f>IF(F726="I",SUMIF('BG 2020'!B:B,Clasificaciones!C726,'BG 2020'!D:D),0)</f>
        <v>0</v>
      </c>
      <c r="L726" s="40"/>
      <c r="M726" s="68">
        <f>IF(F726="I",SUMIF('BG 2020'!B:B,Clasificaciones!C726,'BG 2020'!E:E),0)</f>
        <v>0</v>
      </c>
    </row>
    <row r="727" spans="1:13" s="166" customFormat="1" ht="12" customHeight="1">
      <c r="A727" s="163" t="s">
        <v>232</v>
      </c>
      <c r="B727" s="163"/>
      <c r="C727" s="164">
        <v>51103012011</v>
      </c>
      <c r="D727" s="164" t="s">
        <v>1065</v>
      </c>
      <c r="E727" s="165" t="s">
        <v>6</v>
      </c>
      <c r="F727" s="165" t="s">
        <v>344</v>
      </c>
      <c r="G727" s="47">
        <f>IF(F727="I",IFERROR(VLOOKUP(C727,'BG 2021'!A:C,3,FALSE),0),0)</f>
        <v>0</v>
      </c>
      <c r="H727" s="163"/>
      <c r="I727" s="68">
        <f>IF(F727="I",IFERROR(VLOOKUP(C727,'BG 2021'!A:D,4,FALSE),0),0)</f>
        <v>0</v>
      </c>
      <c r="J727" s="40"/>
      <c r="K727" s="47">
        <f>IF(F727="I",SUMIF('BG 2020'!B:B,Clasificaciones!C727,'BG 2020'!D:D),0)</f>
        <v>0</v>
      </c>
      <c r="L727" s="40"/>
      <c r="M727" s="68">
        <f>IF(F727="I",SUMIF('BG 2020'!B:B,Clasificaciones!C727,'BG 2020'!E:E),0)</f>
        <v>0</v>
      </c>
    </row>
    <row r="728" spans="1:13" s="166" customFormat="1" ht="12" customHeight="1">
      <c r="A728" s="163" t="s">
        <v>232</v>
      </c>
      <c r="B728" s="163"/>
      <c r="C728" s="164">
        <v>51103012012</v>
      </c>
      <c r="D728" s="164" t="s">
        <v>1006</v>
      </c>
      <c r="E728" s="165" t="s">
        <v>229</v>
      </c>
      <c r="F728" s="165" t="s">
        <v>344</v>
      </c>
      <c r="G728" s="47">
        <f>IF(F728="I",IFERROR(VLOOKUP(C728,'BG 2021'!A:C,3,FALSE),0),0)</f>
        <v>0</v>
      </c>
      <c r="H728" s="163"/>
      <c r="I728" s="68">
        <f>IF(F728="I",IFERROR(VLOOKUP(C728,'BG 2021'!A:D,4,FALSE),0),0)</f>
        <v>0</v>
      </c>
      <c r="J728" s="40"/>
      <c r="K728" s="47">
        <f>IF(F728="I",SUMIF('BG 2020'!B:B,Clasificaciones!C728,'BG 2020'!D:D),0)</f>
        <v>0</v>
      </c>
      <c r="L728" s="40"/>
      <c r="M728" s="68">
        <f>IF(F728="I",SUMIF('BG 2020'!B:B,Clasificaciones!C728,'BG 2020'!E:E),0)</f>
        <v>0</v>
      </c>
    </row>
    <row r="729" spans="1:13" s="166" customFormat="1" ht="12" customHeight="1">
      <c r="A729" s="163" t="s">
        <v>232</v>
      </c>
      <c r="B729" s="163" t="s">
        <v>729</v>
      </c>
      <c r="C729" s="164">
        <v>51103012013</v>
      </c>
      <c r="D729" s="164" t="s">
        <v>901</v>
      </c>
      <c r="E729" s="165" t="s">
        <v>6</v>
      </c>
      <c r="F729" s="165" t="s">
        <v>344</v>
      </c>
      <c r="G729" s="47">
        <f>IF(F729="I",IFERROR(VLOOKUP(C729,'BG 2021'!A:C,3,FALSE),0),0)</f>
        <v>68</v>
      </c>
      <c r="H729" s="163" t="s">
        <v>729</v>
      </c>
      <c r="I729" s="68">
        <f>IF(F729="I",IFERROR(VLOOKUP(C729,'BG 2021'!A:D,4,FALSE),0),0)</f>
        <v>0.01</v>
      </c>
      <c r="J729" s="40"/>
      <c r="K729" s="47">
        <f>IF(F729="I",SUMIF('BG 2020'!B:B,Clasificaciones!C729,'BG 2020'!D:D),0)</f>
        <v>0</v>
      </c>
      <c r="L729" s="40"/>
      <c r="M729" s="68">
        <f>IF(F729="I",SUMIF('BG 2020'!B:B,Clasificaciones!C729,'BG 2020'!E:E),0)</f>
        <v>0</v>
      </c>
    </row>
    <row r="730" spans="1:13" s="166" customFormat="1" ht="12" customHeight="1">
      <c r="A730" s="163" t="s">
        <v>232</v>
      </c>
      <c r="B730" s="163"/>
      <c r="C730" s="164">
        <v>51103012014</v>
      </c>
      <c r="D730" s="164" t="s">
        <v>891</v>
      </c>
      <c r="E730" s="165" t="s">
        <v>229</v>
      </c>
      <c r="F730" s="165" t="s">
        <v>344</v>
      </c>
      <c r="G730" s="47">
        <f>IF(F730="I",IFERROR(VLOOKUP(C730,'BG 2021'!A:C,3,FALSE),0),0)</f>
        <v>0</v>
      </c>
      <c r="H730" s="163"/>
      <c r="I730" s="68">
        <f>IF(F730="I",IFERROR(VLOOKUP(C730,'BG 2021'!A:D,4,FALSE),0),0)</f>
        <v>0</v>
      </c>
      <c r="J730" s="40"/>
      <c r="K730" s="47">
        <f>IF(F730="I",SUMIF('BG 2020'!B:B,Clasificaciones!C730,'BG 2020'!D:D),0)</f>
        <v>0</v>
      </c>
      <c r="L730" s="40"/>
      <c r="M730" s="68">
        <f>IF(F730="I",SUMIF('BG 2020'!B:B,Clasificaciones!C730,'BG 2020'!E:E),0)</f>
        <v>0</v>
      </c>
    </row>
    <row r="731" spans="1:13" s="166" customFormat="1" ht="12" customHeight="1">
      <c r="A731" s="163" t="s">
        <v>232</v>
      </c>
      <c r="B731" s="163"/>
      <c r="C731" s="164">
        <v>51103012015</v>
      </c>
      <c r="D731" s="164" t="s">
        <v>1173</v>
      </c>
      <c r="E731" s="165" t="s">
        <v>6</v>
      </c>
      <c r="F731" s="165" t="s">
        <v>344</v>
      </c>
      <c r="G731" s="47">
        <f>IF(F731="I",IFERROR(VLOOKUP(C731,'BG 2021'!A:C,3,FALSE),0),0)</f>
        <v>0</v>
      </c>
      <c r="H731" s="163"/>
      <c r="I731" s="68">
        <f>IF(F731="I",IFERROR(VLOOKUP(C731,'BG 2021'!A:D,4,FALSE),0),0)</f>
        <v>0</v>
      </c>
      <c r="J731" s="40"/>
      <c r="K731" s="47">
        <f>IF(F731="I",SUMIF('BG 2020'!B:B,Clasificaciones!C731,'BG 2020'!D:D),0)</f>
        <v>0</v>
      </c>
      <c r="L731" s="40"/>
      <c r="M731" s="68">
        <f>IF(F731="I",SUMIF('BG 2020'!B:B,Clasificaciones!C731,'BG 2020'!E:E),0)</f>
        <v>0</v>
      </c>
    </row>
    <row r="732" spans="1:13" s="166" customFormat="1" ht="12" customHeight="1">
      <c r="A732" s="163" t="s">
        <v>232</v>
      </c>
      <c r="B732" s="163"/>
      <c r="C732" s="164">
        <v>51103012016</v>
      </c>
      <c r="D732" s="164" t="s">
        <v>892</v>
      </c>
      <c r="E732" s="165" t="s">
        <v>229</v>
      </c>
      <c r="F732" s="165" t="s">
        <v>344</v>
      </c>
      <c r="G732" s="47">
        <f>IF(F732="I",IFERROR(VLOOKUP(C732,'BG 2021'!A:C,3,FALSE),0),0)</f>
        <v>0</v>
      </c>
      <c r="H732" s="163"/>
      <c r="I732" s="68">
        <f>IF(F732="I",IFERROR(VLOOKUP(C732,'BG 2021'!A:D,4,FALSE),0),0)</f>
        <v>0</v>
      </c>
      <c r="J732" s="40"/>
      <c r="K732" s="47">
        <f>IF(F732="I",SUMIF('BG 2020'!B:B,Clasificaciones!C732,'BG 2020'!D:D),0)</f>
        <v>0</v>
      </c>
      <c r="L732" s="40"/>
      <c r="M732" s="68">
        <f>IF(F732="I",SUMIF('BG 2020'!B:B,Clasificaciones!C732,'BG 2020'!E:E),0)</f>
        <v>0</v>
      </c>
    </row>
    <row r="733" spans="1:13" s="166" customFormat="1" ht="12" customHeight="1">
      <c r="A733" s="163" t="s">
        <v>232</v>
      </c>
      <c r="B733" s="163" t="s">
        <v>729</v>
      </c>
      <c r="C733" s="164">
        <v>51103012017</v>
      </c>
      <c r="D733" s="164" t="s">
        <v>893</v>
      </c>
      <c r="E733" s="165" t="s">
        <v>6</v>
      </c>
      <c r="F733" s="165" t="s">
        <v>344</v>
      </c>
      <c r="G733" s="47">
        <f>IF(F733="I",IFERROR(VLOOKUP(C733,'BG 2021'!A:C,3,FALSE),0),0)</f>
        <v>4482435203</v>
      </c>
      <c r="H733" s="163" t="s">
        <v>729</v>
      </c>
      <c r="I733" s="68">
        <f>IF(F733="I",IFERROR(VLOOKUP(C733,'BG 2021'!A:D,4,FALSE),0),0)</f>
        <v>665540.79</v>
      </c>
      <c r="J733" s="40"/>
      <c r="K733" s="47">
        <f>IF(F733="I",SUMIF('BG 2020'!B:B,Clasificaciones!C733,'BG 2020'!D:D),0)</f>
        <v>0</v>
      </c>
      <c r="L733" s="40"/>
      <c r="M733" s="68">
        <f>IF(F733="I",SUMIF('BG 2020'!B:B,Clasificaciones!C733,'BG 2020'!E:E),0)</f>
        <v>0</v>
      </c>
    </row>
    <row r="734" spans="1:13" s="166" customFormat="1" ht="12" customHeight="1">
      <c r="A734" s="163" t="s">
        <v>232</v>
      </c>
      <c r="B734" s="163" t="s">
        <v>729</v>
      </c>
      <c r="C734" s="164">
        <v>51103012018</v>
      </c>
      <c r="D734" s="164" t="s">
        <v>1633</v>
      </c>
      <c r="E734" s="165" t="s">
        <v>229</v>
      </c>
      <c r="F734" s="165" t="s">
        <v>344</v>
      </c>
      <c r="G734" s="47">
        <f>IF(F734="I",IFERROR(VLOOKUP(C734,'BG 2021'!A:C,3,FALSE),0),0)</f>
        <v>345573068</v>
      </c>
      <c r="H734" s="163" t="s">
        <v>729</v>
      </c>
      <c r="I734" s="68">
        <f>IF(F734="I",IFERROR(VLOOKUP(C734,'BG 2021'!A:D,4,FALSE),0),0)</f>
        <v>52385.99</v>
      </c>
      <c r="J734" s="40"/>
      <c r="K734" s="47">
        <f>IF(F734="I",SUMIF('BG 2020'!B:B,Clasificaciones!C734,'BG 2020'!D:D),0)</f>
        <v>0</v>
      </c>
      <c r="L734" s="40"/>
      <c r="M734" s="68">
        <f>IF(F734="I",SUMIF('BG 2020'!B:B,Clasificaciones!C734,'BG 2020'!E:E),0)</f>
        <v>0</v>
      </c>
    </row>
    <row r="735" spans="1:13" s="166" customFormat="1" ht="12" customHeight="1">
      <c r="A735" s="163" t="s">
        <v>232</v>
      </c>
      <c r="B735" s="163" t="s">
        <v>729</v>
      </c>
      <c r="C735" s="164">
        <v>51103012019</v>
      </c>
      <c r="D735" s="164" t="s">
        <v>1174</v>
      </c>
      <c r="E735" s="165" t="s">
        <v>6</v>
      </c>
      <c r="F735" s="165" t="s">
        <v>344</v>
      </c>
      <c r="G735" s="47">
        <f>IF(F735="I",IFERROR(VLOOKUP(C735,'BG 2021'!A:C,3,FALSE),0),0)</f>
        <v>887392189</v>
      </c>
      <c r="H735" s="163" t="s">
        <v>729</v>
      </c>
      <c r="I735" s="68">
        <f>IF(F735="I",IFERROR(VLOOKUP(C735,'BG 2021'!A:D,4,FALSE),0),0)</f>
        <v>128649.97</v>
      </c>
      <c r="J735" s="40"/>
      <c r="K735" s="47">
        <f>IF(F735="I",SUMIF('BG 2020'!B:B,Clasificaciones!C735,'BG 2020'!D:D),0)</f>
        <v>0</v>
      </c>
      <c r="L735" s="40"/>
      <c r="M735" s="68">
        <f>IF(F735="I",SUMIF('BG 2020'!B:B,Clasificaciones!C735,'BG 2020'!E:E),0)</f>
        <v>0</v>
      </c>
    </row>
    <row r="736" spans="1:13" s="166" customFormat="1" ht="12" customHeight="1">
      <c r="A736" s="163" t="s">
        <v>232</v>
      </c>
      <c r="B736" s="163"/>
      <c r="C736" s="164">
        <v>51103012020</v>
      </c>
      <c r="D736" s="164" t="s">
        <v>1175</v>
      </c>
      <c r="E736" s="165" t="s">
        <v>229</v>
      </c>
      <c r="F736" s="165" t="s">
        <v>344</v>
      </c>
      <c r="G736" s="47">
        <f>IF(F736="I",IFERROR(VLOOKUP(C736,'BG 2021'!A:C,3,FALSE),0),0)</f>
        <v>0</v>
      </c>
      <c r="H736" s="163"/>
      <c r="I736" s="68">
        <f>IF(F736="I",IFERROR(VLOOKUP(C736,'BG 2021'!A:D,4,FALSE),0),0)</f>
        <v>0</v>
      </c>
      <c r="J736" s="40"/>
      <c r="K736" s="47">
        <f>IF(F736="I",SUMIF('BG 2020'!B:B,Clasificaciones!C736,'BG 2020'!D:D),0)</f>
        <v>0</v>
      </c>
      <c r="L736" s="40"/>
      <c r="M736" s="68">
        <f>IF(F736="I",SUMIF('BG 2020'!B:B,Clasificaciones!C736,'BG 2020'!E:E),0)</f>
        <v>0</v>
      </c>
    </row>
    <row r="737" spans="1:13" s="166" customFormat="1" ht="12" customHeight="1">
      <c r="A737" s="163" t="s">
        <v>232</v>
      </c>
      <c r="B737" s="163"/>
      <c r="C737" s="164">
        <v>51103012021</v>
      </c>
      <c r="D737" s="164" t="s">
        <v>902</v>
      </c>
      <c r="E737" s="165" t="s">
        <v>6</v>
      </c>
      <c r="F737" s="165" t="s">
        <v>344</v>
      </c>
      <c r="G737" s="47">
        <f>IF(F737="I",IFERROR(VLOOKUP(C737,'BG 2021'!A:C,3,FALSE),0),0)</f>
        <v>0</v>
      </c>
      <c r="H737" s="163"/>
      <c r="I737" s="68">
        <f>IF(F737="I",IFERROR(VLOOKUP(C737,'BG 2021'!A:D,4,FALSE),0),0)</f>
        <v>0</v>
      </c>
      <c r="J737" s="40"/>
      <c r="K737" s="47">
        <f>IF(F737="I",SUMIF('BG 2020'!B:B,Clasificaciones!C737,'BG 2020'!D:D),0)</f>
        <v>0</v>
      </c>
      <c r="L737" s="40"/>
      <c r="M737" s="68">
        <f>IF(F737="I",SUMIF('BG 2020'!B:B,Clasificaciones!C737,'BG 2020'!E:E),0)</f>
        <v>0</v>
      </c>
    </row>
    <row r="738" spans="1:13" s="166" customFormat="1" ht="12" customHeight="1">
      <c r="A738" s="163" t="s">
        <v>232</v>
      </c>
      <c r="B738" s="163"/>
      <c r="C738" s="164">
        <v>51103012022</v>
      </c>
      <c r="D738" s="164" t="s">
        <v>1067</v>
      </c>
      <c r="E738" s="165" t="s">
        <v>229</v>
      </c>
      <c r="F738" s="165" t="s">
        <v>344</v>
      </c>
      <c r="G738" s="47">
        <f>IF(F738="I",IFERROR(VLOOKUP(C738,'BG 2021'!A:C,3,FALSE),0),0)</f>
        <v>0</v>
      </c>
      <c r="H738" s="163"/>
      <c r="I738" s="68">
        <f>IF(F738="I",IFERROR(VLOOKUP(C738,'BG 2021'!A:D,4,FALSE),0),0)</f>
        <v>0</v>
      </c>
      <c r="J738" s="40"/>
      <c r="K738" s="47">
        <f>IF(F738="I",SUMIF('BG 2020'!B:B,Clasificaciones!C738,'BG 2020'!D:D),0)</f>
        <v>0</v>
      </c>
      <c r="L738" s="40"/>
      <c r="M738" s="68">
        <f>IF(F738="I",SUMIF('BG 2020'!B:B,Clasificaciones!C738,'BG 2020'!E:E),0)</f>
        <v>0</v>
      </c>
    </row>
    <row r="739" spans="1:13" s="166" customFormat="1" ht="12" customHeight="1">
      <c r="A739" s="163" t="s">
        <v>232</v>
      </c>
      <c r="B739" s="163"/>
      <c r="C739" s="164">
        <v>51103012023</v>
      </c>
      <c r="D739" s="164" t="s">
        <v>1176</v>
      </c>
      <c r="E739" s="165" t="s">
        <v>6</v>
      </c>
      <c r="F739" s="165" t="s">
        <v>344</v>
      </c>
      <c r="G739" s="47">
        <f>IF(F739="I",IFERROR(VLOOKUP(C739,'BG 2021'!A:C,3,FALSE),0),0)</f>
        <v>0</v>
      </c>
      <c r="H739" s="163"/>
      <c r="I739" s="68">
        <f>IF(F739="I",IFERROR(VLOOKUP(C739,'BG 2021'!A:D,4,FALSE),0),0)</f>
        <v>0</v>
      </c>
      <c r="J739" s="40"/>
      <c r="K739" s="47">
        <f>IF(F739="I",SUMIF('BG 2020'!B:B,Clasificaciones!C739,'BG 2020'!D:D),0)</f>
        <v>0</v>
      </c>
      <c r="L739" s="40"/>
      <c r="M739" s="68">
        <f>IF(F739="I",SUMIF('BG 2020'!B:B,Clasificaciones!C739,'BG 2020'!E:E),0)</f>
        <v>0</v>
      </c>
    </row>
    <row r="740" spans="1:13" s="166" customFormat="1" ht="12" customHeight="1">
      <c r="A740" s="163" t="s">
        <v>232</v>
      </c>
      <c r="B740" s="163"/>
      <c r="C740" s="164">
        <v>51103012024</v>
      </c>
      <c r="D740" s="164" t="s">
        <v>1177</v>
      </c>
      <c r="E740" s="165" t="s">
        <v>229</v>
      </c>
      <c r="F740" s="165" t="s">
        <v>344</v>
      </c>
      <c r="G740" s="47">
        <f>IF(F740="I",IFERROR(VLOOKUP(C740,'BG 2021'!A:C,3,FALSE),0),0)</f>
        <v>0</v>
      </c>
      <c r="H740" s="163"/>
      <c r="I740" s="68">
        <f>IF(F740="I",IFERROR(VLOOKUP(C740,'BG 2021'!A:D,4,FALSE),0),0)</f>
        <v>0</v>
      </c>
      <c r="J740" s="40"/>
      <c r="K740" s="47">
        <f>IF(F740="I",SUMIF('BG 2020'!B:B,Clasificaciones!C740,'BG 2020'!D:D),0)</f>
        <v>0</v>
      </c>
      <c r="L740" s="40"/>
      <c r="M740" s="68">
        <f>IF(F740="I",SUMIF('BG 2020'!B:B,Clasificaciones!C740,'BG 2020'!E:E),0)</f>
        <v>0</v>
      </c>
    </row>
    <row r="741" spans="1:13" s="166" customFormat="1" ht="12" customHeight="1">
      <c r="A741" s="163" t="s">
        <v>232</v>
      </c>
      <c r="B741" s="163"/>
      <c r="C741" s="164">
        <v>51103012025</v>
      </c>
      <c r="D741" s="164" t="s">
        <v>1178</v>
      </c>
      <c r="E741" s="165" t="s">
        <v>6</v>
      </c>
      <c r="F741" s="165" t="s">
        <v>344</v>
      </c>
      <c r="G741" s="47">
        <f>IF(F741="I",IFERROR(VLOOKUP(C741,'BG 2021'!A:C,3,FALSE),0),0)</f>
        <v>0</v>
      </c>
      <c r="H741" s="163"/>
      <c r="I741" s="68">
        <f>IF(F741="I",IFERROR(VLOOKUP(C741,'BG 2021'!A:D,4,FALSE),0),0)</f>
        <v>0</v>
      </c>
      <c r="J741" s="40"/>
      <c r="K741" s="47">
        <f>IF(F741="I",SUMIF('BG 2020'!B:B,Clasificaciones!C741,'BG 2020'!D:D),0)</f>
        <v>0</v>
      </c>
      <c r="L741" s="40"/>
      <c r="M741" s="68">
        <f>IF(F741="I",SUMIF('BG 2020'!B:B,Clasificaciones!C741,'BG 2020'!E:E),0)</f>
        <v>0</v>
      </c>
    </row>
    <row r="742" spans="1:13" s="166" customFormat="1" ht="12" customHeight="1">
      <c r="A742" s="163" t="s">
        <v>232</v>
      </c>
      <c r="B742" s="163"/>
      <c r="C742" s="164">
        <v>51103012026</v>
      </c>
      <c r="D742" s="164" t="s">
        <v>1179</v>
      </c>
      <c r="E742" s="165" t="s">
        <v>229</v>
      </c>
      <c r="F742" s="165" t="s">
        <v>344</v>
      </c>
      <c r="G742" s="47">
        <f>IF(F742="I",IFERROR(VLOOKUP(C742,'BG 2021'!A:C,3,FALSE),0),0)</f>
        <v>0</v>
      </c>
      <c r="H742" s="163"/>
      <c r="I742" s="68">
        <f>IF(F742="I",IFERROR(VLOOKUP(C742,'BG 2021'!A:D,4,FALSE),0),0)</f>
        <v>0</v>
      </c>
      <c r="J742" s="40"/>
      <c r="K742" s="47">
        <f>IF(F742="I",SUMIF('BG 2020'!B:B,Clasificaciones!C742,'BG 2020'!D:D),0)</f>
        <v>0</v>
      </c>
      <c r="L742" s="40"/>
      <c r="M742" s="68">
        <f>IF(F742="I",SUMIF('BG 2020'!B:B,Clasificaciones!C742,'BG 2020'!E:E),0)</f>
        <v>0</v>
      </c>
    </row>
    <row r="743" spans="1:13" s="166" customFormat="1" ht="12" customHeight="1">
      <c r="A743" s="163" t="s">
        <v>232</v>
      </c>
      <c r="B743" s="163"/>
      <c r="C743" s="164">
        <v>51103012027</v>
      </c>
      <c r="D743" s="164" t="s">
        <v>1180</v>
      </c>
      <c r="E743" s="165" t="s">
        <v>6</v>
      </c>
      <c r="F743" s="165" t="s">
        <v>344</v>
      </c>
      <c r="G743" s="47">
        <f>IF(F743="I",IFERROR(VLOOKUP(C743,'BG 2021'!A:C,3,FALSE),0),0)</f>
        <v>0</v>
      </c>
      <c r="H743" s="163"/>
      <c r="I743" s="68">
        <f>IF(F743="I",IFERROR(VLOOKUP(C743,'BG 2021'!A:D,4,FALSE),0),0)</f>
        <v>0</v>
      </c>
      <c r="J743" s="40"/>
      <c r="K743" s="47">
        <f>IF(F743="I",SUMIF('BG 2020'!B:B,Clasificaciones!C743,'BG 2020'!D:D),0)</f>
        <v>0</v>
      </c>
      <c r="L743" s="40"/>
      <c r="M743" s="68">
        <f>IF(F743="I",SUMIF('BG 2020'!B:B,Clasificaciones!C743,'BG 2020'!E:E),0)</f>
        <v>0</v>
      </c>
    </row>
    <row r="744" spans="1:13" s="166" customFormat="1" ht="12" customHeight="1">
      <c r="A744" s="163" t="s">
        <v>232</v>
      </c>
      <c r="B744" s="163"/>
      <c r="C744" s="164">
        <v>51103012028</v>
      </c>
      <c r="D744" s="164" t="s">
        <v>1181</v>
      </c>
      <c r="E744" s="165" t="s">
        <v>229</v>
      </c>
      <c r="F744" s="165" t="s">
        <v>344</v>
      </c>
      <c r="G744" s="47">
        <f>IF(F744="I",IFERROR(VLOOKUP(C744,'BG 2021'!A:C,3,FALSE),0),0)</f>
        <v>0</v>
      </c>
      <c r="H744" s="163"/>
      <c r="I744" s="68">
        <f>IF(F744="I",IFERROR(VLOOKUP(C744,'BG 2021'!A:D,4,FALSE),0),0)</f>
        <v>0</v>
      </c>
      <c r="J744" s="40"/>
      <c r="K744" s="47">
        <f>IF(F744="I",SUMIF('BG 2020'!B:B,Clasificaciones!C744,'BG 2020'!D:D),0)</f>
        <v>0</v>
      </c>
      <c r="L744" s="40"/>
      <c r="M744" s="68">
        <f>IF(F744="I",SUMIF('BG 2020'!B:B,Clasificaciones!C744,'BG 2020'!E:E),0)</f>
        <v>0</v>
      </c>
    </row>
    <row r="745" spans="1:13" s="166" customFormat="1" ht="12" customHeight="1">
      <c r="A745" s="163" t="s">
        <v>232</v>
      </c>
      <c r="B745" s="163" t="s">
        <v>729</v>
      </c>
      <c r="C745" s="164">
        <v>51103012029</v>
      </c>
      <c r="D745" s="164" t="s">
        <v>768</v>
      </c>
      <c r="E745" s="165" t="s">
        <v>6</v>
      </c>
      <c r="F745" s="165" t="s">
        <v>344</v>
      </c>
      <c r="G745" s="47">
        <f>IF(F745="I",IFERROR(VLOOKUP(C745,'BG 2021'!A:C,3,FALSE),0),0)</f>
        <v>664723895</v>
      </c>
      <c r="H745" s="163" t="s">
        <v>729</v>
      </c>
      <c r="I745" s="68">
        <f>IF(F745="I",IFERROR(VLOOKUP(C745,'BG 2021'!A:D,4,FALSE),0),0)</f>
        <v>96067.6</v>
      </c>
      <c r="J745" s="40"/>
      <c r="K745" s="47">
        <f>IF(F745="I",SUMIF('BG 2020'!B:B,Clasificaciones!C745,'BG 2020'!D:D),0)</f>
        <v>0</v>
      </c>
      <c r="L745" s="40"/>
      <c r="M745" s="68">
        <f>IF(F745="I",SUMIF('BG 2020'!B:B,Clasificaciones!C745,'BG 2020'!E:E),0)</f>
        <v>0</v>
      </c>
    </row>
    <row r="746" spans="1:13" s="166" customFormat="1" ht="12" customHeight="1">
      <c r="A746" s="163" t="s">
        <v>232</v>
      </c>
      <c r="B746" s="163" t="s">
        <v>729</v>
      </c>
      <c r="C746" s="164">
        <v>51103012030</v>
      </c>
      <c r="D746" s="164" t="s">
        <v>1000</v>
      </c>
      <c r="E746" s="165" t="s">
        <v>229</v>
      </c>
      <c r="F746" s="165" t="s">
        <v>344</v>
      </c>
      <c r="G746" s="47">
        <f>IF(F746="I",IFERROR(VLOOKUP(C746,'BG 2021'!A:C,3,FALSE),0),0)</f>
        <v>0</v>
      </c>
      <c r="H746" s="163" t="s">
        <v>729</v>
      </c>
      <c r="I746" s="68">
        <f>IF(F746="I",IFERROR(VLOOKUP(C746,'BG 2021'!A:D,4,FALSE),0),0)</f>
        <v>0</v>
      </c>
      <c r="J746" s="40"/>
      <c r="K746" s="47">
        <f>IF(F746="I",SUMIF('BG 2020'!B:B,Clasificaciones!C746,'BG 2020'!D:D),0)</f>
        <v>160050000</v>
      </c>
      <c r="L746" s="40"/>
      <c r="M746" s="68">
        <f>IF(F746="I",SUMIF('BG 2020'!B:B,Clasificaciones!C746,'BG 2020'!E:E),0)</f>
        <v>22785.84</v>
      </c>
    </row>
    <row r="747" spans="1:13" s="166" customFormat="1" ht="12" customHeight="1">
      <c r="A747" s="163" t="s">
        <v>232</v>
      </c>
      <c r="B747" s="163"/>
      <c r="C747" s="164">
        <v>51103012031</v>
      </c>
      <c r="D747" s="164" t="s">
        <v>1058</v>
      </c>
      <c r="E747" s="165" t="s">
        <v>6</v>
      </c>
      <c r="F747" s="165" t="s">
        <v>344</v>
      </c>
      <c r="G747" s="47">
        <f>IF(F747="I",IFERROR(VLOOKUP(C747,'BG 2021'!A:C,3,FALSE),0),0)</f>
        <v>0</v>
      </c>
      <c r="H747" s="163"/>
      <c r="I747" s="68">
        <f>IF(F747="I",IFERROR(VLOOKUP(C747,'BG 2021'!A:D,4,FALSE),0),0)</f>
        <v>0</v>
      </c>
      <c r="J747" s="40"/>
      <c r="K747" s="47">
        <f>IF(F747="I",SUMIF('BG 2020'!B:B,Clasificaciones!C747,'BG 2020'!D:D),0)</f>
        <v>0</v>
      </c>
      <c r="L747" s="40"/>
      <c r="M747" s="68">
        <f>IF(F747="I",SUMIF('BG 2020'!B:B,Clasificaciones!C747,'BG 2020'!E:E),0)</f>
        <v>0</v>
      </c>
    </row>
    <row r="748" spans="1:13" s="166" customFormat="1" ht="12" customHeight="1">
      <c r="A748" s="163" t="s">
        <v>232</v>
      </c>
      <c r="B748" s="163" t="s">
        <v>729</v>
      </c>
      <c r="C748" s="164">
        <v>51103012032</v>
      </c>
      <c r="D748" s="164" t="s">
        <v>904</v>
      </c>
      <c r="E748" s="165" t="s">
        <v>6</v>
      </c>
      <c r="F748" s="165" t="s">
        <v>344</v>
      </c>
      <c r="G748" s="47">
        <f>IF(F748="I",IFERROR(VLOOKUP(C748,'BG 2021'!A:C,3,FALSE),0),0)</f>
        <v>168257336</v>
      </c>
      <c r="H748" s="163" t="s">
        <v>729</v>
      </c>
      <c r="I748" s="68">
        <f>IF(F748="I",IFERROR(VLOOKUP(C748,'BG 2021'!A:D,4,FALSE),0),0)</f>
        <v>24518.33</v>
      </c>
      <c r="J748" s="40"/>
      <c r="K748" s="47">
        <f>IF(F748="I",SUMIF('BG 2020'!B:B,Clasificaciones!C748,'BG 2020'!D:D),0)</f>
        <v>0</v>
      </c>
      <c r="L748" s="40"/>
      <c r="M748" s="68">
        <f>IF(F748="I",SUMIF('BG 2020'!B:B,Clasificaciones!C748,'BG 2020'!E:E),0)</f>
        <v>0</v>
      </c>
    </row>
    <row r="749" spans="1:13" s="166" customFormat="1" ht="12" customHeight="1">
      <c r="A749" s="163" t="s">
        <v>232</v>
      </c>
      <c r="B749" s="163"/>
      <c r="C749" s="164">
        <v>51103012033</v>
      </c>
      <c r="D749" s="164" t="s">
        <v>1185</v>
      </c>
      <c r="E749" s="165" t="s">
        <v>229</v>
      </c>
      <c r="F749" s="165" t="s">
        <v>344</v>
      </c>
      <c r="G749" s="47">
        <f>IF(F749="I",IFERROR(VLOOKUP(C749,'BG 2021'!A:C,3,FALSE),0),0)</f>
        <v>0</v>
      </c>
      <c r="H749" s="163"/>
      <c r="I749" s="68">
        <f>IF(F749="I",IFERROR(VLOOKUP(C749,'BG 2021'!A:D,4,FALSE),0),0)</f>
        <v>0</v>
      </c>
      <c r="J749" s="40"/>
      <c r="K749" s="47">
        <f>IF(F749="I",SUMIF('BG 2020'!B:B,Clasificaciones!C749,'BG 2020'!D:D),0)</f>
        <v>0</v>
      </c>
      <c r="L749" s="40"/>
      <c r="M749" s="68">
        <f>IF(F749="I",SUMIF('BG 2020'!B:B,Clasificaciones!C749,'BG 2020'!E:E),0)</f>
        <v>0</v>
      </c>
    </row>
    <row r="750" spans="1:13" s="166" customFormat="1" ht="12" customHeight="1">
      <c r="A750" s="163" t="s">
        <v>232</v>
      </c>
      <c r="B750" s="163"/>
      <c r="C750" s="164">
        <v>511030130</v>
      </c>
      <c r="D750" s="164" t="s">
        <v>1328</v>
      </c>
      <c r="E750" s="165" t="s">
        <v>6</v>
      </c>
      <c r="F750" s="165" t="s">
        <v>343</v>
      </c>
      <c r="G750" s="47">
        <f>IF(F750="I",IFERROR(VLOOKUP(C750,'BG 2021'!A:C,3,FALSE),0),0)</f>
        <v>0</v>
      </c>
      <c r="H750" s="163"/>
      <c r="I750" s="68">
        <f>IF(F750="I",IFERROR(VLOOKUP(C750,'BG 2021'!A:D,4,FALSE),0),0)</f>
        <v>0</v>
      </c>
      <c r="J750" s="40"/>
      <c r="K750" s="47">
        <f>IF(F750="I",SUMIF('BG 2020'!B:B,Clasificaciones!C750,'BG 2020'!D:D),0)</f>
        <v>0</v>
      </c>
      <c r="L750" s="40"/>
      <c r="M750" s="68">
        <f>IF(F750="I",SUMIF('BG 2020'!B:B,Clasificaciones!C750,'BG 2020'!E:E),0)</f>
        <v>0</v>
      </c>
    </row>
    <row r="751" spans="1:13" s="166" customFormat="1" ht="12" customHeight="1">
      <c r="A751" s="163" t="s">
        <v>232</v>
      </c>
      <c r="B751" s="163" t="s">
        <v>729</v>
      </c>
      <c r="C751" s="164">
        <v>51103013001</v>
      </c>
      <c r="D751" s="164" t="s">
        <v>1329</v>
      </c>
      <c r="E751" s="165" t="s">
        <v>6</v>
      </c>
      <c r="F751" s="165" t="s">
        <v>344</v>
      </c>
      <c r="G751" s="47">
        <f>IF(F751="I",IFERROR(VLOOKUP(C751,'BG 2021'!A:C,3,FALSE),0),0)</f>
        <v>0</v>
      </c>
      <c r="H751" s="163" t="s">
        <v>729</v>
      </c>
      <c r="I751" s="68">
        <f>IF(F751="I",IFERROR(VLOOKUP(C751,'BG 2021'!A:D,4,FALSE),0),0)</f>
        <v>0</v>
      </c>
      <c r="J751" s="40"/>
      <c r="K751" s="47">
        <f>IF(F751="I",SUMIF('BG 2020'!B:B,Clasificaciones!C751,'BG 2020'!D:D),0)</f>
        <v>0</v>
      </c>
      <c r="L751" s="40"/>
      <c r="M751" s="68">
        <f>IF(F751="I",SUMIF('BG 2020'!B:B,Clasificaciones!C751,'BG 2020'!E:E),0)</f>
        <v>0</v>
      </c>
    </row>
    <row r="752" spans="1:13" s="166" customFormat="1" ht="12" customHeight="1">
      <c r="A752" s="163" t="s">
        <v>232</v>
      </c>
      <c r="B752" s="163" t="s">
        <v>729</v>
      </c>
      <c r="C752" s="164">
        <v>51104</v>
      </c>
      <c r="D752" s="164" t="s">
        <v>925</v>
      </c>
      <c r="E752" s="165" t="s">
        <v>6</v>
      </c>
      <c r="F752" s="165" t="s">
        <v>344</v>
      </c>
      <c r="G752" s="47">
        <f>IF(F752="I",IFERROR(VLOOKUP(C752,'BG 2021'!A:C,3,FALSE),0),0)</f>
        <v>3409841</v>
      </c>
      <c r="H752" s="163" t="s">
        <v>729</v>
      </c>
      <c r="I752" s="68">
        <f>IF(F752="I",IFERROR(VLOOKUP(C752,'BG 2021'!A:D,4,FALSE),0),0)</f>
        <v>516.46</v>
      </c>
      <c r="J752" s="40"/>
      <c r="K752" s="47">
        <f>IF(F752="I",SUMIF('BG 2020'!B:B,Clasificaciones!C752,'BG 2020'!D:D),0)</f>
        <v>0</v>
      </c>
      <c r="L752" s="40"/>
      <c r="M752" s="68">
        <f>IF(F752="I",SUMIF('BG 2020'!B:B,Clasificaciones!C752,'BG 2020'!E:E),0)</f>
        <v>0</v>
      </c>
    </row>
    <row r="753" spans="1:13" s="166" customFormat="1" ht="12" customHeight="1">
      <c r="A753" s="163" t="s">
        <v>232</v>
      </c>
      <c r="B753" s="163"/>
      <c r="C753" s="164">
        <v>512</v>
      </c>
      <c r="D753" s="164" t="s">
        <v>294</v>
      </c>
      <c r="E753" s="165" t="s">
        <v>6</v>
      </c>
      <c r="F753" s="165" t="s">
        <v>343</v>
      </c>
      <c r="G753" s="47">
        <f>IF(F753="I",IFERROR(VLOOKUP(C753,'BG 2021'!A:C,3,FALSE),0),0)</f>
        <v>0</v>
      </c>
      <c r="H753" s="163"/>
      <c r="I753" s="68">
        <f>IF(F753="I",IFERROR(VLOOKUP(C753,'BG 2021'!A:D,4,FALSE),0),0)</f>
        <v>0</v>
      </c>
      <c r="J753" s="40"/>
      <c r="K753" s="47">
        <f>IF(F753="I",SUMIF('BG 2020'!B:B,Clasificaciones!C753,'BG 2020'!D:D),0)</f>
        <v>0</v>
      </c>
      <c r="L753" s="40"/>
      <c r="M753" s="68">
        <f>IF(F753="I",SUMIF('BG 2020'!B:B,Clasificaciones!C753,'BG 2020'!E:E),0)</f>
        <v>0</v>
      </c>
    </row>
    <row r="754" spans="1:13" s="166" customFormat="1" ht="12" customHeight="1">
      <c r="A754" s="163" t="s">
        <v>232</v>
      </c>
      <c r="B754" s="163" t="s">
        <v>43</v>
      </c>
      <c r="C754" s="164">
        <v>51201</v>
      </c>
      <c r="D754" s="164" t="s">
        <v>926</v>
      </c>
      <c r="E754" s="165" t="s">
        <v>6</v>
      </c>
      <c r="F754" s="165" t="s">
        <v>344</v>
      </c>
      <c r="G754" s="47">
        <f>IF(F754="I",IFERROR(VLOOKUP(C754,'BG 2021'!A:C,3,FALSE),0),0)</f>
        <v>159343543</v>
      </c>
      <c r="H754" s="163" t="s">
        <v>43</v>
      </c>
      <c r="I754" s="68">
        <f>IF(F754="I",IFERROR(VLOOKUP(C754,'BG 2021'!A:D,4,FALSE),0),0)</f>
        <v>23850.829999999998</v>
      </c>
      <c r="J754" s="40"/>
      <c r="K754" s="47">
        <f>IF(F754="I",SUMIF('BG 2020'!B:B,Clasificaciones!C754,'BG 2020'!D:D),0)</f>
        <v>184892822</v>
      </c>
      <c r="L754" s="40"/>
      <c r="M754" s="68">
        <f>IF(F754="I",SUMIF('BG 2020'!B:B,Clasificaciones!C754,'BG 2020'!E:E),0)</f>
        <v>27613.33</v>
      </c>
    </row>
    <row r="755" spans="1:13" s="166" customFormat="1" ht="12" customHeight="1">
      <c r="A755" s="163" t="s">
        <v>232</v>
      </c>
      <c r="B755" s="163"/>
      <c r="C755" s="164">
        <v>51202</v>
      </c>
      <c r="D755" s="164" t="s">
        <v>1204</v>
      </c>
      <c r="E755" s="165" t="s">
        <v>6</v>
      </c>
      <c r="F755" s="165" t="s">
        <v>344</v>
      </c>
      <c r="G755" s="47">
        <f>IF(F755="I",IFERROR(VLOOKUP(C755,'BG 2021'!A:C,3,FALSE),0),0)</f>
        <v>0</v>
      </c>
      <c r="H755" s="163"/>
      <c r="I755" s="68">
        <f>IF(F755="I",IFERROR(VLOOKUP(C755,'BG 2021'!A:D,4,FALSE),0),0)</f>
        <v>0</v>
      </c>
      <c r="J755" s="40"/>
      <c r="K755" s="47">
        <f>IF(F755="I",SUMIF('BG 2020'!B:B,Clasificaciones!C755,'BG 2020'!D:D),0)</f>
        <v>0</v>
      </c>
      <c r="L755" s="40"/>
      <c r="M755" s="68">
        <f>IF(F755="I",SUMIF('BG 2020'!B:B,Clasificaciones!C755,'BG 2020'!E:E),0)</f>
        <v>0</v>
      </c>
    </row>
    <row r="756" spans="1:13" s="166" customFormat="1" ht="12" customHeight="1">
      <c r="A756" s="163" t="s">
        <v>232</v>
      </c>
      <c r="B756" s="163" t="s">
        <v>44</v>
      </c>
      <c r="C756" s="164">
        <v>51203</v>
      </c>
      <c r="D756" s="164" t="s">
        <v>209</v>
      </c>
      <c r="E756" s="165" t="s">
        <v>6</v>
      </c>
      <c r="F756" s="165" t="s">
        <v>344</v>
      </c>
      <c r="G756" s="47">
        <f>IF(F756="I",IFERROR(VLOOKUP(C756,'BG 2021'!A:C,3,FALSE),0),0)</f>
        <v>14367957</v>
      </c>
      <c r="H756" s="163" t="s">
        <v>44</v>
      </c>
      <c r="I756" s="68">
        <f>IF(F756="I",IFERROR(VLOOKUP(C756,'BG 2021'!A:D,4,FALSE),0),0)</f>
        <v>2097.36</v>
      </c>
      <c r="J756" s="40"/>
      <c r="K756" s="47">
        <f>IF(F756="I",SUMIF('BG 2020'!B:B,Clasificaciones!C756,'BG 2020'!D:D),0)</f>
        <v>16217832</v>
      </c>
      <c r="L756" s="40"/>
      <c r="M756" s="68">
        <f>IF(F756="I",SUMIF('BG 2020'!B:B,Clasificaciones!C756,'BG 2020'!E:E),0)</f>
        <v>2436.33</v>
      </c>
    </row>
    <row r="757" spans="1:13" s="166" customFormat="1" ht="12" customHeight="1">
      <c r="A757" s="163" t="s">
        <v>232</v>
      </c>
      <c r="B757" s="163" t="s">
        <v>44</v>
      </c>
      <c r="C757" s="164">
        <v>51204</v>
      </c>
      <c r="D757" s="164" t="s">
        <v>927</v>
      </c>
      <c r="E757" s="165" t="s">
        <v>6</v>
      </c>
      <c r="F757" s="165" t="s">
        <v>344</v>
      </c>
      <c r="G757" s="47">
        <f>IF(F757="I",IFERROR(VLOOKUP(C757,'BG 2021'!A:C,3,FALSE),0),0)</f>
        <v>9420248</v>
      </c>
      <c r="H757" s="163" t="s">
        <v>44</v>
      </c>
      <c r="I757" s="68">
        <f>IF(F757="I",IFERROR(VLOOKUP(C757,'BG 2021'!A:D,4,FALSE),0),0)</f>
        <v>1568.2700000000002</v>
      </c>
      <c r="J757" s="40"/>
      <c r="K757" s="47">
        <f>IF(F757="I",SUMIF('BG 2020'!B:B,Clasificaciones!C757,'BG 2020'!D:D),0)</f>
        <v>6170137</v>
      </c>
      <c r="L757" s="40"/>
      <c r="M757" s="68">
        <f>IF(F757="I",SUMIF('BG 2020'!B:B,Clasificaciones!C757,'BG 2020'!E:E),0)</f>
        <v>893.12</v>
      </c>
    </row>
    <row r="758" spans="1:13" s="166" customFormat="1" ht="12" customHeight="1">
      <c r="A758" s="163" t="s">
        <v>232</v>
      </c>
      <c r="B758" s="163"/>
      <c r="C758" s="164">
        <v>51205</v>
      </c>
      <c r="D758" s="164" t="s">
        <v>1205</v>
      </c>
      <c r="E758" s="165" t="s">
        <v>6</v>
      </c>
      <c r="F758" s="165" t="s">
        <v>344</v>
      </c>
      <c r="G758" s="47">
        <f>IF(F758="I",IFERROR(VLOOKUP(C758,'BG 2021'!A:C,3,FALSE),0),0)</f>
        <v>0</v>
      </c>
      <c r="H758" s="163"/>
      <c r="I758" s="68">
        <f>IF(F758="I",IFERROR(VLOOKUP(C758,'BG 2021'!A:D,4,FALSE),0),0)</f>
        <v>0</v>
      </c>
      <c r="J758" s="40"/>
      <c r="K758" s="47">
        <f>IF(F758="I",SUMIF('BG 2020'!B:B,Clasificaciones!C758,'BG 2020'!D:D),0)</f>
        <v>0</v>
      </c>
      <c r="L758" s="40"/>
      <c r="M758" s="68">
        <f>IF(F758="I",SUMIF('BG 2020'!B:B,Clasificaciones!C758,'BG 2020'!E:E),0)</f>
        <v>0</v>
      </c>
    </row>
    <row r="759" spans="1:13" s="166" customFormat="1" ht="12" customHeight="1">
      <c r="A759" s="163" t="s">
        <v>232</v>
      </c>
      <c r="B759" s="163" t="s">
        <v>44</v>
      </c>
      <c r="C759" s="164">
        <v>51206</v>
      </c>
      <c r="D759" s="164" t="s">
        <v>297</v>
      </c>
      <c r="E759" s="165" t="s">
        <v>6</v>
      </c>
      <c r="F759" s="165" t="s">
        <v>344</v>
      </c>
      <c r="G759" s="47">
        <f>IF(F759="I",IFERROR(VLOOKUP(C759,'BG 2021'!A:C,3,FALSE),0),0)</f>
        <v>20000000</v>
      </c>
      <c r="H759" s="163" t="s">
        <v>44</v>
      </c>
      <c r="I759" s="68">
        <f>IF(F759="I",IFERROR(VLOOKUP(C759,'BG 2021'!A:D,4,FALSE),0),0)</f>
        <v>2886.51</v>
      </c>
      <c r="J759" s="40"/>
      <c r="K759" s="47">
        <f>IF(F759="I",SUMIF('BG 2020'!B:B,Clasificaciones!C759,'BG 2020'!D:D),0)</f>
        <v>175000000</v>
      </c>
      <c r="L759" s="40"/>
      <c r="M759" s="68">
        <f>IF(F759="I",SUMIF('BG 2020'!B:B,Clasificaciones!C759,'BG 2020'!E:E),0)</f>
        <v>25765.759999999998</v>
      </c>
    </row>
    <row r="760" spans="1:13" s="166" customFormat="1" ht="12" customHeight="1">
      <c r="A760" s="163" t="s">
        <v>232</v>
      </c>
      <c r="B760" s="163" t="s">
        <v>44</v>
      </c>
      <c r="C760" s="164">
        <v>51207</v>
      </c>
      <c r="D760" s="164" t="s">
        <v>397</v>
      </c>
      <c r="E760" s="165" t="s">
        <v>6</v>
      </c>
      <c r="F760" s="165" t="s">
        <v>344</v>
      </c>
      <c r="G760" s="47">
        <f>IF(F760="I",IFERROR(VLOOKUP(C760,'BG 2021'!A:C,3,FALSE),0),0)</f>
        <v>0</v>
      </c>
      <c r="H760" s="163" t="s">
        <v>44</v>
      </c>
      <c r="I760" s="68">
        <f>IF(F760="I",IFERROR(VLOOKUP(C760,'BG 2021'!A:D,4,FALSE),0),0)</f>
        <v>0</v>
      </c>
      <c r="J760" s="40"/>
      <c r="K760" s="47">
        <f>IF(F760="I",SUMIF('BG 2020'!B:B,Clasificaciones!C760,'BG 2020'!D:D),0)</f>
        <v>184948448</v>
      </c>
      <c r="L760" s="40"/>
      <c r="M760" s="68">
        <f>IF(F760="I",SUMIF('BG 2020'!B:B,Clasificaciones!C760,'BG 2020'!E:E),0)</f>
        <v>27211.59</v>
      </c>
    </row>
    <row r="761" spans="1:13" s="166" customFormat="1" ht="12" customHeight="1">
      <c r="A761" s="163" t="s">
        <v>232</v>
      </c>
      <c r="B761" s="163"/>
      <c r="C761" s="164">
        <v>51210</v>
      </c>
      <c r="D761" s="164" t="s">
        <v>1206</v>
      </c>
      <c r="E761" s="165" t="s">
        <v>6</v>
      </c>
      <c r="F761" s="165" t="s">
        <v>344</v>
      </c>
      <c r="G761" s="47">
        <f>IF(F761="I",IFERROR(VLOOKUP(C761,'BG 2021'!A:C,3,FALSE),0),0)</f>
        <v>0</v>
      </c>
      <c r="H761" s="163"/>
      <c r="I761" s="68">
        <f>IF(F761="I",IFERROR(VLOOKUP(C761,'BG 2021'!A:D,4,FALSE),0),0)</f>
        <v>0</v>
      </c>
      <c r="J761" s="40"/>
      <c r="K761" s="47">
        <f>IF(F761="I",SUMIF('BG 2020'!B:B,Clasificaciones!C761,'BG 2020'!D:D),0)</f>
        <v>0</v>
      </c>
      <c r="L761" s="40"/>
      <c r="M761" s="68">
        <f>IF(F761="I",SUMIF('BG 2020'!B:B,Clasificaciones!C761,'BG 2020'!E:E),0)</f>
        <v>0</v>
      </c>
    </row>
    <row r="762" spans="1:13" s="166" customFormat="1" ht="12" customHeight="1">
      <c r="A762" s="163" t="s">
        <v>232</v>
      </c>
      <c r="B762" s="163"/>
      <c r="C762" s="164">
        <v>513</v>
      </c>
      <c r="D762" s="164" t="s">
        <v>15</v>
      </c>
      <c r="E762" s="165" t="s">
        <v>6</v>
      </c>
      <c r="F762" s="165" t="s">
        <v>343</v>
      </c>
      <c r="G762" s="47">
        <f>IF(F762="I",IFERROR(VLOOKUP(C762,'BG 2021'!A:C,3,FALSE),0),0)</f>
        <v>0</v>
      </c>
      <c r="H762" s="163"/>
      <c r="I762" s="68">
        <f>IF(F762="I",IFERROR(VLOOKUP(C762,'BG 2021'!A:D,4,FALSE),0),0)</f>
        <v>0</v>
      </c>
      <c r="J762" s="40"/>
      <c r="K762" s="47">
        <f>IF(F762="I",SUMIF('BG 2020'!B:B,Clasificaciones!C762,'BG 2020'!D:D),0)</f>
        <v>0</v>
      </c>
      <c r="L762" s="40"/>
      <c r="M762" s="68">
        <f>IF(F762="I",SUMIF('BG 2020'!B:B,Clasificaciones!C762,'BG 2020'!E:E),0)</f>
        <v>0</v>
      </c>
    </row>
    <row r="763" spans="1:13" s="166" customFormat="1" ht="12" customHeight="1">
      <c r="A763" s="163" t="s">
        <v>232</v>
      </c>
      <c r="B763" s="163"/>
      <c r="C763" s="164">
        <v>51301</v>
      </c>
      <c r="D763" s="164" t="s">
        <v>298</v>
      </c>
      <c r="E763" s="165" t="s">
        <v>6</v>
      </c>
      <c r="F763" s="165" t="s">
        <v>343</v>
      </c>
      <c r="G763" s="47">
        <f>IF(F763="I",IFERROR(VLOOKUP(C763,'BG 2021'!A:C,3,FALSE),0),0)</f>
        <v>0</v>
      </c>
      <c r="H763" s="163"/>
      <c r="I763" s="68">
        <f>IF(F763="I",IFERROR(VLOOKUP(C763,'BG 2021'!A:D,4,FALSE),0),0)</f>
        <v>0</v>
      </c>
      <c r="J763" s="40"/>
      <c r="K763" s="47">
        <f>IF(F763="I",SUMIF('BG 2020'!B:B,Clasificaciones!C763,'BG 2020'!D:D),0)</f>
        <v>0</v>
      </c>
      <c r="L763" s="40"/>
      <c r="M763" s="68">
        <f>IF(F763="I",SUMIF('BG 2020'!B:B,Clasificaciones!C763,'BG 2020'!E:E),0)</f>
        <v>0</v>
      </c>
    </row>
    <row r="764" spans="1:13" s="166" customFormat="1" ht="12" customHeight="1">
      <c r="A764" s="163" t="s">
        <v>232</v>
      </c>
      <c r="B764" s="163" t="s">
        <v>121</v>
      </c>
      <c r="C764" s="164">
        <v>5130101</v>
      </c>
      <c r="D764" s="164" t="s">
        <v>199</v>
      </c>
      <c r="E764" s="165" t="s">
        <v>6</v>
      </c>
      <c r="F764" s="165" t="s">
        <v>344</v>
      </c>
      <c r="G764" s="47">
        <f>IF(F764="I",IFERROR(VLOOKUP(C764,'BG 2021'!A:C,3,FALSE),0),0)</f>
        <v>2385209049</v>
      </c>
      <c r="H764" s="163" t="s">
        <v>121</v>
      </c>
      <c r="I764" s="68">
        <f>IF(F764="I",IFERROR(VLOOKUP(C764,'BG 2021'!A:D,4,FALSE),0),0)</f>
        <v>352346.98</v>
      </c>
      <c r="J764" s="40"/>
      <c r="K764" s="47">
        <f>IF(F764="I",SUMIF('BG 2020'!B:B,Clasificaciones!C764,'BG 2020'!D:D),0)</f>
        <v>1274843333</v>
      </c>
      <c r="L764" s="40"/>
      <c r="M764" s="68">
        <f>IF(F764="I",SUMIF('BG 2020'!B:B,Clasificaciones!C764,'BG 2020'!E:E),0)</f>
        <v>187340.78</v>
      </c>
    </row>
    <row r="765" spans="1:13" s="166" customFormat="1" ht="12" customHeight="1">
      <c r="A765" s="163" t="s">
        <v>232</v>
      </c>
      <c r="B765" s="163"/>
      <c r="C765" s="164">
        <v>5130102</v>
      </c>
      <c r="D765" s="164" t="s">
        <v>1207</v>
      </c>
      <c r="E765" s="165" t="s">
        <v>6</v>
      </c>
      <c r="F765" s="165" t="s">
        <v>344</v>
      </c>
      <c r="G765" s="47">
        <f>IF(F765="I",IFERROR(VLOOKUP(C765,'BG 2021'!A:C,3,FALSE),0),0)</f>
        <v>0</v>
      </c>
      <c r="H765" s="163"/>
      <c r="I765" s="68">
        <f>IF(F765="I",IFERROR(VLOOKUP(C765,'BG 2021'!A:D,4,FALSE),0),0)</f>
        <v>0</v>
      </c>
      <c r="J765" s="40"/>
      <c r="K765" s="47">
        <f>IF(F765="I",SUMIF('BG 2020'!B:B,Clasificaciones!C765,'BG 2020'!D:D),0)</f>
        <v>0</v>
      </c>
      <c r="L765" s="40"/>
      <c r="M765" s="68">
        <f>IF(F765="I",SUMIF('BG 2020'!B:B,Clasificaciones!C765,'BG 2020'!E:E),0)</f>
        <v>0</v>
      </c>
    </row>
    <row r="766" spans="1:13" s="166" customFormat="1" ht="12" customHeight="1">
      <c r="A766" s="163" t="s">
        <v>232</v>
      </c>
      <c r="B766" s="163"/>
      <c r="C766" s="164">
        <v>5130103</v>
      </c>
      <c r="D766" s="164" t="s">
        <v>1208</v>
      </c>
      <c r="E766" s="165" t="s">
        <v>6</v>
      </c>
      <c r="F766" s="165" t="s">
        <v>344</v>
      </c>
      <c r="G766" s="47">
        <f>IF(F766="I",IFERROR(VLOOKUP(C766,'BG 2021'!A:C,3,FALSE),0),0)</f>
        <v>0</v>
      </c>
      <c r="H766" s="163"/>
      <c r="I766" s="68">
        <f>IF(F766="I",IFERROR(VLOOKUP(C766,'BG 2021'!A:D,4,FALSE),0),0)</f>
        <v>0</v>
      </c>
      <c r="J766" s="40"/>
      <c r="K766" s="47">
        <f>IF(F766="I",SUMIF('BG 2020'!B:B,Clasificaciones!C766,'BG 2020'!D:D),0)</f>
        <v>0</v>
      </c>
      <c r="L766" s="40"/>
      <c r="M766" s="68">
        <f>IF(F766="I",SUMIF('BG 2020'!B:B,Clasificaciones!C766,'BG 2020'!E:E),0)</f>
        <v>0</v>
      </c>
    </row>
    <row r="767" spans="1:13" s="166" customFormat="1" ht="12" customHeight="1">
      <c r="A767" s="163" t="s">
        <v>232</v>
      </c>
      <c r="B767" s="163" t="s">
        <v>121</v>
      </c>
      <c r="C767" s="164">
        <v>5130104</v>
      </c>
      <c r="D767" s="164" t="s">
        <v>201</v>
      </c>
      <c r="E767" s="165" t="s">
        <v>6</v>
      </c>
      <c r="F767" s="165" t="s">
        <v>344</v>
      </c>
      <c r="G767" s="47">
        <f>IF(F767="I",IFERROR(VLOOKUP(C767,'BG 2021'!A:C,3,FALSE),0),0)</f>
        <v>219330055</v>
      </c>
      <c r="H767" s="163" t="s">
        <v>121</v>
      </c>
      <c r="I767" s="68">
        <f>IF(F767="I",IFERROR(VLOOKUP(C767,'BG 2021'!A:D,4,FALSE),0),0)</f>
        <v>32369.58</v>
      </c>
      <c r="J767" s="40"/>
      <c r="K767" s="47">
        <f>IF(F767="I",SUMIF('BG 2020'!B:B,Clasificaciones!C767,'BG 2020'!D:D),0)</f>
        <v>123197731</v>
      </c>
      <c r="L767" s="40"/>
      <c r="M767" s="68">
        <f>IF(F767="I",SUMIF('BG 2020'!B:B,Clasificaciones!C767,'BG 2020'!E:E),0)</f>
        <v>18111.96</v>
      </c>
    </row>
    <row r="768" spans="1:13" s="166" customFormat="1" ht="12" customHeight="1">
      <c r="A768" s="163" t="s">
        <v>232</v>
      </c>
      <c r="B768" s="163" t="s">
        <v>121</v>
      </c>
      <c r="C768" s="164">
        <v>5130105</v>
      </c>
      <c r="D768" s="164" t="s">
        <v>202</v>
      </c>
      <c r="E768" s="165" t="s">
        <v>6</v>
      </c>
      <c r="F768" s="165" t="s">
        <v>344</v>
      </c>
      <c r="G768" s="47">
        <f>IF(F768="I",IFERROR(VLOOKUP(C768,'BG 2021'!A:C,3,FALSE),0),0)</f>
        <v>162943333</v>
      </c>
      <c r="H768" s="163" t="s">
        <v>121</v>
      </c>
      <c r="I768" s="68">
        <f>IF(F768="I",IFERROR(VLOOKUP(C768,'BG 2021'!A:D,4,FALSE),0),0)</f>
        <v>23879.67</v>
      </c>
      <c r="J768" s="40"/>
      <c r="K768" s="47">
        <f>IF(F768="I",SUMIF('BG 2020'!B:B,Clasificaciones!C768,'BG 2020'!D:D),0)</f>
        <v>10393333</v>
      </c>
      <c r="L768" s="40"/>
      <c r="M768" s="68">
        <f>IF(F768="I",SUMIF('BG 2020'!B:B,Clasificaciones!C768,'BG 2020'!E:E),0)</f>
        <v>1588.38</v>
      </c>
    </row>
    <row r="769" spans="1:13" s="166" customFormat="1" ht="12" customHeight="1">
      <c r="A769" s="163" t="s">
        <v>232</v>
      </c>
      <c r="B769" s="163"/>
      <c r="C769" s="164">
        <v>5130106</v>
      </c>
      <c r="D769" s="164" t="s">
        <v>1209</v>
      </c>
      <c r="E769" s="165" t="s">
        <v>6</v>
      </c>
      <c r="F769" s="165" t="s">
        <v>344</v>
      </c>
      <c r="G769" s="47">
        <f>IF(F769="I",IFERROR(VLOOKUP(C769,'BG 2021'!A:C,3,FALSE),0),0)</f>
        <v>0</v>
      </c>
      <c r="H769" s="163"/>
      <c r="I769" s="68">
        <f>IF(F769="I",IFERROR(VLOOKUP(C769,'BG 2021'!A:D,4,FALSE),0),0)</f>
        <v>0</v>
      </c>
      <c r="J769" s="40"/>
      <c r="K769" s="47">
        <f>IF(F769="I",SUMIF('BG 2020'!B:B,Clasificaciones!C769,'BG 2020'!D:D),0)</f>
        <v>0</v>
      </c>
      <c r="L769" s="40"/>
      <c r="M769" s="68">
        <f>IF(F769="I",SUMIF('BG 2020'!B:B,Clasificaciones!C769,'BG 2020'!E:E),0)</f>
        <v>0</v>
      </c>
    </row>
    <row r="770" spans="1:13" s="166" customFormat="1" ht="12" customHeight="1">
      <c r="A770" s="163" t="s">
        <v>232</v>
      </c>
      <c r="B770" s="163"/>
      <c r="C770" s="164">
        <v>51302</v>
      </c>
      <c r="D770" s="164" t="s">
        <v>928</v>
      </c>
      <c r="E770" s="165" t="s">
        <v>6</v>
      </c>
      <c r="F770" s="165" t="s">
        <v>343</v>
      </c>
      <c r="G770" s="47">
        <f>IF(F770="I",IFERROR(VLOOKUP(C770,'BG 2021'!A:C,3,FALSE),0),0)</f>
        <v>0</v>
      </c>
      <c r="H770" s="163"/>
      <c r="I770" s="68">
        <f>IF(F770="I",IFERROR(VLOOKUP(C770,'BG 2021'!A:D,4,FALSE),0),0)</f>
        <v>0</v>
      </c>
      <c r="J770" s="40"/>
      <c r="K770" s="47">
        <f>IF(F770="I",SUMIF('BG 2020'!B:B,Clasificaciones!C770,'BG 2020'!D:D),0)</f>
        <v>0</v>
      </c>
      <c r="L770" s="40"/>
      <c r="M770" s="68">
        <f>IF(F770="I",SUMIF('BG 2020'!B:B,Clasificaciones!C770,'BG 2020'!E:E),0)</f>
        <v>0</v>
      </c>
    </row>
    <row r="771" spans="1:13" s="166" customFormat="1" ht="12" customHeight="1">
      <c r="A771" s="163" t="s">
        <v>232</v>
      </c>
      <c r="B771" s="163" t="s">
        <v>730</v>
      </c>
      <c r="C771" s="164">
        <v>5130201</v>
      </c>
      <c r="D771" s="164" t="s">
        <v>929</v>
      </c>
      <c r="E771" s="165" t="s">
        <v>6</v>
      </c>
      <c r="F771" s="165" t="s">
        <v>344</v>
      </c>
      <c r="G771" s="47">
        <f>IF(F771="I",IFERROR(VLOOKUP(C771,'BG 2021'!A:C,3,FALSE),0),0)</f>
        <v>439114057</v>
      </c>
      <c r="H771" s="163" t="s">
        <v>730</v>
      </c>
      <c r="I771" s="68">
        <f>IF(F771="I",IFERROR(VLOOKUP(C771,'BG 2021'!A:D,4,FALSE),0),0)</f>
        <v>64868.56</v>
      </c>
      <c r="J771" s="40"/>
      <c r="K771" s="47">
        <f>IF(F771="I",SUMIF('BG 2020'!B:B,Clasificaciones!C771,'BG 2020'!D:D),0)</f>
        <v>243931510</v>
      </c>
      <c r="L771" s="40"/>
      <c r="M771" s="68">
        <f>IF(F771="I",SUMIF('BG 2020'!B:B,Clasificaciones!C771,'BG 2020'!E:E),0)</f>
        <v>35861.879999999997</v>
      </c>
    </row>
    <row r="772" spans="1:13" s="166" customFormat="1" ht="12" customHeight="1">
      <c r="A772" s="163" t="s">
        <v>232</v>
      </c>
      <c r="B772" s="163" t="s">
        <v>121</v>
      </c>
      <c r="C772" s="164">
        <v>5130202</v>
      </c>
      <c r="D772" s="164" t="s">
        <v>1210</v>
      </c>
      <c r="E772" s="165" t="s">
        <v>6</v>
      </c>
      <c r="F772" s="165" t="s">
        <v>344</v>
      </c>
      <c r="G772" s="47">
        <f>IF(F772="I",IFERROR(VLOOKUP(C772,'BG 2021'!A:C,3,FALSE),0),0)</f>
        <v>7500000</v>
      </c>
      <c r="H772" s="163" t="s">
        <v>121</v>
      </c>
      <c r="I772" s="68">
        <f>IF(F772="I",IFERROR(VLOOKUP(C772,'BG 2021'!A:D,4,FALSE),0),0)</f>
        <v>1085.21</v>
      </c>
      <c r="J772" s="40"/>
      <c r="K772" s="47">
        <f>IF(F772="I",SUMIF('BG 2020'!B:B,Clasificaciones!C772,'BG 2020'!D:D),0)</f>
        <v>0</v>
      </c>
      <c r="L772" s="40"/>
      <c r="M772" s="68">
        <f>IF(F772="I",SUMIF('BG 2020'!B:B,Clasificaciones!C772,'BG 2020'!E:E),0)</f>
        <v>0</v>
      </c>
    </row>
    <row r="773" spans="1:13" s="166" customFormat="1" ht="12" customHeight="1">
      <c r="A773" s="163" t="s">
        <v>232</v>
      </c>
      <c r="B773" s="163" t="s">
        <v>121</v>
      </c>
      <c r="C773" s="164">
        <v>5130203</v>
      </c>
      <c r="D773" s="164" t="s">
        <v>930</v>
      </c>
      <c r="E773" s="165" t="s">
        <v>6</v>
      </c>
      <c r="F773" s="165" t="s">
        <v>344</v>
      </c>
      <c r="G773" s="47">
        <f>IF(F773="I",IFERROR(VLOOKUP(C773,'BG 2021'!A:C,3,FALSE),0),0)</f>
        <v>919996500</v>
      </c>
      <c r="H773" s="163" t="s">
        <v>121</v>
      </c>
      <c r="I773" s="68">
        <f>IF(F773="I",IFERROR(VLOOKUP(C773,'BG 2021'!A:D,4,FALSE),0),0)</f>
        <v>135164.42000000001</v>
      </c>
      <c r="J773" s="40"/>
      <c r="K773" s="47">
        <f>IF(F773="I",SUMIF('BG 2020'!B:B,Clasificaciones!C773,'BG 2020'!D:D),0)</f>
        <v>285000000</v>
      </c>
      <c r="L773" s="40"/>
      <c r="M773" s="68">
        <f>IF(F773="I",SUMIF('BG 2020'!B:B,Clasificaciones!C773,'BG 2020'!E:E),0)</f>
        <v>41352.53</v>
      </c>
    </row>
    <row r="774" spans="1:13" s="166" customFormat="1" ht="12" customHeight="1">
      <c r="A774" s="163" t="s">
        <v>232</v>
      </c>
      <c r="B774" s="163" t="s">
        <v>730</v>
      </c>
      <c r="C774" s="164">
        <v>5130204</v>
      </c>
      <c r="D774" s="164" t="s">
        <v>631</v>
      </c>
      <c r="E774" s="165" t="s">
        <v>6</v>
      </c>
      <c r="F774" s="165" t="s">
        <v>344</v>
      </c>
      <c r="G774" s="47">
        <f>IF(F774="I",IFERROR(VLOOKUP(C774,'BG 2021'!A:C,3,FALSE),0),0)</f>
        <v>45357573</v>
      </c>
      <c r="H774" s="163" t="s">
        <v>730</v>
      </c>
      <c r="I774" s="68">
        <f>IF(F774="I",IFERROR(VLOOKUP(C774,'BG 2021'!A:D,4,FALSE),0),0)</f>
        <v>6685.89</v>
      </c>
      <c r="J774" s="40"/>
      <c r="K774" s="47">
        <f>IF(F774="I",SUMIF('BG 2020'!B:B,Clasificaciones!C774,'BG 2020'!D:D),0)</f>
        <v>56758411</v>
      </c>
      <c r="L774" s="40"/>
      <c r="M774" s="68">
        <f>IF(F774="I",SUMIF('BG 2020'!B:B,Clasificaciones!C774,'BG 2020'!E:E),0)</f>
        <v>8346.2199999999993</v>
      </c>
    </row>
    <row r="775" spans="1:13" s="166" customFormat="1" ht="12" customHeight="1">
      <c r="A775" s="163" t="s">
        <v>232</v>
      </c>
      <c r="B775" s="163" t="s">
        <v>730</v>
      </c>
      <c r="C775" s="164">
        <v>5130205</v>
      </c>
      <c r="D775" s="164" t="s">
        <v>1211</v>
      </c>
      <c r="E775" s="165" t="s">
        <v>6</v>
      </c>
      <c r="F775" s="165" t="s">
        <v>344</v>
      </c>
      <c r="G775" s="47">
        <f>IF(F775="I",IFERROR(VLOOKUP(C775,'BG 2021'!A:C,3,FALSE),0),0)</f>
        <v>19675318</v>
      </c>
      <c r="H775" s="163" t="s">
        <v>730</v>
      </c>
      <c r="I775" s="68">
        <f>IF(F775="I",IFERROR(VLOOKUP(C775,'BG 2021'!A:D,4,FALSE),0),0)</f>
        <v>2858.19</v>
      </c>
      <c r="J775" s="40"/>
      <c r="K775" s="47">
        <f>IF(F775="I",SUMIF('BG 2020'!B:B,Clasificaciones!C775,'BG 2020'!D:D),0)</f>
        <v>0</v>
      </c>
      <c r="L775" s="40"/>
      <c r="M775" s="68">
        <f>IF(F775="I",SUMIF('BG 2020'!B:B,Clasificaciones!C775,'BG 2020'!E:E),0)</f>
        <v>0</v>
      </c>
    </row>
    <row r="776" spans="1:13" s="166" customFormat="1" ht="12" customHeight="1">
      <c r="A776" s="163" t="s">
        <v>232</v>
      </c>
      <c r="B776" s="163" t="s">
        <v>730</v>
      </c>
      <c r="C776" s="164">
        <v>5130206</v>
      </c>
      <c r="D776" s="164" t="s">
        <v>931</v>
      </c>
      <c r="E776" s="165" t="s">
        <v>6</v>
      </c>
      <c r="F776" s="165" t="s">
        <v>344</v>
      </c>
      <c r="G776" s="47">
        <f>IF(F776="I",IFERROR(VLOOKUP(C776,'BG 2021'!A:C,3,FALSE),0),0)</f>
        <v>128652468</v>
      </c>
      <c r="H776" s="163" t="s">
        <v>730</v>
      </c>
      <c r="I776" s="68">
        <f>IF(F776="I",IFERROR(VLOOKUP(C776,'BG 2021'!A:D,4,FALSE),0),0)</f>
        <v>18934.87</v>
      </c>
      <c r="J776" s="40"/>
      <c r="K776" s="47">
        <f>IF(F776="I",SUMIF('BG 2020'!B:B,Clasificaciones!C776,'BG 2020'!D:D),0)</f>
        <v>65692208</v>
      </c>
      <c r="L776" s="40"/>
      <c r="M776" s="68">
        <f>IF(F776="I",SUMIF('BG 2020'!B:B,Clasificaciones!C776,'BG 2020'!E:E),0)</f>
        <v>9660.7000000000007</v>
      </c>
    </row>
    <row r="777" spans="1:13" s="166" customFormat="1" ht="12" customHeight="1">
      <c r="A777" s="163" t="s">
        <v>232</v>
      </c>
      <c r="B777" s="163" t="s">
        <v>730</v>
      </c>
      <c r="C777" s="164">
        <v>5130207</v>
      </c>
      <c r="D777" s="164" t="s">
        <v>510</v>
      </c>
      <c r="E777" s="165" t="s">
        <v>6</v>
      </c>
      <c r="F777" s="165" t="s">
        <v>344</v>
      </c>
      <c r="G777" s="47">
        <f>IF(F777="I",IFERROR(VLOOKUP(C777,'BG 2021'!A:C,3,FALSE),0),0)</f>
        <v>162307818</v>
      </c>
      <c r="H777" s="163" t="s">
        <v>730</v>
      </c>
      <c r="I777" s="68">
        <f>IF(F777="I",IFERROR(VLOOKUP(C777,'BG 2021'!A:D,4,FALSE),0),0)</f>
        <v>24004.080000000002</v>
      </c>
      <c r="J777" s="40"/>
      <c r="K777" s="47">
        <f>IF(F777="I",SUMIF('BG 2020'!B:B,Clasificaciones!C777,'BG 2020'!D:D),0)</f>
        <v>96729000</v>
      </c>
      <c r="L777" s="40"/>
      <c r="M777" s="68">
        <f>IF(F777="I",SUMIF('BG 2020'!B:B,Clasificaciones!C777,'BG 2020'!E:E),0)</f>
        <v>14213.04</v>
      </c>
    </row>
    <row r="778" spans="1:13" s="166" customFormat="1" ht="12" customHeight="1">
      <c r="A778" s="163" t="s">
        <v>232</v>
      </c>
      <c r="B778" s="163" t="s">
        <v>730</v>
      </c>
      <c r="C778" s="164">
        <v>5130208</v>
      </c>
      <c r="D778" s="164" t="s">
        <v>509</v>
      </c>
      <c r="E778" s="165" t="s">
        <v>6</v>
      </c>
      <c r="F778" s="165" t="s">
        <v>344</v>
      </c>
      <c r="G778" s="47">
        <f>IF(F778="I",IFERROR(VLOOKUP(C778,'BG 2021'!A:C,3,FALSE),0),0)</f>
        <v>0</v>
      </c>
      <c r="H778" s="163" t="s">
        <v>730</v>
      </c>
      <c r="I778" s="68">
        <f>IF(F778="I",IFERROR(VLOOKUP(C778,'BG 2021'!A:D,4,FALSE),0),0)</f>
        <v>0</v>
      </c>
      <c r="J778" s="40"/>
      <c r="K778" s="47">
        <f>IF(F778="I",SUMIF('BG 2020'!B:B,Clasificaciones!C778,'BG 2020'!D:D),0)</f>
        <v>16388271</v>
      </c>
      <c r="L778" s="40"/>
      <c r="M778" s="68">
        <f>IF(F778="I",SUMIF('BG 2020'!B:B,Clasificaciones!C778,'BG 2020'!E:E),0)</f>
        <v>2365.75</v>
      </c>
    </row>
    <row r="779" spans="1:13" s="166" customFormat="1" ht="12" customHeight="1">
      <c r="A779" s="163" t="s">
        <v>232</v>
      </c>
      <c r="B779" s="163"/>
      <c r="C779" s="164">
        <v>51303</v>
      </c>
      <c r="D779" s="164" t="s">
        <v>200</v>
      </c>
      <c r="E779" s="165" t="s">
        <v>6</v>
      </c>
      <c r="F779" s="165" t="s">
        <v>343</v>
      </c>
      <c r="G779" s="47">
        <f>IF(F779="I",IFERROR(VLOOKUP(C779,'BG 2021'!A:C,3,FALSE),0),0)</f>
        <v>0</v>
      </c>
      <c r="H779" s="163"/>
      <c r="I779" s="68">
        <f>IF(F779="I",IFERROR(VLOOKUP(C779,'BG 2021'!A:D,4,FALSE),0),0)</f>
        <v>0</v>
      </c>
      <c r="J779" s="40"/>
      <c r="K779" s="47">
        <f>IF(F779="I",SUMIF('BG 2020'!B:B,Clasificaciones!C779,'BG 2020'!D:D),0)</f>
        <v>0</v>
      </c>
      <c r="L779" s="40"/>
      <c r="M779" s="68">
        <f>IF(F779="I",SUMIF('BG 2020'!B:B,Clasificaciones!C779,'BG 2020'!E:E),0)</f>
        <v>0</v>
      </c>
    </row>
    <row r="780" spans="1:13" s="166" customFormat="1" ht="12" customHeight="1">
      <c r="A780" s="163" t="s">
        <v>232</v>
      </c>
      <c r="B780" s="163" t="s">
        <v>121</v>
      </c>
      <c r="C780" s="164">
        <v>5130301</v>
      </c>
      <c r="D780" s="164" t="s">
        <v>342</v>
      </c>
      <c r="E780" s="165" t="s">
        <v>6</v>
      </c>
      <c r="F780" s="165" t="s">
        <v>344</v>
      </c>
      <c r="G780" s="47">
        <f>IF(F780="I",IFERROR(VLOOKUP(C780,'BG 2021'!A:C,3,FALSE),0),0)</f>
        <v>635926380</v>
      </c>
      <c r="H780" s="163" t="s">
        <v>121</v>
      </c>
      <c r="I780" s="68">
        <f>IF(F780="I",IFERROR(VLOOKUP(C780,'BG 2021'!A:D,4,FALSE),0),0)</f>
        <v>93500</v>
      </c>
      <c r="J780" s="40"/>
      <c r="K780" s="47">
        <f>IF(F780="I",SUMIF('BG 2020'!B:B,Clasificaciones!C780,'BG 2020'!D:D),0)</f>
        <v>399212750</v>
      </c>
      <c r="L780" s="40"/>
      <c r="M780" s="68">
        <f>IF(F780="I",SUMIF('BG 2020'!B:B,Clasificaciones!C780,'BG 2020'!E:E),0)</f>
        <v>58501.120000000003</v>
      </c>
    </row>
    <row r="781" spans="1:13" s="166" customFormat="1" ht="12" customHeight="1">
      <c r="A781" s="163" t="s">
        <v>232</v>
      </c>
      <c r="B781" s="163"/>
      <c r="C781" s="164">
        <v>5130302</v>
      </c>
      <c r="D781" s="164" t="s">
        <v>1212</v>
      </c>
      <c r="E781" s="165" t="s">
        <v>6</v>
      </c>
      <c r="F781" s="165" t="s">
        <v>344</v>
      </c>
      <c r="G781" s="47">
        <f>IF(F781="I",IFERROR(VLOOKUP(C781,'BG 2021'!A:C,3,FALSE),0),0)</f>
        <v>0</v>
      </c>
      <c r="H781" s="163"/>
      <c r="I781" s="68">
        <f>IF(F781="I",IFERROR(VLOOKUP(C781,'BG 2021'!A:D,4,FALSE),0),0)</f>
        <v>0</v>
      </c>
      <c r="J781" s="40"/>
      <c r="K781" s="47">
        <f>IF(F781="I",SUMIF('BG 2020'!B:B,Clasificaciones!C781,'BG 2020'!D:D),0)</f>
        <v>0</v>
      </c>
      <c r="L781" s="40"/>
      <c r="M781" s="68">
        <f>IF(F781="I",SUMIF('BG 2020'!B:B,Clasificaciones!C781,'BG 2020'!E:E),0)</f>
        <v>0</v>
      </c>
    </row>
    <row r="782" spans="1:13" s="166" customFormat="1" ht="12" customHeight="1">
      <c r="A782" s="163" t="s">
        <v>232</v>
      </c>
      <c r="B782" s="163" t="s">
        <v>121</v>
      </c>
      <c r="C782" s="164">
        <v>5130303</v>
      </c>
      <c r="D782" s="164" t="s">
        <v>932</v>
      </c>
      <c r="E782" s="165" t="s">
        <v>6</v>
      </c>
      <c r="F782" s="165" t="s">
        <v>344</v>
      </c>
      <c r="G782" s="47">
        <f>IF(F782="I",IFERROR(VLOOKUP(C782,'BG 2021'!A:C,3,FALSE),0),0)</f>
        <v>40670370</v>
      </c>
      <c r="H782" s="163" t="s">
        <v>121</v>
      </c>
      <c r="I782" s="68">
        <f>IF(F782="I",IFERROR(VLOOKUP(C782,'BG 2021'!A:D,4,FALSE),0),0)</f>
        <v>6000</v>
      </c>
      <c r="J782" s="40"/>
      <c r="K782" s="47">
        <f>IF(F782="I",SUMIF('BG 2020'!B:B,Clasificaciones!C782,'BG 2020'!D:D),0)</f>
        <v>0</v>
      </c>
      <c r="L782" s="40"/>
      <c r="M782" s="68">
        <f>IF(F782="I",SUMIF('BG 2020'!B:B,Clasificaciones!C782,'BG 2020'!E:E),0)</f>
        <v>0</v>
      </c>
    </row>
    <row r="783" spans="1:13" s="166" customFormat="1" ht="12" customHeight="1">
      <c r="A783" s="163" t="s">
        <v>232</v>
      </c>
      <c r="B783" s="163" t="s">
        <v>121</v>
      </c>
      <c r="C783" s="164">
        <v>5130304</v>
      </c>
      <c r="D783" s="164" t="s">
        <v>200</v>
      </c>
      <c r="E783" s="165" t="s">
        <v>6</v>
      </c>
      <c r="F783" s="165" t="s">
        <v>344</v>
      </c>
      <c r="G783" s="47">
        <f>IF(F783="I",IFERROR(VLOOKUP(C783,'BG 2021'!A:C,3,FALSE),0),0)</f>
        <v>218434941</v>
      </c>
      <c r="H783" s="163" t="s">
        <v>121</v>
      </c>
      <c r="I783" s="68">
        <f>IF(F783="I",IFERROR(VLOOKUP(C783,'BG 2021'!A:D,4,FALSE),0),0)</f>
        <v>32246.6</v>
      </c>
      <c r="J783" s="40"/>
      <c r="K783" s="47">
        <f>IF(F783="I",SUMIF('BG 2020'!B:B,Clasificaciones!C783,'BG 2020'!D:D),0)</f>
        <v>193136116</v>
      </c>
      <c r="L783" s="40"/>
      <c r="M783" s="68">
        <f>IF(F783="I",SUMIF('BG 2020'!B:B,Clasificaciones!C783,'BG 2020'!E:E),0)</f>
        <v>28415.57</v>
      </c>
    </row>
    <row r="784" spans="1:13" s="166" customFormat="1" ht="12" customHeight="1">
      <c r="A784" s="163" t="s">
        <v>232</v>
      </c>
      <c r="B784" s="163"/>
      <c r="C784" s="164">
        <v>51304</v>
      </c>
      <c r="D784" s="164" t="s">
        <v>234</v>
      </c>
      <c r="E784" s="165" t="s">
        <v>6</v>
      </c>
      <c r="F784" s="165" t="s">
        <v>343</v>
      </c>
      <c r="G784" s="47">
        <f>IF(F784="I",IFERROR(VLOOKUP(C784,'BG 2021'!A:C,3,FALSE),0),0)</f>
        <v>0</v>
      </c>
      <c r="H784" s="163"/>
      <c r="I784" s="68">
        <f>IF(F784="I",IFERROR(VLOOKUP(C784,'BG 2021'!A:D,4,FALSE),0),0)</f>
        <v>0</v>
      </c>
      <c r="J784" s="40"/>
      <c r="K784" s="47">
        <f>IF(F784="I",SUMIF('BG 2020'!B:B,Clasificaciones!C784,'BG 2020'!D:D),0)</f>
        <v>0</v>
      </c>
      <c r="L784" s="40"/>
      <c r="M784" s="68">
        <f>IF(F784="I",SUMIF('BG 2020'!B:B,Clasificaciones!C784,'BG 2020'!E:E),0)</f>
        <v>0</v>
      </c>
    </row>
    <row r="785" spans="1:13" s="166" customFormat="1" ht="12" customHeight="1">
      <c r="A785" s="163" t="s">
        <v>232</v>
      </c>
      <c r="B785" s="163" t="s">
        <v>121</v>
      </c>
      <c r="C785" s="164">
        <v>5130401</v>
      </c>
      <c r="D785" s="164" t="s">
        <v>1155</v>
      </c>
      <c r="E785" s="165" t="s">
        <v>6</v>
      </c>
      <c r="F785" s="165" t="s">
        <v>344</v>
      </c>
      <c r="G785" s="47">
        <f>IF(F785="I",IFERROR(VLOOKUP(C785,'BG 2021'!A:C,3,FALSE),0),0)</f>
        <v>44703500</v>
      </c>
      <c r="H785" s="163" t="s">
        <v>121</v>
      </c>
      <c r="I785" s="68">
        <f>IF(F785="I",IFERROR(VLOOKUP(C785,'BG 2021'!A:D,4,FALSE),0),0)</f>
        <v>6578.0299999999988</v>
      </c>
      <c r="J785" s="40"/>
      <c r="K785" s="47">
        <f>IF(F785="I",SUMIF('BG 2020'!B:B,Clasificaciones!C785,'BG 2020'!D:D),0)</f>
        <v>250000000</v>
      </c>
      <c r="L785" s="40"/>
      <c r="M785" s="68">
        <f>IF(F785="I",SUMIF('BG 2020'!B:B,Clasificaciones!C785,'BG 2020'!E:E),0)</f>
        <v>36516.21</v>
      </c>
    </row>
    <row r="786" spans="1:13" s="166" customFormat="1" ht="12" customHeight="1">
      <c r="A786" s="163" t="s">
        <v>232</v>
      </c>
      <c r="B786" s="163" t="s">
        <v>121</v>
      </c>
      <c r="C786" s="164">
        <v>5130402</v>
      </c>
      <c r="D786" s="164" t="s">
        <v>217</v>
      </c>
      <c r="E786" s="165" t="s">
        <v>6</v>
      </c>
      <c r="F786" s="165" t="s">
        <v>344</v>
      </c>
      <c r="G786" s="47">
        <f>IF(F786="I",IFERROR(VLOOKUP(C786,'BG 2021'!A:C,3,FALSE),0),0)</f>
        <v>327379495</v>
      </c>
      <c r="H786" s="163" t="s">
        <v>121</v>
      </c>
      <c r="I786" s="68">
        <f>IF(F786="I",IFERROR(VLOOKUP(C786,'BG 2021'!A:D,4,FALSE),0),0)</f>
        <v>48985.71</v>
      </c>
      <c r="J786" s="40"/>
      <c r="K786" s="47">
        <f>IF(F786="I",SUMIF('BG 2020'!B:B,Clasificaciones!C786,'BG 2020'!D:D),0)</f>
        <v>238600070</v>
      </c>
      <c r="L786" s="40"/>
      <c r="M786" s="68">
        <f>IF(F786="I",SUMIF('BG 2020'!B:B,Clasificaciones!C786,'BG 2020'!E:E),0)</f>
        <v>35519.06</v>
      </c>
    </row>
    <row r="787" spans="1:13" s="166" customFormat="1" ht="12" customHeight="1">
      <c r="A787" s="163" t="s">
        <v>232</v>
      </c>
      <c r="B787" s="163" t="s">
        <v>121</v>
      </c>
      <c r="C787" s="164">
        <v>5130403</v>
      </c>
      <c r="D787" s="164" t="s">
        <v>1213</v>
      </c>
      <c r="E787" s="165" t="s">
        <v>6</v>
      </c>
      <c r="F787" s="165" t="s">
        <v>344</v>
      </c>
      <c r="G787" s="47">
        <f>IF(F787="I",IFERROR(VLOOKUP(C787,'BG 2021'!A:C,3,FALSE),0),0)</f>
        <v>10272727</v>
      </c>
      <c r="H787" s="163" t="s">
        <v>121</v>
      </c>
      <c r="I787" s="68">
        <f>IF(F787="I",IFERROR(VLOOKUP(C787,'BG 2021'!A:D,4,FALSE),0),0)</f>
        <v>1502.89</v>
      </c>
      <c r="J787" s="40"/>
      <c r="K787" s="47">
        <f>IF(F787="I",SUMIF('BG 2020'!B:B,Clasificaciones!C787,'BG 2020'!D:D),0)</f>
        <v>0</v>
      </c>
      <c r="L787" s="40"/>
      <c r="M787" s="68">
        <f>IF(F787="I",SUMIF('BG 2020'!B:B,Clasificaciones!C787,'BG 2020'!E:E),0)</f>
        <v>0</v>
      </c>
    </row>
    <row r="788" spans="1:13" s="166" customFormat="1" ht="12" customHeight="1">
      <c r="A788" s="163" t="s">
        <v>232</v>
      </c>
      <c r="B788" s="163" t="s">
        <v>121</v>
      </c>
      <c r="C788" s="164">
        <v>5130404</v>
      </c>
      <c r="D788" s="164" t="s">
        <v>933</v>
      </c>
      <c r="E788" s="165" t="s">
        <v>6</v>
      </c>
      <c r="F788" s="165" t="s">
        <v>344</v>
      </c>
      <c r="G788" s="47">
        <f>IF(F788="I",IFERROR(VLOOKUP(C788,'BG 2021'!A:C,3,FALSE),0),0)</f>
        <v>38216035</v>
      </c>
      <c r="H788" s="163" t="s">
        <v>121</v>
      </c>
      <c r="I788" s="68">
        <f>IF(F788="I",IFERROR(VLOOKUP(C788,'BG 2021'!A:D,4,FALSE),0),0)</f>
        <v>5547.72</v>
      </c>
      <c r="J788" s="40"/>
      <c r="K788" s="47">
        <f>IF(F788="I",SUMIF('BG 2020'!B:B,Clasificaciones!C788,'BG 2020'!D:D),0)</f>
        <v>5334395</v>
      </c>
      <c r="L788" s="40"/>
      <c r="M788" s="68">
        <f>IF(F788="I",SUMIF('BG 2020'!B:B,Clasificaciones!C788,'BG 2020'!E:E),0)</f>
        <v>805.78</v>
      </c>
    </row>
    <row r="789" spans="1:13" s="166" customFormat="1" ht="12" customHeight="1">
      <c r="A789" s="163" t="s">
        <v>232</v>
      </c>
      <c r="B789" s="163" t="s">
        <v>121</v>
      </c>
      <c r="C789" s="164">
        <v>5130405</v>
      </c>
      <c r="D789" s="164" t="s">
        <v>934</v>
      </c>
      <c r="E789" s="165" t="s">
        <v>6</v>
      </c>
      <c r="F789" s="165" t="s">
        <v>344</v>
      </c>
      <c r="G789" s="47">
        <f>IF(F789="I",IFERROR(VLOOKUP(C789,'BG 2021'!A:C,3,FALSE),0),0)</f>
        <v>388197452</v>
      </c>
      <c r="H789" s="163" t="s">
        <v>121</v>
      </c>
      <c r="I789" s="68">
        <f>IF(F789="I",IFERROR(VLOOKUP(C789,'BG 2021'!A:D,4,FALSE),0),0)</f>
        <v>57365.36</v>
      </c>
      <c r="J789" s="40"/>
      <c r="K789" s="47">
        <f>IF(F789="I",SUMIF('BG 2020'!B:B,Clasificaciones!C789,'BG 2020'!D:D),0)</f>
        <v>455027232</v>
      </c>
      <c r="L789" s="40"/>
      <c r="M789" s="68">
        <f>IF(F789="I",SUMIF('BG 2020'!B:B,Clasificaciones!C789,'BG 2020'!E:E),0)</f>
        <v>66908.13</v>
      </c>
    </row>
    <row r="790" spans="1:13" s="166" customFormat="1" ht="12" customHeight="1">
      <c r="A790" s="163" t="s">
        <v>232</v>
      </c>
      <c r="B790" s="163" t="s">
        <v>121</v>
      </c>
      <c r="C790" s="164">
        <v>5130407</v>
      </c>
      <c r="D790" s="164" t="s">
        <v>1372</v>
      </c>
      <c r="E790" s="165" t="s">
        <v>6</v>
      </c>
      <c r="F790" s="165" t="s">
        <v>344</v>
      </c>
      <c r="G790" s="47">
        <f>IF(F790="I",IFERROR(VLOOKUP(C790,'BG 2021'!A:C,3,FALSE),0),0)</f>
        <v>20755777</v>
      </c>
      <c r="H790" s="163" t="s">
        <v>121</v>
      </c>
      <c r="I790" s="68">
        <f>IF(F790="I",IFERROR(VLOOKUP(C790,'BG 2021'!A:D,4,FALSE),0),0)</f>
        <v>3016.24</v>
      </c>
      <c r="J790" s="40"/>
      <c r="K790" s="47">
        <f>IF(F790="I",SUMIF('BG 2020'!B:B,Clasificaciones!C790,'BG 2020'!D:D),0)</f>
        <v>2663980</v>
      </c>
      <c r="L790" s="40"/>
      <c r="M790" s="68">
        <f>IF(F790="I",SUMIF('BG 2020'!B:B,Clasificaciones!C790,'BG 2020'!E:E),0)</f>
        <v>386.57</v>
      </c>
    </row>
    <row r="791" spans="1:13" s="166" customFormat="1" ht="12" customHeight="1">
      <c r="A791" s="163" t="s">
        <v>232</v>
      </c>
      <c r="B791" s="163"/>
      <c r="C791" s="164">
        <v>51305</v>
      </c>
      <c r="D791" s="164" t="s">
        <v>936</v>
      </c>
      <c r="E791" s="165" t="s">
        <v>6</v>
      </c>
      <c r="F791" s="165" t="s">
        <v>343</v>
      </c>
      <c r="G791" s="47">
        <f>IF(F791="I",IFERROR(VLOOKUP(C791,'BG 2021'!A:C,3,FALSE),0),0)</f>
        <v>0</v>
      </c>
      <c r="H791" s="163"/>
      <c r="I791" s="68">
        <f>IF(F791="I",IFERROR(VLOOKUP(C791,'BG 2021'!A:D,4,FALSE),0),0)</f>
        <v>0</v>
      </c>
      <c r="J791" s="40"/>
      <c r="K791" s="47">
        <f>IF(F791="I",SUMIF('BG 2020'!B:B,Clasificaciones!C791,'BG 2020'!D:D),0)</f>
        <v>0</v>
      </c>
      <c r="L791" s="40"/>
      <c r="M791" s="68">
        <f>IF(F791="I",SUMIF('BG 2020'!B:B,Clasificaciones!C791,'BG 2020'!E:E),0)</f>
        <v>0</v>
      </c>
    </row>
    <row r="792" spans="1:13" s="166" customFormat="1" ht="12" customHeight="1">
      <c r="A792" s="163" t="s">
        <v>232</v>
      </c>
      <c r="B792" s="163"/>
      <c r="C792" s="164">
        <v>5130501</v>
      </c>
      <c r="D792" s="164" t="s">
        <v>937</v>
      </c>
      <c r="E792" s="165" t="s">
        <v>6</v>
      </c>
      <c r="F792" s="165" t="s">
        <v>343</v>
      </c>
      <c r="G792" s="47">
        <f>IF(F792="I",IFERROR(VLOOKUP(C792,'BG 2021'!A:C,3,FALSE),0),0)</f>
        <v>0</v>
      </c>
      <c r="H792" s="163"/>
      <c r="I792" s="68">
        <f>IF(F792="I",IFERROR(VLOOKUP(C792,'BG 2021'!A:D,4,FALSE),0),0)</f>
        <v>0</v>
      </c>
      <c r="J792" s="40"/>
      <c r="K792" s="47">
        <f>IF(F792="I",SUMIF('BG 2020'!B:B,Clasificaciones!C792,'BG 2020'!D:D),0)</f>
        <v>0</v>
      </c>
      <c r="L792" s="40"/>
      <c r="M792" s="68">
        <f>IF(F792="I",SUMIF('BG 2020'!B:B,Clasificaciones!C792,'BG 2020'!E:E),0)</f>
        <v>0</v>
      </c>
    </row>
    <row r="793" spans="1:13" s="166" customFormat="1" ht="12" customHeight="1">
      <c r="A793" s="163" t="s">
        <v>232</v>
      </c>
      <c r="B793" s="163" t="s">
        <v>122</v>
      </c>
      <c r="C793" s="164">
        <v>513050101</v>
      </c>
      <c r="D793" s="164" t="s">
        <v>938</v>
      </c>
      <c r="E793" s="165" t="s">
        <v>6</v>
      </c>
      <c r="F793" s="165" t="s">
        <v>344</v>
      </c>
      <c r="G793" s="47">
        <f>IF(F793="I",IFERROR(VLOOKUP(C793,'BG 2021'!A:C,3,FALSE),0),0)</f>
        <v>588477</v>
      </c>
      <c r="H793" s="163" t="s">
        <v>122</v>
      </c>
      <c r="I793" s="68">
        <f>IF(F793="I",IFERROR(VLOOKUP(C793,'BG 2021'!A:D,4,FALSE),0),0)</f>
        <v>88.1</v>
      </c>
      <c r="J793" s="40"/>
      <c r="K793" s="47">
        <f>IF(F793="I",SUMIF('BG 2020'!B:B,Clasificaciones!C793,'BG 2020'!D:D),0)</f>
        <v>2839598</v>
      </c>
      <c r="L793" s="40"/>
      <c r="M793" s="68">
        <f>IF(F793="I",SUMIF('BG 2020'!B:B,Clasificaciones!C793,'BG 2020'!E:E),0)</f>
        <v>435.97</v>
      </c>
    </row>
    <row r="794" spans="1:13" s="166" customFormat="1" ht="12" customHeight="1">
      <c r="A794" s="163" t="s">
        <v>232</v>
      </c>
      <c r="B794" s="163"/>
      <c r="C794" s="164">
        <v>513050102</v>
      </c>
      <c r="D794" s="164" t="s">
        <v>1215</v>
      </c>
      <c r="E794" s="165" t="s">
        <v>6</v>
      </c>
      <c r="F794" s="165" t="s">
        <v>344</v>
      </c>
      <c r="G794" s="47">
        <f>IF(F794="I",IFERROR(VLOOKUP(C794,'BG 2021'!A:C,3,FALSE),0),0)</f>
        <v>0</v>
      </c>
      <c r="H794" s="163"/>
      <c r="I794" s="68">
        <f>IF(F794="I",IFERROR(VLOOKUP(C794,'BG 2021'!A:D,4,FALSE),0),0)</f>
        <v>0</v>
      </c>
      <c r="J794" s="40"/>
      <c r="K794" s="47">
        <f>IF(F794="I",SUMIF('BG 2020'!B:B,Clasificaciones!C794,'BG 2020'!D:D),0)</f>
        <v>0</v>
      </c>
      <c r="L794" s="40"/>
      <c r="M794" s="68">
        <f>IF(F794="I",SUMIF('BG 2020'!B:B,Clasificaciones!C794,'BG 2020'!E:E),0)</f>
        <v>0</v>
      </c>
    </row>
    <row r="795" spans="1:13" s="166" customFormat="1" ht="12" customHeight="1">
      <c r="A795" s="163" t="s">
        <v>232</v>
      </c>
      <c r="B795" s="163" t="s">
        <v>122</v>
      </c>
      <c r="C795" s="164">
        <v>513050103</v>
      </c>
      <c r="D795" s="164" t="s">
        <v>939</v>
      </c>
      <c r="E795" s="165" t="s">
        <v>6</v>
      </c>
      <c r="F795" s="165" t="s">
        <v>344</v>
      </c>
      <c r="G795" s="47">
        <f>IF(F795="I",IFERROR(VLOOKUP(C795,'BG 2021'!A:C,3,FALSE),0),0)</f>
        <v>5479087</v>
      </c>
      <c r="H795" s="163" t="s">
        <v>122</v>
      </c>
      <c r="I795" s="68">
        <f>IF(F795="I",IFERROR(VLOOKUP(C795,'BG 2021'!A:D,4,FALSE),0),0)</f>
        <v>862.47</v>
      </c>
      <c r="J795" s="40"/>
      <c r="K795" s="47">
        <f>IF(F795="I",SUMIF('BG 2020'!B:B,Clasificaciones!C795,'BG 2020'!D:D),0)</f>
        <v>0</v>
      </c>
      <c r="L795" s="40"/>
      <c r="M795" s="68">
        <f>IF(F795="I",SUMIF('BG 2020'!B:B,Clasificaciones!C795,'BG 2020'!E:E),0)</f>
        <v>0</v>
      </c>
    </row>
    <row r="796" spans="1:13" s="166" customFormat="1" ht="12" customHeight="1">
      <c r="A796" s="163" t="s">
        <v>232</v>
      </c>
      <c r="B796" s="163"/>
      <c r="C796" s="164">
        <v>513050104</v>
      </c>
      <c r="D796" s="164" t="s">
        <v>1216</v>
      </c>
      <c r="E796" s="165" t="s">
        <v>6</v>
      </c>
      <c r="F796" s="165" t="s">
        <v>344</v>
      </c>
      <c r="G796" s="47">
        <f>IF(F796="I",IFERROR(VLOOKUP(C796,'BG 2021'!A:C,3,FALSE),0),0)</f>
        <v>0</v>
      </c>
      <c r="H796" s="163"/>
      <c r="I796" s="68">
        <f>IF(F796="I",IFERROR(VLOOKUP(C796,'BG 2021'!A:D,4,FALSE),0),0)</f>
        <v>0</v>
      </c>
      <c r="J796" s="40"/>
      <c r="K796" s="47">
        <f>IF(F796="I",SUMIF('BG 2020'!B:B,Clasificaciones!C796,'BG 2020'!D:D),0)</f>
        <v>0</v>
      </c>
      <c r="L796" s="40"/>
      <c r="M796" s="68">
        <f>IF(F796="I",SUMIF('BG 2020'!B:B,Clasificaciones!C796,'BG 2020'!E:E),0)</f>
        <v>0</v>
      </c>
    </row>
    <row r="797" spans="1:13" s="166" customFormat="1" ht="12" customHeight="1">
      <c r="A797" s="163" t="s">
        <v>232</v>
      </c>
      <c r="B797" s="163"/>
      <c r="C797" s="164">
        <v>513050105</v>
      </c>
      <c r="D797" s="164" t="s">
        <v>1217</v>
      </c>
      <c r="E797" s="165" t="s">
        <v>6</v>
      </c>
      <c r="F797" s="165" t="s">
        <v>344</v>
      </c>
      <c r="G797" s="47">
        <f>IF(F797="I",IFERROR(VLOOKUP(C797,'BG 2021'!A:C,3,FALSE),0),0)</f>
        <v>0</v>
      </c>
      <c r="H797" s="163"/>
      <c r="I797" s="68">
        <f>IF(F797="I",IFERROR(VLOOKUP(C797,'BG 2021'!A:D,4,FALSE),0),0)</f>
        <v>0</v>
      </c>
      <c r="J797" s="40"/>
      <c r="K797" s="47">
        <f>IF(F797="I",SUMIF('BG 2020'!B:B,Clasificaciones!C797,'BG 2020'!D:D),0)</f>
        <v>0</v>
      </c>
      <c r="L797" s="40"/>
      <c r="M797" s="68">
        <f>IF(F797="I",SUMIF('BG 2020'!B:B,Clasificaciones!C797,'BG 2020'!E:E),0)</f>
        <v>0</v>
      </c>
    </row>
    <row r="798" spans="1:13" s="166" customFormat="1" ht="12" customHeight="1">
      <c r="A798" s="163" t="s">
        <v>232</v>
      </c>
      <c r="B798" s="163"/>
      <c r="C798" s="164">
        <v>513050106</v>
      </c>
      <c r="D798" s="164" t="s">
        <v>1218</v>
      </c>
      <c r="E798" s="165" t="s">
        <v>6</v>
      </c>
      <c r="F798" s="165" t="s">
        <v>344</v>
      </c>
      <c r="G798" s="47">
        <f>IF(F798="I",IFERROR(VLOOKUP(C798,'BG 2021'!A:C,3,FALSE),0),0)</f>
        <v>0</v>
      </c>
      <c r="H798" s="163"/>
      <c r="I798" s="68">
        <f>IF(F798="I",IFERROR(VLOOKUP(C798,'BG 2021'!A:D,4,FALSE),0),0)</f>
        <v>0</v>
      </c>
      <c r="J798" s="40"/>
      <c r="K798" s="47">
        <f>IF(F798="I",SUMIF('BG 2020'!B:B,Clasificaciones!C798,'BG 2020'!D:D),0)</f>
        <v>0</v>
      </c>
      <c r="L798" s="40"/>
      <c r="M798" s="68">
        <f>IF(F798="I",SUMIF('BG 2020'!B:B,Clasificaciones!C798,'BG 2020'!E:E),0)</f>
        <v>0</v>
      </c>
    </row>
    <row r="799" spans="1:13" s="166" customFormat="1" ht="12" customHeight="1">
      <c r="A799" s="163" t="s">
        <v>232</v>
      </c>
      <c r="B799" s="163"/>
      <c r="C799" s="164">
        <v>513050107</v>
      </c>
      <c r="D799" s="164" t="s">
        <v>1117</v>
      </c>
      <c r="E799" s="165" t="s">
        <v>6</v>
      </c>
      <c r="F799" s="165" t="s">
        <v>344</v>
      </c>
      <c r="G799" s="47">
        <f>IF(F799="I",IFERROR(VLOOKUP(C799,'BG 2021'!A:C,3,FALSE),0),0)</f>
        <v>0</v>
      </c>
      <c r="H799" s="163"/>
      <c r="I799" s="68">
        <f>IF(F799="I",IFERROR(VLOOKUP(C799,'BG 2021'!A:D,4,FALSE),0),0)</f>
        <v>0</v>
      </c>
      <c r="J799" s="40"/>
      <c r="K799" s="47">
        <f>IF(F799="I",SUMIF('BG 2020'!B:B,Clasificaciones!C799,'BG 2020'!D:D),0)</f>
        <v>0</v>
      </c>
      <c r="L799" s="40"/>
      <c r="M799" s="68">
        <f>IF(F799="I",SUMIF('BG 2020'!B:B,Clasificaciones!C799,'BG 2020'!E:E),0)</f>
        <v>0</v>
      </c>
    </row>
    <row r="800" spans="1:13" s="166" customFormat="1" ht="12" customHeight="1">
      <c r="A800" s="163" t="s">
        <v>232</v>
      </c>
      <c r="B800" s="163"/>
      <c r="C800" s="164">
        <v>513050108</v>
      </c>
      <c r="D800" s="164" t="s">
        <v>1118</v>
      </c>
      <c r="E800" s="165" t="s">
        <v>6</v>
      </c>
      <c r="F800" s="165" t="s">
        <v>344</v>
      </c>
      <c r="G800" s="47">
        <f>IF(F800="I",IFERROR(VLOOKUP(C800,'BG 2021'!A:C,3,FALSE),0),0)</f>
        <v>0</v>
      </c>
      <c r="H800" s="163"/>
      <c r="I800" s="68">
        <f>IF(F800="I",IFERROR(VLOOKUP(C800,'BG 2021'!A:D,4,FALSE),0),0)</f>
        <v>0</v>
      </c>
      <c r="J800" s="40"/>
      <c r="K800" s="47">
        <f>IF(F800="I",SUMIF('BG 2020'!B:B,Clasificaciones!C800,'BG 2020'!D:D),0)</f>
        <v>0</v>
      </c>
      <c r="L800" s="40"/>
      <c r="M800" s="68">
        <f>IF(F800="I",SUMIF('BG 2020'!B:B,Clasificaciones!C800,'BG 2020'!E:E),0)</f>
        <v>0</v>
      </c>
    </row>
    <row r="801" spans="1:13" s="166" customFormat="1" ht="12" customHeight="1">
      <c r="A801" s="163" t="s">
        <v>232</v>
      </c>
      <c r="B801" s="163"/>
      <c r="C801" s="164">
        <v>5130502</v>
      </c>
      <c r="D801" s="164" t="s">
        <v>940</v>
      </c>
      <c r="E801" s="165" t="s">
        <v>6</v>
      </c>
      <c r="F801" s="165" t="s">
        <v>343</v>
      </c>
      <c r="G801" s="47">
        <f>IF(F801="I",IFERROR(VLOOKUP(C801,'BG 2021'!A:C,3,FALSE),0),0)</f>
        <v>0</v>
      </c>
      <c r="H801" s="163"/>
      <c r="I801" s="68">
        <f>IF(F801="I",IFERROR(VLOOKUP(C801,'BG 2021'!A:D,4,FALSE),0),0)</f>
        <v>0</v>
      </c>
      <c r="J801" s="40"/>
      <c r="K801" s="47">
        <f>IF(F801="I",SUMIF('BG 2020'!B:B,Clasificaciones!C801,'BG 2020'!D:D),0)</f>
        <v>0</v>
      </c>
      <c r="L801" s="40"/>
      <c r="M801" s="68">
        <f>IF(F801="I",SUMIF('BG 2020'!B:B,Clasificaciones!C801,'BG 2020'!E:E),0)</f>
        <v>0</v>
      </c>
    </row>
    <row r="802" spans="1:13" s="166" customFormat="1" ht="12" customHeight="1">
      <c r="A802" s="163" t="s">
        <v>232</v>
      </c>
      <c r="B802" s="163" t="s">
        <v>122</v>
      </c>
      <c r="C802" s="164">
        <v>513050201</v>
      </c>
      <c r="D802" s="164" t="s">
        <v>941</v>
      </c>
      <c r="E802" s="165" t="s">
        <v>6</v>
      </c>
      <c r="F802" s="165" t="s">
        <v>344</v>
      </c>
      <c r="G802" s="47">
        <f>IF(F802="I",IFERROR(VLOOKUP(C802,'BG 2021'!A:C,3,FALSE),0),0)</f>
        <v>7235861</v>
      </c>
      <c r="H802" s="163" t="s">
        <v>122</v>
      </c>
      <c r="I802" s="68">
        <f>IF(F802="I",IFERROR(VLOOKUP(C802,'BG 2021'!A:D,4,FALSE),0),0)</f>
        <v>1200</v>
      </c>
      <c r="J802" s="40"/>
      <c r="K802" s="47">
        <f>IF(F802="I",SUMIF('BG 2020'!B:B,Clasificaciones!C802,'BG 2020'!D:D),0)</f>
        <v>7235868</v>
      </c>
      <c r="L802" s="40"/>
      <c r="M802" s="68">
        <f>IF(F802="I",SUMIF('BG 2020'!B:B,Clasificaciones!C802,'BG 2020'!E:E),0)</f>
        <v>1212</v>
      </c>
    </row>
    <row r="803" spans="1:13" s="166" customFormat="1" ht="12" customHeight="1">
      <c r="A803" s="163" t="s">
        <v>232</v>
      </c>
      <c r="B803" s="163" t="s">
        <v>122</v>
      </c>
      <c r="C803" s="164">
        <v>513050202</v>
      </c>
      <c r="D803" s="164" t="s">
        <v>942</v>
      </c>
      <c r="E803" s="165" t="s">
        <v>6</v>
      </c>
      <c r="F803" s="165" t="s">
        <v>344</v>
      </c>
      <c r="G803" s="47">
        <f>IF(F803="I",IFERROR(VLOOKUP(C803,'BG 2021'!A:C,3,FALSE),0),0)</f>
        <v>130145465</v>
      </c>
      <c r="H803" s="163" t="s">
        <v>122</v>
      </c>
      <c r="I803" s="68">
        <f>IF(F803="I",IFERROR(VLOOKUP(C803,'BG 2021'!A:D,4,FALSE),0),0)</f>
        <v>21056.34</v>
      </c>
      <c r="J803" s="40"/>
      <c r="K803" s="47">
        <f>IF(F803="I",SUMIF('BG 2020'!B:B,Clasificaciones!C803,'BG 2020'!D:D),0)</f>
        <v>128817828</v>
      </c>
      <c r="L803" s="40"/>
      <c r="M803" s="68">
        <f>IF(F803="I",SUMIF('BG 2020'!B:B,Clasificaciones!C803,'BG 2020'!E:E),0)</f>
        <v>21081.119999999999</v>
      </c>
    </row>
    <row r="804" spans="1:13" s="166" customFormat="1" ht="12" customHeight="1">
      <c r="A804" s="163" t="s">
        <v>232</v>
      </c>
      <c r="B804" s="163" t="s">
        <v>122</v>
      </c>
      <c r="C804" s="164">
        <v>513050203</v>
      </c>
      <c r="D804" s="164" t="s">
        <v>943</v>
      </c>
      <c r="E804" s="165" t="s">
        <v>6</v>
      </c>
      <c r="F804" s="165" t="s">
        <v>344</v>
      </c>
      <c r="G804" s="47">
        <f>IF(F804="I",IFERROR(VLOOKUP(C804,'BG 2021'!A:C,3,FALSE),0),0)</f>
        <v>38037943</v>
      </c>
      <c r="H804" s="163" t="s">
        <v>122</v>
      </c>
      <c r="I804" s="68">
        <f>IF(F804="I",IFERROR(VLOOKUP(C804,'BG 2021'!A:D,4,FALSE),0),0)</f>
        <v>5583.57</v>
      </c>
      <c r="J804" s="40"/>
      <c r="K804" s="47">
        <f>IF(F804="I",SUMIF('BG 2020'!B:B,Clasificaciones!C804,'BG 2020'!D:D),0)</f>
        <v>0</v>
      </c>
      <c r="L804" s="40"/>
      <c r="M804" s="68">
        <f>IF(F804="I",SUMIF('BG 2020'!B:B,Clasificaciones!C804,'BG 2020'!E:E),0)</f>
        <v>0</v>
      </c>
    </row>
    <row r="805" spans="1:13" s="166" customFormat="1" ht="12" customHeight="1">
      <c r="A805" s="163" t="s">
        <v>232</v>
      </c>
      <c r="B805" s="163" t="s">
        <v>122</v>
      </c>
      <c r="C805" s="164">
        <v>513050204</v>
      </c>
      <c r="D805" s="164" t="s">
        <v>944</v>
      </c>
      <c r="E805" s="165" t="s">
        <v>6</v>
      </c>
      <c r="F805" s="165" t="s">
        <v>344</v>
      </c>
      <c r="G805" s="47">
        <f>IF(F805="I",IFERROR(VLOOKUP(C805,'BG 2021'!A:C,3,FALSE),0),0)</f>
        <v>1600009</v>
      </c>
      <c r="H805" s="163" t="s">
        <v>122</v>
      </c>
      <c r="I805" s="68">
        <f>IF(F805="I",IFERROR(VLOOKUP(C805,'BG 2021'!A:D,4,FALSE),0),0)</f>
        <v>257.66000000000003</v>
      </c>
      <c r="J805" s="40"/>
      <c r="K805" s="47">
        <f>IF(F805="I",SUMIF('BG 2020'!B:B,Clasificaciones!C805,'BG 2020'!D:D),0)</f>
        <v>0</v>
      </c>
      <c r="L805" s="40"/>
      <c r="M805" s="68">
        <f>IF(F805="I",SUMIF('BG 2020'!B:B,Clasificaciones!C805,'BG 2020'!E:E),0)</f>
        <v>0</v>
      </c>
    </row>
    <row r="806" spans="1:13" s="166" customFormat="1" ht="12" customHeight="1">
      <c r="A806" s="163" t="s">
        <v>232</v>
      </c>
      <c r="B806" s="163"/>
      <c r="C806" s="164">
        <v>51306</v>
      </c>
      <c r="D806" s="164" t="s">
        <v>214</v>
      </c>
      <c r="E806" s="165" t="s">
        <v>6</v>
      </c>
      <c r="F806" s="165" t="s">
        <v>343</v>
      </c>
      <c r="G806" s="47">
        <f>IF(F806="I",IFERROR(VLOOKUP(C806,'BG 2021'!A:C,3,FALSE),0),0)</f>
        <v>0</v>
      </c>
      <c r="H806" s="163"/>
      <c r="I806" s="68">
        <f>IF(F806="I",IFERROR(VLOOKUP(C806,'BG 2021'!A:D,4,FALSE),0),0)</f>
        <v>0</v>
      </c>
      <c r="J806" s="40"/>
      <c r="K806" s="47">
        <f>IF(F806="I",SUMIF('BG 2020'!B:B,Clasificaciones!C806,'BG 2020'!D:D),0)</f>
        <v>0</v>
      </c>
      <c r="L806" s="40"/>
      <c r="M806" s="68">
        <f>IF(F806="I",SUMIF('BG 2020'!B:B,Clasificaciones!C806,'BG 2020'!E:E),0)</f>
        <v>0</v>
      </c>
    </row>
    <row r="807" spans="1:13" s="166" customFormat="1" ht="12" customHeight="1">
      <c r="A807" s="163" t="s">
        <v>232</v>
      </c>
      <c r="B807" s="163" t="s">
        <v>50</v>
      </c>
      <c r="C807" s="164">
        <v>5130601</v>
      </c>
      <c r="D807" s="164" t="s">
        <v>1219</v>
      </c>
      <c r="E807" s="165" t="s">
        <v>6</v>
      </c>
      <c r="F807" s="165" t="s">
        <v>344</v>
      </c>
      <c r="G807" s="47">
        <f>IF(F807="I",IFERROR(VLOOKUP(C807,'BG 2021'!A:C,3,FALSE),0),0)</f>
        <v>322727</v>
      </c>
      <c r="H807" s="163" t="s">
        <v>50</v>
      </c>
      <c r="I807" s="68">
        <f>IF(F807="I",IFERROR(VLOOKUP(C807,'BG 2021'!A:D,4,FALSE),0),0)</f>
        <v>47.8</v>
      </c>
      <c r="J807" s="40"/>
      <c r="K807" s="47">
        <f>IF(F807="I",SUMIF('BG 2020'!B:B,Clasificaciones!C807,'BG 2020'!D:D),0)</f>
        <v>0</v>
      </c>
      <c r="L807" s="40"/>
      <c r="M807" s="68">
        <f>IF(F807="I",SUMIF('BG 2020'!B:B,Clasificaciones!C807,'BG 2020'!E:E),0)</f>
        <v>0</v>
      </c>
    </row>
    <row r="808" spans="1:13" s="166" customFormat="1" ht="12" customHeight="1">
      <c r="A808" s="163" t="s">
        <v>232</v>
      </c>
      <c r="B808" s="163"/>
      <c r="C808" s="164">
        <v>5130602</v>
      </c>
      <c r="D808" s="164" t="s">
        <v>1220</v>
      </c>
      <c r="E808" s="165" t="s">
        <v>6</v>
      </c>
      <c r="F808" s="165" t="s">
        <v>344</v>
      </c>
      <c r="G808" s="47">
        <f>IF(F808="I",IFERROR(VLOOKUP(C808,'BG 2021'!A:C,3,FALSE),0),0)</f>
        <v>0</v>
      </c>
      <c r="H808" s="163"/>
      <c r="I808" s="68">
        <f>IF(F808="I",IFERROR(VLOOKUP(C808,'BG 2021'!A:D,4,FALSE),0),0)</f>
        <v>0</v>
      </c>
      <c r="J808" s="40"/>
      <c r="K808" s="47">
        <f>IF(F808="I",SUMIF('BG 2020'!B:B,Clasificaciones!C808,'BG 2020'!D:D),0)</f>
        <v>0</v>
      </c>
      <c r="L808" s="40"/>
      <c r="M808" s="68">
        <f>IF(F808="I",SUMIF('BG 2020'!B:B,Clasificaciones!C808,'BG 2020'!E:E),0)</f>
        <v>0</v>
      </c>
    </row>
    <row r="809" spans="1:13" s="166" customFormat="1" ht="12" customHeight="1">
      <c r="A809" s="163" t="s">
        <v>232</v>
      </c>
      <c r="B809" s="163" t="s">
        <v>50</v>
      </c>
      <c r="C809" s="164">
        <v>5130603</v>
      </c>
      <c r="D809" s="164" t="s">
        <v>945</v>
      </c>
      <c r="E809" s="165" t="s">
        <v>6</v>
      </c>
      <c r="F809" s="165" t="s">
        <v>344</v>
      </c>
      <c r="G809" s="47">
        <f>IF(F809="I",IFERROR(VLOOKUP(C809,'BG 2021'!A:C,3,FALSE),0),0)</f>
        <v>129910562</v>
      </c>
      <c r="H809" s="163" t="s">
        <v>50</v>
      </c>
      <c r="I809" s="68">
        <f>IF(F809="I",IFERROR(VLOOKUP(C809,'BG 2021'!A:D,4,FALSE),0),0)</f>
        <v>19161.02</v>
      </c>
      <c r="J809" s="40"/>
      <c r="K809" s="47">
        <f>IF(F809="I",SUMIF('BG 2020'!B:B,Clasificaciones!C809,'BG 2020'!D:D),0)</f>
        <v>67865800</v>
      </c>
      <c r="L809" s="40"/>
      <c r="M809" s="68">
        <f>IF(F809="I",SUMIF('BG 2020'!B:B,Clasificaciones!C809,'BG 2020'!E:E),0)</f>
        <v>10000</v>
      </c>
    </row>
    <row r="810" spans="1:13" s="166" customFormat="1" ht="12" customHeight="1">
      <c r="A810" s="163" t="s">
        <v>232</v>
      </c>
      <c r="B810" s="163"/>
      <c r="C810" s="164">
        <v>5130604</v>
      </c>
      <c r="D810" s="164" t="s">
        <v>1110</v>
      </c>
      <c r="E810" s="165" t="s">
        <v>6</v>
      </c>
      <c r="F810" s="165" t="s">
        <v>344</v>
      </c>
      <c r="G810" s="47">
        <f>IF(F810="I",IFERROR(VLOOKUP(C810,'BG 2021'!A:C,3,FALSE),0),0)</f>
        <v>0</v>
      </c>
      <c r="H810" s="163"/>
      <c r="I810" s="68">
        <f>IF(F810="I",IFERROR(VLOOKUP(C810,'BG 2021'!A:D,4,FALSE),0),0)</f>
        <v>0</v>
      </c>
      <c r="J810" s="40"/>
      <c r="K810" s="47">
        <f>IF(F810="I",SUMIF('BG 2020'!B:B,Clasificaciones!C810,'BG 2020'!D:D),0)</f>
        <v>0</v>
      </c>
      <c r="L810" s="40"/>
      <c r="M810" s="68">
        <f>IF(F810="I",SUMIF('BG 2020'!B:B,Clasificaciones!C810,'BG 2020'!E:E),0)</f>
        <v>0</v>
      </c>
    </row>
    <row r="811" spans="1:13" s="166" customFormat="1" ht="12" customHeight="1">
      <c r="A811" s="163" t="s">
        <v>232</v>
      </c>
      <c r="B811" s="163" t="s">
        <v>50</v>
      </c>
      <c r="C811" s="164">
        <v>5130605</v>
      </c>
      <c r="D811" s="164" t="s">
        <v>301</v>
      </c>
      <c r="E811" s="165" t="s">
        <v>6</v>
      </c>
      <c r="F811" s="165" t="s">
        <v>344</v>
      </c>
      <c r="G811" s="47">
        <f>IF(F811="I",IFERROR(VLOOKUP(C811,'BG 2021'!A:C,3,FALSE),0),0)</f>
        <v>600000</v>
      </c>
      <c r="H811" s="163" t="s">
        <v>50</v>
      </c>
      <c r="I811" s="68">
        <f>IF(F811="I",IFERROR(VLOOKUP(C811,'BG 2021'!A:D,4,FALSE),0),0)</f>
        <v>89.06</v>
      </c>
      <c r="J811" s="40"/>
      <c r="K811" s="47">
        <f>IF(F811="I",SUMIF('BG 2020'!B:B,Clasificaciones!C811,'BG 2020'!D:D),0)</f>
        <v>9900000</v>
      </c>
      <c r="L811" s="40"/>
      <c r="M811" s="68">
        <f>IF(F811="I",SUMIF('BG 2020'!B:B,Clasificaciones!C811,'BG 2020'!E:E),0)</f>
        <v>1507.15</v>
      </c>
    </row>
    <row r="812" spans="1:13" s="166" customFormat="1" ht="12" customHeight="1">
      <c r="A812" s="163" t="s">
        <v>232</v>
      </c>
      <c r="B812" s="163"/>
      <c r="C812" s="164">
        <v>51307</v>
      </c>
      <c r="D812" s="164" t="s">
        <v>1221</v>
      </c>
      <c r="E812" s="165" t="s">
        <v>6</v>
      </c>
      <c r="F812" s="165" t="s">
        <v>343</v>
      </c>
      <c r="G812" s="47">
        <f>IF(F812="I",IFERROR(VLOOKUP(C812,'BG 2021'!A:C,3,FALSE),0),0)</f>
        <v>0</v>
      </c>
      <c r="H812" s="163"/>
      <c r="I812" s="68">
        <f>IF(F812="I",IFERROR(VLOOKUP(C812,'BG 2021'!A:D,4,FALSE),0),0)</f>
        <v>0</v>
      </c>
      <c r="J812" s="40"/>
      <c r="K812" s="47">
        <f>IF(F812="I",SUMIF('BG 2020'!B:B,Clasificaciones!C812,'BG 2020'!D:D),0)</f>
        <v>0</v>
      </c>
      <c r="L812" s="40"/>
      <c r="M812" s="68">
        <f>IF(F812="I",SUMIF('BG 2020'!B:B,Clasificaciones!C812,'BG 2020'!E:E),0)</f>
        <v>0</v>
      </c>
    </row>
    <row r="813" spans="1:13" s="166" customFormat="1" ht="12" customHeight="1">
      <c r="A813" s="163" t="s">
        <v>232</v>
      </c>
      <c r="B813" s="163" t="s">
        <v>48</v>
      </c>
      <c r="C813" s="164">
        <v>5130701</v>
      </c>
      <c r="D813" s="164" t="s">
        <v>935</v>
      </c>
      <c r="E813" s="165" t="s">
        <v>6</v>
      </c>
      <c r="F813" s="165" t="s">
        <v>344</v>
      </c>
      <c r="G813" s="47">
        <f>IF(F813="I",IFERROR(VLOOKUP(C813,'BG 2021'!A:C,3,FALSE),0),0)</f>
        <v>128559149</v>
      </c>
      <c r="H813" s="163" t="s">
        <v>48</v>
      </c>
      <c r="I813" s="68">
        <f>IF(F813="I",IFERROR(VLOOKUP(C813,'BG 2021'!A:D,4,FALSE),0),0)</f>
        <v>19093.439999999999</v>
      </c>
      <c r="J813" s="40"/>
      <c r="K813" s="47">
        <f>IF(F813="I",SUMIF('BG 2020'!B:B,Clasificaciones!C813,'BG 2020'!D:D),0)</f>
        <v>83333332</v>
      </c>
      <c r="L813" s="40"/>
      <c r="M813" s="68">
        <f>IF(F813="I",SUMIF('BG 2020'!B:B,Clasificaciones!C813,'BG 2020'!E:E),0)</f>
        <v>12734.28</v>
      </c>
    </row>
    <row r="814" spans="1:13" s="166" customFormat="1" ht="12" customHeight="1">
      <c r="A814" s="163" t="s">
        <v>232</v>
      </c>
      <c r="B814" s="163" t="s">
        <v>48</v>
      </c>
      <c r="C814" s="164">
        <v>5130702</v>
      </c>
      <c r="D814" s="164" t="s">
        <v>1214</v>
      </c>
      <c r="E814" s="165" t="s">
        <v>6</v>
      </c>
      <c r="F814" s="165" t="s">
        <v>344</v>
      </c>
      <c r="G814" s="47">
        <f>IF(F814="I",IFERROR(VLOOKUP(C814,'BG 2021'!A:C,3,FALSE),0),0)</f>
        <v>974548</v>
      </c>
      <c r="H814" s="163" t="s">
        <v>48</v>
      </c>
      <c r="I814" s="68">
        <f>IF(F814="I",IFERROR(VLOOKUP(C814,'BG 2021'!A:D,4,FALSE),0),0)</f>
        <v>141.32999999999998</v>
      </c>
      <c r="J814" s="40"/>
      <c r="K814" s="47">
        <f>IF(F814="I",SUMIF('BG 2020'!B:B,Clasificaciones!C814,'BG 2020'!D:D),0)</f>
        <v>0</v>
      </c>
      <c r="L814" s="40"/>
      <c r="M814" s="68">
        <f>IF(F814="I",SUMIF('BG 2020'!B:B,Clasificaciones!C814,'BG 2020'!E:E),0)</f>
        <v>0</v>
      </c>
    </row>
    <row r="815" spans="1:13" s="166" customFormat="1" ht="12" customHeight="1">
      <c r="A815" s="163" t="s">
        <v>232</v>
      </c>
      <c r="B815" s="163" t="s">
        <v>48</v>
      </c>
      <c r="C815" s="164">
        <v>5130703</v>
      </c>
      <c r="D815" s="164" t="s">
        <v>1373</v>
      </c>
      <c r="E815" s="165" t="s">
        <v>6</v>
      </c>
      <c r="F815" s="165" t="s">
        <v>344</v>
      </c>
      <c r="G815" s="47">
        <f>IF(F815="I",IFERROR(VLOOKUP(C815,'BG 2021'!A:C,3,FALSE),0),0)</f>
        <v>11162810</v>
      </c>
      <c r="H815" s="163" t="s">
        <v>48</v>
      </c>
      <c r="I815" s="68">
        <f>IF(F815="I",IFERROR(VLOOKUP(C815,'BG 2021'!A:D,4,FALSE),0),0)</f>
        <v>1622.4599999999996</v>
      </c>
      <c r="J815" s="40"/>
      <c r="K815" s="47">
        <f>IF(F815="I",SUMIF('BG 2020'!B:B,Clasificaciones!C815,'BG 2020'!D:D),0)</f>
        <v>0</v>
      </c>
      <c r="L815" s="40"/>
      <c r="M815" s="68">
        <f>IF(F815="I",SUMIF('BG 2020'!B:B,Clasificaciones!C815,'BG 2020'!E:E),0)</f>
        <v>0</v>
      </c>
    </row>
    <row r="816" spans="1:13" s="166" customFormat="1" ht="12" customHeight="1">
      <c r="A816" s="163" t="s">
        <v>232</v>
      </c>
      <c r="B816" s="167"/>
      <c r="C816" s="164">
        <v>51308</v>
      </c>
      <c r="D816" s="164" t="s">
        <v>49</v>
      </c>
      <c r="E816" s="165" t="s">
        <v>6</v>
      </c>
      <c r="F816" s="165" t="s">
        <v>343</v>
      </c>
      <c r="G816" s="47">
        <f>IF(F816="I",IFERROR(VLOOKUP(C816,'BG 2021'!A:C,3,FALSE),0),0)</f>
        <v>0</v>
      </c>
      <c r="H816" s="167"/>
      <c r="I816" s="68">
        <f>IF(F816="I",IFERROR(VLOOKUP(C816,'BG 2021'!A:D,4,FALSE),0),0)</f>
        <v>0</v>
      </c>
      <c r="J816" s="40"/>
      <c r="K816" s="47">
        <f>IF(F816="I",SUMIF('BG 2020'!B:B,Clasificaciones!C816,'BG 2020'!D:D),0)</f>
        <v>0</v>
      </c>
      <c r="L816" s="40"/>
      <c r="M816" s="68">
        <f>IF(F816="I",SUMIF('BG 2020'!B:B,Clasificaciones!C816,'BG 2020'!E:E),0)</f>
        <v>0</v>
      </c>
    </row>
    <row r="817" spans="1:13" s="166" customFormat="1" ht="12" customHeight="1">
      <c r="A817" s="163" t="s">
        <v>232</v>
      </c>
      <c r="B817" s="163" t="s">
        <v>49</v>
      </c>
      <c r="C817" s="164">
        <v>5130801</v>
      </c>
      <c r="D817" s="164" t="s">
        <v>946</v>
      </c>
      <c r="E817" s="165" t="s">
        <v>6</v>
      </c>
      <c r="F817" s="165" t="s">
        <v>344</v>
      </c>
      <c r="G817" s="47">
        <f>IF(F817="I",IFERROR(VLOOKUP(C817,'BG 2021'!A:C,3,FALSE),0),0)</f>
        <v>7421455</v>
      </c>
      <c r="H817" s="163" t="s">
        <v>49</v>
      </c>
      <c r="I817" s="68">
        <f>IF(F817="I",IFERROR(VLOOKUP(C817,'BG 2021'!A:D,4,FALSE),0),0)</f>
        <v>1076.7</v>
      </c>
      <c r="J817" s="40"/>
      <c r="K817" s="47">
        <f>IF(F817="I",SUMIF('BG 2020'!B:B,Clasificaciones!C817,'BG 2020'!D:D),0)</f>
        <v>892657</v>
      </c>
      <c r="L817" s="40"/>
      <c r="M817" s="68">
        <f>IF(F817="I",SUMIF('BG 2020'!B:B,Clasificaciones!C817,'BG 2020'!E:E),0)</f>
        <v>129.53</v>
      </c>
    </row>
    <row r="818" spans="1:13" s="166" customFormat="1" ht="12" customHeight="1">
      <c r="A818" s="163" t="s">
        <v>232</v>
      </c>
      <c r="B818" s="163"/>
      <c r="C818" s="164">
        <v>51309</v>
      </c>
      <c r="D818" s="164" t="s">
        <v>52</v>
      </c>
      <c r="E818" s="165" t="s">
        <v>6</v>
      </c>
      <c r="F818" s="165" t="s">
        <v>343</v>
      </c>
      <c r="G818" s="47">
        <f>IF(F818="I",IFERROR(VLOOKUP(C818,'BG 2021'!A:C,3,FALSE),0),0)</f>
        <v>0</v>
      </c>
      <c r="H818" s="163"/>
      <c r="I818" s="68">
        <f>IF(F818="I",IFERROR(VLOOKUP(C818,'BG 2021'!A:D,4,FALSE),0),0)</f>
        <v>0</v>
      </c>
      <c r="J818" s="40"/>
      <c r="K818" s="47">
        <f>IF(F818="I",SUMIF('BG 2020'!B:B,Clasificaciones!C818,'BG 2020'!D:D),0)</f>
        <v>0</v>
      </c>
      <c r="L818" s="40"/>
      <c r="M818" s="68">
        <f>IF(F818="I",SUMIF('BG 2020'!B:B,Clasificaciones!C818,'BG 2020'!E:E),0)</f>
        <v>0</v>
      </c>
    </row>
    <row r="819" spans="1:13" s="166" customFormat="1" ht="12" customHeight="1">
      <c r="A819" s="163" t="s">
        <v>232</v>
      </c>
      <c r="B819" s="163"/>
      <c r="C819" s="164">
        <v>5130901</v>
      </c>
      <c r="D819" s="164" t="s">
        <v>1222</v>
      </c>
      <c r="E819" s="165" t="s">
        <v>6</v>
      </c>
      <c r="F819" s="165" t="s">
        <v>344</v>
      </c>
      <c r="G819" s="47">
        <f>IF(F819="I",IFERROR(VLOOKUP(C819,'BG 2021'!A:C,3,FALSE),0),0)</f>
        <v>0</v>
      </c>
      <c r="H819" s="163"/>
      <c r="I819" s="68">
        <f>IF(F819="I",IFERROR(VLOOKUP(C819,'BG 2021'!A:D,4,FALSE),0),0)</f>
        <v>0</v>
      </c>
      <c r="J819" s="40"/>
      <c r="K819" s="47">
        <f>IF(F819="I",SUMIF('BG 2020'!B:B,Clasificaciones!C819,'BG 2020'!D:D),0)</f>
        <v>0</v>
      </c>
      <c r="L819" s="40"/>
      <c r="M819" s="68">
        <f>IF(F819="I",SUMIF('BG 2020'!B:B,Clasificaciones!C819,'BG 2020'!E:E),0)</f>
        <v>0</v>
      </c>
    </row>
    <row r="820" spans="1:13" s="166" customFormat="1" ht="12" customHeight="1">
      <c r="A820" s="163" t="s">
        <v>232</v>
      </c>
      <c r="B820" s="163" t="s">
        <v>52</v>
      </c>
      <c r="C820" s="164">
        <v>5130902</v>
      </c>
      <c r="D820" s="164" t="s">
        <v>947</v>
      </c>
      <c r="E820" s="165" t="s">
        <v>6</v>
      </c>
      <c r="F820" s="165" t="s">
        <v>344</v>
      </c>
      <c r="G820" s="47">
        <f>IF(F820="I",IFERROR(VLOOKUP(C820,'BG 2021'!A:C,3,FALSE),0),0)</f>
        <v>10308500</v>
      </c>
      <c r="H820" s="163" t="s">
        <v>52</v>
      </c>
      <c r="I820" s="68">
        <f>IF(F820="I",IFERROR(VLOOKUP(C820,'BG 2021'!A:D,4,FALSE),0),0)</f>
        <v>1502.15</v>
      </c>
      <c r="J820" s="40"/>
      <c r="K820" s="47">
        <f>IF(F820="I",SUMIF('BG 2020'!B:B,Clasificaciones!C820,'BG 2020'!D:D),0)</f>
        <v>8256339</v>
      </c>
      <c r="L820" s="40"/>
      <c r="M820" s="68">
        <f>IF(F820="I",SUMIF('BG 2020'!B:B,Clasificaciones!C820,'BG 2020'!E:E),0)</f>
        <v>1266.04</v>
      </c>
    </row>
    <row r="821" spans="1:13" s="166" customFormat="1" ht="12" customHeight="1">
      <c r="A821" s="163" t="s">
        <v>232</v>
      </c>
      <c r="B821" s="163"/>
      <c r="C821" s="164">
        <v>5130903</v>
      </c>
      <c r="D821" s="164" t="s">
        <v>1223</v>
      </c>
      <c r="E821" s="165" t="s">
        <v>6</v>
      </c>
      <c r="F821" s="165" t="s">
        <v>344</v>
      </c>
      <c r="G821" s="47">
        <f>IF(F821="I",IFERROR(VLOOKUP(C821,'BG 2021'!A:C,3,FALSE),0),0)</f>
        <v>0</v>
      </c>
      <c r="H821" s="163"/>
      <c r="I821" s="68">
        <f>IF(F821="I",IFERROR(VLOOKUP(C821,'BG 2021'!A:D,4,FALSE),0),0)</f>
        <v>0</v>
      </c>
      <c r="J821" s="40"/>
      <c r="K821" s="47">
        <f>IF(F821="I",SUMIF('BG 2020'!B:B,Clasificaciones!C821,'BG 2020'!D:D),0)</f>
        <v>0</v>
      </c>
      <c r="L821" s="40"/>
      <c r="M821" s="68">
        <f>IF(F821="I",SUMIF('BG 2020'!B:B,Clasificaciones!C821,'BG 2020'!E:E),0)</f>
        <v>0</v>
      </c>
    </row>
    <row r="822" spans="1:13" s="166" customFormat="1" ht="12" customHeight="1">
      <c r="A822" s="163" t="s">
        <v>232</v>
      </c>
      <c r="B822" s="163" t="s">
        <v>52</v>
      </c>
      <c r="C822" s="164">
        <v>5130904</v>
      </c>
      <c r="D822" s="164" t="s">
        <v>948</v>
      </c>
      <c r="E822" s="165" t="s">
        <v>6</v>
      </c>
      <c r="F822" s="165" t="s">
        <v>344</v>
      </c>
      <c r="G822" s="47">
        <f>IF(F822="I",IFERROR(VLOOKUP(C822,'BG 2021'!A:C,3,FALSE),0),0)</f>
        <v>1828703</v>
      </c>
      <c r="H822" s="163" t="s">
        <v>52</v>
      </c>
      <c r="I822" s="68">
        <f>IF(F822="I",IFERROR(VLOOKUP(C822,'BG 2021'!A:D,4,FALSE),0),0)</f>
        <v>271.27</v>
      </c>
      <c r="J822" s="40"/>
      <c r="K822" s="47">
        <f>IF(F822="I",SUMIF('BG 2020'!B:B,Clasificaciones!C822,'BG 2020'!D:D),0)</f>
        <v>0</v>
      </c>
      <c r="L822" s="40"/>
      <c r="M822" s="68">
        <f>IF(F822="I",SUMIF('BG 2020'!B:B,Clasificaciones!C822,'BG 2020'!E:E),0)</f>
        <v>0</v>
      </c>
    </row>
    <row r="823" spans="1:13" s="166" customFormat="1" ht="12" customHeight="1">
      <c r="A823" s="163" t="s">
        <v>232</v>
      </c>
      <c r="B823" s="163"/>
      <c r="C823" s="164">
        <v>51310</v>
      </c>
      <c r="D823" s="164" t="s">
        <v>315</v>
      </c>
      <c r="E823" s="165" t="s">
        <v>6</v>
      </c>
      <c r="F823" s="165" t="s">
        <v>343</v>
      </c>
      <c r="G823" s="47">
        <f>IF(F823="I",IFERROR(VLOOKUP(C823,'BG 2021'!A:C,3,FALSE),0),0)</f>
        <v>0</v>
      </c>
      <c r="H823" s="163"/>
      <c r="I823" s="68">
        <f>IF(F823="I",IFERROR(VLOOKUP(C823,'BG 2021'!A:D,4,FALSE),0),0)</f>
        <v>0</v>
      </c>
      <c r="J823" s="40"/>
      <c r="K823" s="47">
        <f>IF(F823="I",SUMIF('BG 2020'!B:B,Clasificaciones!C823,'BG 2020'!D:D),0)</f>
        <v>0</v>
      </c>
      <c r="L823" s="40"/>
      <c r="M823" s="68">
        <f>IF(F823="I",SUMIF('BG 2020'!B:B,Clasificaciones!C823,'BG 2020'!E:E),0)</f>
        <v>0</v>
      </c>
    </row>
    <row r="824" spans="1:13" s="166" customFormat="1" ht="12" customHeight="1">
      <c r="A824" s="163" t="s">
        <v>232</v>
      </c>
      <c r="B824" s="163" t="s">
        <v>730</v>
      </c>
      <c r="C824" s="164">
        <v>5131001</v>
      </c>
      <c r="D824" s="164" t="s">
        <v>1224</v>
      </c>
      <c r="E824" s="165" t="s">
        <v>6</v>
      </c>
      <c r="F824" s="165" t="s">
        <v>344</v>
      </c>
      <c r="G824" s="47">
        <f>IF(F824="I",IFERROR(VLOOKUP(C824,'BG 2021'!A:C,3,FALSE),0),0)</f>
        <v>3734386</v>
      </c>
      <c r="H824" s="163" t="s">
        <v>730</v>
      </c>
      <c r="I824" s="68">
        <f>IF(F824="I",IFERROR(VLOOKUP(C824,'BG 2021'!A:D,4,FALSE),0),0)</f>
        <v>542.71</v>
      </c>
      <c r="J824" s="40"/>
      <c r="K824" s="47">
        <f>IF(F824="I",SUMIF('BG 2020'!B:B,Clasificaciones!C824,'BG 2020'!D:D),0)</f>
        <v>0</v>
      </c>
      <c r="L824" s="40"/>
      <c r="M824" s="68">
        <f>IF(F824="I",SUMIF('BG 2020'!B:B,Clasificaciones!C824,'BG 2020'!E:E),0)</f>
        <v>0</v>
      </c>
    </row>
    <row r="825" spans="1:13" s="166" customFormat="1" ht="12" customHeight="1">
      <c r="A825" s="163" t="s">
        <v>232</v>
      </c>
      <c r="B825" s="163" t="s">
        <v>730</v>
      </c>
      <c r="C825" s="164">
        <v>5131002</v>
      </c>
      <c r="D825" s="164" t="s">
        <v>949</v>
      </c>
      <c r="E825" s="165" t="s">
        <v>6</v>
      </c>
      <c r="F825" s="165" t="s">
        <v>344</v>
      </c>
      <c r="G825" s="47">
        <f>IF(F825="I",IFERROR(VLOOKUP(C825,'BG 2021'!A:C,3,FALSE),0),0)</f>
        <v>18402316</v>
      </c>
      <c r="H825" s="163" t="s">
        <v>730</v>
      </c>
      <c r="I825" s="68">
        <f>IF(F825="I",IFERROR(VLOOKUP(C825,'BG 2021'!A:D,4,FALSE),0),0)</f>
        <v>2729.75</v>
      </c>
      <c r="J825" s="40"/>
      <c r="K825" s="47">
        <f>IF(F825="I",SUMIF('BG 2020'!B:B,Clasificaciones!C825,'BG 2020'!D:D),0)</f>
        <v>3329302</v>
      </c>
      <c r="L825" s="40"/>
      <c r="M825" s="68">
        <f>IF(F825="I",SUMIF('BG 2020'!B:B,Clasificaciones!C825,'BG 2020'!E:E),0)</f>
        <v>515.13</v>
      </c>
    </row>
    <row r="826" spans="1:13" s="166" customFormat="1" ht="12" customHeight="1">
      <c r="A826" s="163" t="s">
        <v>232</v>
      </c>
      <c r="B826" s="163"/>
      <c r="C826" s="164">
        <v>5131003</v>
      </c>
      <c r="D826" s="164" t="s">
        <v>1225</v>
      </c>
      <c r="E826" s="165" t="s">
        <v>6</v>
      </c>
      <c r="F826" s="165" t="s">
        <v>344</v>
      </c>
      <c r="G826" s="47">
        <f>IF(F826="I",IFERROR(VLOOKUP(C826,'BG 2021'!A:C,3,FALSE),0),0)</f>
        <v>0</v>
      </c>
      <c r="H826" s="163"/>
      <c r="I826" s="68">
        <f>IF(F826="I",IFERROR(VLOOKUP(C826,'BG 2021'!A:D,4,FALSE),0),0)</f>
        <v>0</v>
      </c>
      <c r="J826" s="40"/>
      <c r="K826" s="47">
        <f>IF(F826="I",SUMIF('BG 2020'!B:B,Clasificaciones!C826,'BG 2020'!D:D),0)</f>
        <v>0</v>
      </c>
      <c r="L826" s="40"/>
      <c r="M826" s="68">
        <f>IF(F826="I",SUMIF('BG 2020'!B:B,Clasificaciones!C826,'BG 2020'!E:E),0)</f>
        <v>0</v>
      </c>
    </row>
    <row r="827" spans="1:13" s="166" customFormat="1" ht="12" customHeight="1">
      <c r="A827" s="163" t="s">
        <v>232</v>
      </c>
      <c r="B827" s="163"/>
      <c r="C827" s="164">
        <v>5131004</v>
      </c>
      <c r="D827" s="164" t="s">
        <v>1226</v>
      </c>
      <c r="E827" s="165" t="s">
        <v>6</v>
      </c>
      <c r="F827" s="165" t="s">
        <v>344</v>
      </c>
      <c r="G827" s="47">
        <f>IF(F827="I",IFERROR(VLOOKUP(C827,'BG 2021'!A:C,3,FALSE),0),0)</f>
        <v>0</v>
      </c>
      <c r="H827" s="163"/>
      <c r="I827" s="68">
        <f>IF(F827="I",IFERROR(VLOOKUP(C827,'BG 2021'!A:D,4,FALSE),0),0)</f>
        <v>0</v>
      </c>
      <c r="J827" s="40"/>
      <c r="K827" s="47">
        <f>IF(F827="I",SUMIF('BG 2020'!B:B,Clasificaciones!C827,'BG 2020'!D:D),0)</f>
        <v>0</v>
      </c>
      <c r="L827" s="40"/>
      <c r="M827" s="68">
        <f>IF(F827="I",SUMIF('BG 2020'!B:B,Clasificaciones!C827,'BG 2020'!E:E),0)</f>
        <v>0</v>
      </c>
    </row>
    <row r="828" spans="1:13" s="166" customFormat="1" ht="12" customHeight="1">
      <c r="A828" s="163" t="s">
        <v>232</v>
      </c>
      <c r="B828" s="163"/>
      <c r="C828" s="164">
        <v>5131005</v>
      </c>
      <c r="D828" s="164" t="s">
        <v>1227</v>
      </c>
      <c r="E828" s="165" t="s">
        <v>6</v>
      </c>
      <c r="F828" s="165" t="s">
        <v>344</v>
      </c>
      <c r="G828" s="47">
        <f>IF(F828="I",IFERROR(VLOOKUP(C828,'BG 2021'!A:C,3,FALSE),0),0)</f>
        <v>0</v>
      </c>
      <c r="H828" s="163"/>
      <c r="I828" s="68">
        <f>IF(F828="I",IFERROR(VLOOKUP(C828,'BG 2021'!A:D,4,FALSE),0),0)</f>
        <v>0</v>
      </c>
      <c r="J828" s="40"/>
      <c r="K828" s="47">
        <f>IF(F828="I",SUMIF('BG 2020'!B:B,Clasificaciones!C828,'BG 2020'!D:D),0)</f>
        <v>0</v>
      </c>
      <c r="L828" s="40"/>
      <c r="M828" s="68">
        <f>IF(F828="I",SUMIF('BG 2020'!B:B,Clasificaciones!C828,'BG 2020'!E:E),0)</f>
        <v>0</v>
      </c>
    </row>
    <row r="829" spans="1:13" s="166" customFormat="1" ht="12" customHeight="1">
      <c r="A829" s="163" t="s">
        <v>232</v>
      </c>
      <c r="B829" s="163" t="s">
        <v>730</v>
      </c>
      <c r="C829" s="164">
        <v>5131006</v>
      </c>
      <c r="D829" s="164" t="s">
        <v>950</v>
      </c>
      <c r="E829" s="165" t="s">
        <v>6</v>
      </c>
      <c r="F829" s="165" t="s">
        <v>344</v>
      </c>
      <c r="G829" s="47">
        <f>IF(F829="I",IFERROR(VLOOKUP(C829,'BG 2021'!A:C,3,FALSE),0),0)</f>
        <v>18371206</v>
      </c>
      <c r="H829" s="163" t="s">
        <v>730</v>
      </c>
      <c r="I829" s="68">
        <f>IF(F829="I",IFERROR(VLOOKUP(C829,'BG 2021'!A:D,4,FALSE),0),0)</f>
        <v>2703.4700000000003</v>
      </c>
      <c r="J829" s="40"/>
      <c r="K829" s="47">
        <f>IF(F829="I",SUMIF('BG 2020'!B:B,Clasificaciones!C829,'BG 2020'!D:D),0)</f>
        <v>55955088</v>
      </c>
      <c r="L829" s="40"/>
      <c r="M829" s="68">
        <f>IF(F829="I",SUMIF('BG 2020'!B:B,Clasificaciones!C829,'BG 2020'!E:E),0)</f>
        <v>8127.1399999999994</v>
      </c>
    </row>
    <row r="830" spans="1:13" s="166" customFormat="1" ht="12" customHeight="1">
      <c r="A830" s="163" t="s">
        <v>232</v>
      </c>
      <c r="B830" s="163" t="s">
        <v>730</v>
      </c>
      <c r="C830" s="164">
        <v>5131007</v>
      </c>
      <c r="D830" s="164" t="s">
        <v>1603</v>
      </c>
      <c r="E830" s="165" t="s">
        <v>6</v>
      </c>
      <c r="F830" s="165" t="s">
        <v>344</v>
      </c>
      <c r="G830" s="47">
        <f>IF(F830="I",IFERROR(VLOOKUP(C830,'BG 2021'!A:C,3,FALSE),0),0)</f>
        <v>2126191</v>
      </c>
      <c r="H830" s="163" t="s">
        <v>730</v>
      </c>
      <c r="I830" s="68">
        <f>IF(F830="I",IFERROR(VLOOKUP(C830,'BG 2021'!A:D,4,FALSE),0),0)</f>
        <v>312.72000000000003</v>
      </c>
      <c r="J830" s="40"/>
      <c r="K830" s="47">
        <f>IF(F830="I",SUMIF('BG 2020'!B:B,Clasificaciones!C830,'BG 2020'!D:D),0)</f>
        <v>4355762</v>
      </c>
      <c r="L830" s="40"/>
      <c r="M830" s="68">
        <f>IF(F830="I",SUMIF('BG 2020'!B:B,Clasificaciones!C830,'BG 2020'!E:E),0)</f>
        <v>665.05</v>
      </c>
    </row>
    <row r="831" spans="1:13" s="166" customFormat="1" ht="12" customHeight="1">
      <c r="A831" s="163" t="s">
        <v>232</v>
      </c>
      <c r="B831" s="163" t="s">
        <v>51</v>
      </c>
      <c r="C831" s="164">
        <v>5131008</v>
      </c>
      <c r="D831" s="164" t="s">
        <v>1228</v>
      </c>
      <c r="E831" s="165" t="s">
        <v>6</v>
      </c>
      <c r="F831" s="165" t="s">
        <v>344</v>
      </c>
      <c r="G831" s="47">
        <f>IF(F831="I",IFERROR(VLOOKUP(C831,'BG 2021'!A:C,3,FALSE),0),0)</f>
        <v>3474050</v>
      </c>
      <c r="H831" s="163" t="s">
        <v>51</v>
      </c>
      <c r="I831" s="68">
        <f>IF(F831="I",IFERROR(VLOOKUP(C831,'BG 2021'!A:D,4,FALSE),0),0)</f>
        <v>505.17</v>
      </c>
      <c r="J831" s="40"/>
      <c r="K831" s="47">
        <f>IF(F831="I",SUMIF('BG 2020'!B:B,Clasificaciones!C831,'BG 2020'!D:D),0)</f>
        <v>0</v>
      </c>
      <c r="L831" s="40"/>
      <c r="M831" s="68">
        <f>IF(F831="I",SUMIF('BG 2020'!B:B,Clasificaciones!C831,'BG 2020'!E:E),0)</f>
        <v>0</v>
      </c>
    </row>
    <row r="832" spans="1:13" s="166" customFormat="1" ht="12" customHeight="1">
      <c r="A832" s="163" t="s">
        <v>232</v>
      </c>
      <c r="B832" s="163"/>
      <c r="C832" s="164">
        <v>5131009</v>
      </c>
      <c r="D832" s="164" t="s">
        <v>1229</v>
      </c>
      <c r="E832" s="165" t="s">
        <v>6</v>
      </c>
      <c r="F832" s="165" t="s">
        <v>344</v>
      </c>
      <c r="G832" s="47">
        <f>IF(F832="I",IFERROR(VLOOKUP(C832,'BG 2021'!A:C,3,FALSE),0),0)</f>
        <v>0</v>
      </c>
      <c r="H832" s="163"/>
      <c r="I832" s="68">
        <f>IF(F832="I",IFERROR(VLOOKUP(C832,'BG 2021'!A:D,4,FALSE),0),0)</f>
        <v>0</v>
      </c>
      <c r="J832" s="40"/>
      <c r="K832" s="47">
        <f>IF(F832="I",SUMIF('BG 2020'!B:B,Clasificaciones!C832,'BG 2020'!D:D),0)</f>
        <v>0</v>
      </c>
      <c r="L832" s="40"/>
      <c r="M832" s="68">
        <f>IF(F832="I",SUMIF('BG 2020'!B:B,Clasificaciones!C832,'BG 2020'!E:E),0)</f>
        <v>0</v>
      </c>
    </row>
    <row r="833" spans="1:13" s="166" customFormat="1" ht="12" customHeight="1">
      <c r="A833" s="163" t="s">
        <v>232</v>
      </c>
      <c r="B833" s="163" t="s">
        <v>730</v>
      </c>
      <c r="C833" s="164">
        <v>5131010</v>
      </c>
      <c r="D833" s="164" t="s">
        <v>215</v>
      </c>
      <c r="E833" s="165" t="s">
        <v>6</v>
      </c>
      <c r="F833" s="165" t="s">
        <v>344</v>
      </c>
      <c r="G833" s="47">
        <f>IF(F833="I",IFERROR(VLOOKUP(C833,'BG 2021'!A:C,3,FALSE),0),0)</f>
        <v>11468800</v>
      </c>
      <c r="H833" s="163" t="s">
        <v>730</v>
      </c>
      <c r="I833" s="68">
        <f>IF(F833="I",IFERROR(VLOOKUP(C833,'BG 2021'!A:D,4,FALSE),0),0)</f>
        <v>1663.49</v>
      </c>
      <c r="J833" s="40"/>
      <c r="K833" s="47">
        <f>IF(F833="I",SUMIF('BG 2020'!B:B,Clasificaciones!C833,'BG 2020'!D:D),0)</f>
        <v>400000</v>
      </c>
      <c r="L833" s="40"/>
      <c r="M833" s="68">
        <f>IF(F833="I",SUMIF('BG 2020'!B:B,Clasificaciones!C833,'BG 2020'!E:E),0)</f>
        <v>61.28</v>
      </c>
    </row>
    <row r="834" spans="1:13" s="166" customFormat="1" ht="12" customHeight="1">
      <c r="A834" s="163" t="s">
        <v>232</v>
      </c>
      <c r="B834" s="163"/>
      <c r="C834" s="164">
        <v>5131011</v>
      </c>
      <c r="D834" s="164" t="s">
        <v>1230</v>
      </c>
      <c r="E834" s="165" t="s">
        <v>6</v>
      </c>
      <c r="F834" s="165" t="s">
        <v>344</v>
      </c>
      <c r="G834" s="47">
        <f>IF(F834="I",IFERROR(VLOOKUP(C834,'BG 2021'!A:C,3,FALSE),0),0)</f>
        <v>0</v>
      </c>
      <c r="H834" s="163"/>
      <c r="I834" s="68">
        <f>IF(F834="I",IFERROR(VLOOKUP(C834,'BG 2021'!A:D,4,FALSE),0),0)</f>
        <v>0</v>
      </c>
      <c r="J834" s="40"/>
      <c r="K834" s="47">
        <f>IF(F834="I",SUMIF('BG 2020'!B:B,Clasificaciones!C834,'BG 2020'!D:D),0)</f>
        <v>0</v>
      </c>
      <c r="L834" s="40"/>
      <c r="M834" s="68">
        <f>IF(F834="I",SUMIF('BG 2020'!B:B,Clasificaciones!C834,'BG 2020'!E:E),0)</f>
        <v>0</v>
      </c>
    </row>
    <row r="835" spans="1:13" s="166" customFormat="1" ht="12" customHeight="1">
      <c r="A835" s="163" t="s">
        <v>232</v>
      </c>
      <c r="B835" s="163" t="s">
        <v>51</v>
      </c>
      <c r="C835" s="164">
        <v>5131012</v>
      </c>
      <c r="D835" s="164" t="s">
        <v>951</v>
      </c>
      <c r="E835" s="165" t="s">
        <v>6</v>
      </c>
      <c r="F835" s="165" t="s">
        <v>344</v>
      </c>
      <c r="G835" s="47">
        <f>IF(F835="I",IFERROR(VLOOKUP(C835,'BG 2021'!A:C,3,FALSE),0),0)</f>
        <v>24551374</v>
      </c>
      <c r="H835" s="163" t="s">
        <v>51</v>
      </c>
      <c r="I835" s="68">
        <f>IF(F835="I",IFERROR(VLOOKUP(C835,'BG 2021'!A:D,4,FALSE),0),0)</f>
        <v>3667.59</v>
      </c>
      <c r="J835" s="40"/>
      <c r="K835" s="47">
        <f>IF(F835="I",SUMIF('BG 2020'!B:B,Clasificaciones!C835,'BG 2020'!D:D),0)</f>
        <v>5736362</v>
      </c>
      <c r="L835" s="40"/>
      <c r="M835" s="68">
        <f>IF(F835="I",SUMIF('BG 2020'!B:B,Clasificaciones!C835,'BG 2020'!E:E),0)</f>
        <v>818.83</v>
      </c>
    </row>
    <row r="836" spans="1:13" s="166" customFormat="1" ht="12" customHeight="1">
      <c r="A836" s="163" t="s">
        <v>232</v>
      </c>
      <c r="B836" s="163"/>
      <c r="C836" s="164">
        <v>5131013</v>
      </c>
      <c r="D836" s="164" t="s">
        <v>1231</v>
      </c>
      <c r="E836" s="165" t="s">
        <v>6</v>
      </c>
      <c r="F836" s="165" t="s">
        <v>344</v>
      </c>
      <c r="G836" s="47">
        <f>IF(F836="I",IFERROR(VLOOKUP(C836,'BG 2021'!A:C,3,FALSE),0),0)</f>
        <v>0</v>
      </c>
      <c r="H836" s="163"/>
      <c r="I836" s="68">
        <f>IF(F836="I",IFERROR(VLOOKUP(C836,'BG 2021'!A:D,4,FALSE),0),0)</f>
        <v>0</v>
      </c>
      <c r="J836" s="40"/>
      <c r="K836" s="47">
        <f>IF(F836="I",SUMIF('BG 2020'!B:B,Clasificaciones!C836,'BG 2020'!D:D),0)</f>
        <v>0</v>
      </c>
      <c r="L836" s="40"/>
      <c r="M836" s="68">
        <f>IF(F836="I",SUMIF('BG 2020'!B:B,Clasificaciones!C836,'BG 2020'!E:E),0)</f>
        <v>0</v>
      </c>
    </row>
    <row r="837" spans="1:13" s="166" customFormat="1" ht="12" customHeight="1">
      <c r="A837" s="163" t="s">
        <v>232</v>
      </c>
      <c r="B837" s="163" t="s">
        <v>51</v>
      </c>
      <c r="C837" s="164">
        <v>5131014</v>
      </c>
      <c r="D837" s="164" t="s">
        <v>952</v>
      </c>
      <c r="E837" s="165" t="s">
        <v>6</v>
      </c>
      <c r="F837" s="165" t="s">
        <v>344</v>
      </c>
      <c r="G837" s="47">
        <f>IF(F837="I",IFERROR(VLOOKUP(C837,'BG 2021'!A:C,3,FALSE),0),0)</f>
        <v>19788235</v>
      </c>
      <c r="H837" s="163" t="s">
        <v>51</v>
      </c>
      <c r="I837" s="68">
        <f>IF(F837="I",IFERROR(VLOOKUP(C837,'BG 2021'!A:D,4,FALSE),0),0)</f>
        <v>2889.52</v>
      </c>
      <c r="J837" s="40"/>
      <c r="K837" s="47">
        <f>IF(F837="I",SUMIF('BG 2020'!B:B,Clasificaciones!C837,'BG 2020'!D:D),0)</f>
        <v>20176917</v>
      </c>
      <c r="L837" s="40"/>
      <c r="M837" s="68">
        <f>IF(F837="I",SUMIF('BG 2020'!B:B,Clasificaciones!C837,'BG 2020'!E:E),0)</f>
        <v>2889.2</v>
      </c>
    </row>
    <row r="838" spans="1:13" s="166" customFormat="1" ht="12" customHeight="1">
      <c r="A838" s="163" t="s">
        <v>232</v>
      </c>
      <c r="B838" s="163" t="s">
        <v>730</v>
      </c>
      <c r="C838" s="164">
        <v>5131015</v>
      </c>
      <c r="D838" s="164" t="s">
        <v>300</v>
      </c>
      <c r="E838" s="165" t="s">
        <v>6</v>
      </c>
      <c r="F838" s="165" t="s">
        <v>344</v>
      </c>
      <c r="G838" s="47">
        <f>IF(F838="I",IFERROR(VLOOKUP(C838,'BG 2021'!A:C,3,FALSE),0),0)</f>
        <v>30091636</v>
      </c>
      <c r="H838" s="163" t="s">
        <v>730</v>
      </c>
      <c r="I838" s="68">
        <f>IF(F838="I",IFERROR(VLOOKUP(C838,'BG 2021'!A:D,4,FALSE),0),0)</f>
        <v>4397.47</v>
      </c>
      <c r="J838" s="40"/>
      <c r="K838" s="47">
        <f>IF(F838="I",SUMIF('BG 2020'!B:B,Clasificaciones!C838,'BG 2020'!D:D),0)</f>
        <v>32340909</v>
      </c>
      <c r="L838" s="40"/>
      <c r="M838" s="68">
        <f>IF(F838="I",SUMIF('BG 2020'!B:B,Clasificaciones!C838,'BG 2020'!E:E),0)</f>
        <v>4759.63</v>
      </c>
    </row>
    <row r="839" spans="1:13" s="166" customFormat="1" ht="12" customHeight="1">
      <c r="A839" s="163" t="s">
        <v>232</v>
      </c>
      <c r="B839" s="163" t="s">
        <v>730</v>
      </c>
      <c r="C839" s="164">
        <v>5131016</v>
      </c>
      <c r="D839" s="164" t="s">
        <v>302</v>
      </c>
      <c r="E839" s="165" t="s">
        <v>6</v>
      </c>
      <c r="F839" s="165" t="s">
        <v>344</v>
      </c>
      <c r="G839" s="47">
        <f>IF(F839="I",IFERROR(VLOOKUP(C839,'BG 2021'!A:C,3,FALSE),0),0)</f>
        <v>872727</v>
      </c>
      <c r="H839" s="163" t="s">
        <v>730</v>
      </c>
      <c r="I839" s="68">
        <f>IF(F839="I",IFERROR(VLOOKUP(C839,'BG 2021'!A:D,4,FALSE),0),0)</f>
        <v>135.59</v>
      </c>
      <c r="J839" s="40"/>
      <c r="K839" s="47">
        <f>IF(F839="I",SUMIF('BG 2020'!B:B,Clasificaciones!C839,'BG 2020'!D:D),0)</f>
        <v>950000</v>
      </c>
      <c r="L839" s="40"/>
      <c r="M839" s="68">
        <f>IF(F839="I",SUMIF('BG 2020'!B:B,Clasificaciones!C839,'BG 2020'!E:E),0)</f>
        <v>141.02000000000001</v>
      </c>
    </row>
    <row r="840" spans="1:13" s="166" customFormat="1" ht="12" customHeight="1">
      <c r="A840" s="163" t="s">
        <v>232</v>
      </c>
      <c r="B840" s="163"/>
      <c r="C840" s="164">
        <v>5131017</v>
      </c>
      <c r="D840" s="164" t="s">
        <v>634</v>
      </c>
      <c r="E840" s="165" t="s">
        <v>6</v>
      </c>
      <c r="F840" s="165" t="s">
        <v>344</v>
      </c>
      <c r="G840" s="47">
        <f>IF(F840="I",IFERROR(VLOOKUP(C840,'BG 2021'!A:C,3,FALSE),0),0)</f>
        <v>0</v>
      </c>
      <c r="H840" s="163"/>
      <c r="I840" s="68">
        <f>IF(F840="I",IFERROR(VLOOKUP(C840,'BG 2021'!A:D,4,FALSE),0),0)</f>
        <v>0</v>
      </c>
      <c r="J840" s="40"/>
      <c r="K840" s="47">
        <f>IF(F840="I",SUMIF('BG 2020'!B:B,Clasificaciones!C840,'BG 2020'!D:D),0)</f>
        <v>0</v>
      </c>
      <c r="L840" s="40"/>
      <c r="M840" s="68">
        <f>IF(F840="I",SUMIF('BG 2020'!B:B,Clasificaciones!C840,'BG 2020'!E:E),0)</f>
        <v>0</v>
      </c>
    </row>
    <row r="841" spans="1:13" s="166" customFormat="1" ht="12" customHeight="1">
      <c r="A841" s="163" t="s">
        <v>232</v>
      </c>
      <c r="B841" s="163" t="s">
        <v>730</v>
      </c>
      <c r="C841" s="164">
        <v>5131018</v>
      </c>
      <c r="D841" s="164" t="s">
        <v>953</v>
      </c>
      <c r="E841" s="165" t="s">
        <v>6</v>
      </c>
      <c r="F841" s="165" t="s">
        <v>344</v>
      </c>
      <c r="G841" s="47">
        <f>IF(F841="I",IFERROR(VLOOKUP(C841,'BG 2021'!A:C,3,FALSE),0),0)</f>
        <v>0</v>
      </c>
      <c r="H841" s="163" t="s">
        <v>730</v>
      </c>
      <c r="I841" s="68">
        <f>IF(F841="I",IFERROR(VLOOKUP(C841,'BG 2021'!A:D,4,FALSE),0),0)</f>
        <v>0</v>
      </c>
      <c r="J841" s="40"/>
      <c r="K841" s="47">
        <f>IF(F841="I",SUMIF('BG 2020'!B:B,Clasificaciones!C841,'BG 2020'!D:D),0)</f>
        <v>0</v>
      </c>
      <c r="L841" s="40"/>
      <c r="M841" s="68">
        <f>IF(F841="I",SUMIF('BG 2020'!B:B,Clasificaciones!C841,'BG 2020'!E:E),0)</f>
        <v>0</v>
      </c>
    </row>
    <row r="842" spans="1:13" s="166" customFormat="1" ht="12" customHeight="1">
      <c r="A842" s="163" t="s">
        <v>232</v>
      </c>
      <c r="B842" s="163" t="s">
        <v>730</v>
      </c>
      <c r="C842" s="164">
        <v>5131019</v>
      </c>
      <c r="D842" s="164" t="s">
        <v>500</v>
      </c>
      <c r="E842" s="165" t="s">
        <v>6</v>
      </c>
      <c r="F842" s="165" t="s">
        <v>344</v>
      </c>
      <c r="G842" s="47">
        <f>IF(F842="I",IFERROR(VLOOKUP(C842,'BG 2021'!A:C,3,FALSE),0),0)</f>
        <v>5172724</v>
      </c>
      <c r="H842" s="163" t="s">
        <v>730</v>
      </c>
      <c r="I842" s="68">
        <f>IF(F842="I",IFERROR(VLOOKUP(C842,'BG 2021'!A:D,4,FALSE),0),0)</f>
        <v>765.72</v>
      </c>
      <c r="J842" s="40"/>
      <c r="K842" s="47">
        <f>IF(F842="I",SUMIF('BG 2020'!B:B,Clasificaciones!C842,'BG 2020'!D:D),0)</f>
        <v>3909140</v>
      </c>
      <c r="L842" s="40"/>
      <c r="M842" s="68">
        <f>IF(F842="I",SUMIF('BG 2020'!B:B,Clasificaciones!C842,'BG 2020'!E:E),0)</f>
        <v>575.21</v>
      </c>
    </row>
    <row r="843" spans="1:13" s="166" customFormat="1" ht="12" customHeight="1">
      <c r="A843" s="163" t="s">
        <v>232</v>
      </c>
      <c r="B843" s="163" t="s">
        <v>730</v>
      </c>
      <c r="C843" s="164">
        <v>5131020</v>
      </c>
      <c r="D843" s="164" t="s">
        <v>1374</v>
      </c>
      <c r="E843" s="165" t="s">
        <v>6</v>
      </c>
      <c r="F843" s="165" t="s">
        <v>344</v>
      </c>
      <c r="G843" s="47">
        <f>IF(F843="I",IFERROR(VLOOKUP(C843,'BG 2021'!A:C,3,FALSE),0),0)</f>
        <v>50000000</v>
      </c>
      <c r="H843" s="163" t="s">
        <v>730</v>
      </c>
      <c r="I843" s="68">
        <f>IF(F843="I",IFERROR(VLOOKUP(C843,'BG 2021'!A:D,4,FALSE),0),0)</f>
        <v>7246.28</v>
      </c>
      <c r="J843" s="40"/>
      <c r="K843" s="47">
        <f>IF(F843="I",SUMIF('BG 2020'!B:B,Clasificaciones!C843,'BG 2020'!D:D),0)</f>
        <v>0</v>
      </c>
      <c r="L843" s="40"/>
      <c r="M843" s="68">
        <f>IF(F843="I",SUMIF('BG 2020'!B:B,Clasificaciones!C843,'BG 2020'!E:E),0)</f>
        <v>0</v>
      </c>
    </row>
    <row r="844" spans="1:13" s="166" customFormat="1" ht="12" customHeight="1">
      <c r="A844" s="163" t="s">
        <v>232</v>
      </c>
      <c r="B844" s="163" t="s">
        <v>730</v>
      </c>
      <c r="C844" s="164">
        <v>5131021</v>
      </c>
      <c r="D844" s="164" t="s">
        <v>1432</v>
      </c>
      <c r="E844" s="165" t="s">
        <v>6</v>
      </c>
      <c r="F844" s="165" t="s">
        <v>344</v>
      </c>
      <c r="G844" s="47">
        <f>IF(F844="I",IFERROR(VLOOKUP(C844,'BG 2021'!A:C,3,FALSE),0),0)</f>
        <v>80000000</v>
      </c>
      <c r="H844" s="163" t="s">
        <v>730</v>
      </c>
      <c r="I844" s="68">
        <f>IF(F844="I",IFERROR(VLOOKUP(C844,'BG 2021'!A:D,4,FALSE),0),0)</f>
        <v>11615.41</v>
      </c>
      <c r="J844" s="40"/>
      <c r="K844" s="47">
        <f>IF(F844="I",SUMIF('BG 2020'!B:B,Clasificaciones!C844,'BG 2020'!D:D),0)</f>
        <v>0</v>
      </c>
      <c r="L844" s="40"/>
      <c r="M844" s="68">
        <f>IF(F844="I",SUMIF('BG 2020'!B:B,Clasificaciones!C844,'BG 2020'!E:E),0)</f>
        <v>0</v>
      </c>
    </row>
    <row r="845" spans="1:13" s="166" customFormat="1" ht="12" customHeight="1">
      <c r="A845" s="163" t="s">
        <v>232</v>
      </c>
      <c r="B845" s="163" t="s">
        <v>730</v>
      </c>
      <c r="C845" s="164">
        <v>5131099</v>
      </c>
      <c r="D845" s="164" t="s">
        <v>1232</v>
      </c>
      <c r="E845" s="165" t="s">
        <v>6</v>
      </c>
      <c r="F845" s="165" t="s">
        <v>344</v>
      </c>
      <c r="G845" s="47">
        <f>IF(F845="I",IFERROR(VLOOKUP(C845,'BG 2021'!A:C,3,FALSE),0),0)</f>
        <v>7985757</v>
      </c>
      <c r="H845" s="163" t="s">
        <v>730</v>
      </c>
      <c r="I845" s="68">
        <f>IF(F845="I",IFERROR(VLOOKUP(C845,'BG 2021'!A:D,4,FALSE),0),0)</f>
        <v>1163.51</v>
      </c>
      <c r="J845" s="40"/>
      <c r="K845" s="47">
        <f>IF(F845="I",SUMIF('BG 2020'!B:B,Clasificaciones!C845,'BG 2020'!D:D),0)</f>
        <v>0</v>
      </c>
      <c r="L845" s="40"/>
      <c r="M845" s="68">
        <f>IF(F845="I",SUMIF('BG 2020'!B:B,Clasificaciones!C845,'BG 2020'!E:E),0)</f>
        <v>0</v>
      </c>
    </row>
    <row r="846" spans="1:13" s="166" customFormat="1" ht="12" customHeight="1">
      <c r="A846" s="163" t="s">
        <v>232</v>
      </c>
      <c r="B846" s="163"/>
      <c r="C846" s="164">
        <v>514</v>
      </c>
      <c r="D846" s="164" t="s">
        <v>954</v>
      </c>
      <c r="E846" s="165" t="s">
        <v>6</v>
      </c>
      <c r="F846" s="165" t="s">
        <v>343</v>
      </c>
      <c r="G846" s="47">
        <f>IF(F846="I",IFERROR(VLOOKUP(C846,'BG 2021'!A:C,3,FALSE),0),0)</f>
        <v>0</v>
      </c>
      <c r="H846" s="163"/>
      <c r="I846" s="68">
        <f>IF(F846="I",IFERROR(VLOOKUP(C846,'BG 2021'!A:D,4,FALSE),0),0)</f>
        <v>0</v>
      </c>
      <c r="J846" s="40"/>
      <c r="K846" s="47">
        <f>IF(F846="I",SUMIF('BG 2020'!B:B,Clasificaciones!C846,'BG 2020'!D:D),0)</f>
        <v>0</v>
      </c>
      <c r="L846" s="40"/>
      <c r="M846" s="68">
        <f>IF(F846="I",SUMIF('BG 2020'!B:B,Clasificaciones!C846,'BG 2020'!E:E),0)</f>
        <v>0</v>
      </c>
    </row>
    <row r="847" spans="1:13" s="166" customFormat="1">
      <c r="A847" s="163" t="s">
        <v>232</v>
      </c>
      <c r="B847" s="163"/>
      <c r="C847" s="164">
        <v>51401</v>
      </c>
      <c r="D847" s="164" t="s">
        <v>1233</v>
      </c>
      <c r="E847" s="165" t="s">
        <v>6</v>
      </c>
      <c r="F847" s="165" t="s">
        <v>344</v>
      </c>
      <c r="G847" s="47">
        <f>IF(F847="I",IFERROR(VLOOKUP(C847,'BG 2021'!A:C,3,FALSE),0),0)</f>
        <v>0</v>
      </c>
      <c r="H847" s="163"/>
      <c r="I847" s="68">
        <f>IF(F847="I",IFERROR(VLOOKUP(C847,'BG 2021'!A:D,4,FALSE),0),0)</f>
        <v>0</v>
      </c>
      <c r="J847" s="40"/>
      <c r="K847" s="47">
        <f>IF(F847="I",SUMIF('BG 2020'!B:B,Clasificaciones!C847,'BG 2020'!D:D),0)</f>
        <v>0</v>
      </c>
      <c r="L847" s="40"/>
      <c r="M847" s="68">
        <f>IF(F847="I",SUMIF('BG 2020'!B:B,Clasificaciones!C847,'BG 2020'!E:E),0)</f>
        <v>0</v>
      </c>
    </row>
    <row r="848" spans="1:13" s="166" customFormat="1">
      <c r="A848" s="163" t="s">
        <v>232</v>
      </c>
      <c r="B848" s="163"/>
      <c r="C848" s="164">
        <v>51402</v>
      </c>
      <c r="D848" s="164" t="s">
        <v>1234</v>
      </c>
      <c r="E848" s="165" t="s">
        <v>6</v>
      </c>
      <c r="F848" s="165" t="s">
        <v>344</v>
      </c>
      <c r="G848" s="47">
        <f>IF(F848="I",IFERROR(VLOOKUP(C848,'BG 2021'!A:C,3,FALSE),0),0)</f>
        <v>0</v>
      </c>
      <c r="H848" s="163"/>
      <c r="I848" s="68">
        <f>IF(F848="I",IFERROR(VLOOKUP(C848,'BG 2021'!A:D,4,FALSE),0),0)</f>
        <v>0</v>
      </c>
      <c r="J848" s="40"/>
      <c r="K848" s="47">
        <f>IF(F848="I",SUMIF('BG 2020'!B:B,Clasificaciones!C848,'BG 2020'!D:D),0)</f>
        <v>0</v>
      </c>
      <c r="L848" s="40"/>
      <c r="M848" s="68">
        <f>IF(F848="I",SUMIF('BG 2020'!B:B,Clasificaciones!C848,'BG 2020'!E:E),0)</f>
        <v>0</v>
      </c>
    </row>
    <row r="849" spans="1:13" s="166" customFormat="1">
      <c r="A849" s="163" t="s">
        <v>232</v>
      </c>
      <c r="B849" s="163" t="s">
        <v>239</v>
      </c>
      <c r="C849" s="164">
        <v>51403</v>
      </c>
      <c r="D849" s="164" t="s">
        <v>221</v>
      </c>
      <c r="E849" s="165" t="s">
        <v>6</v>
      </c>
      <c r="F849" s="165" t="s">
        <v>344</v>
      </c>
      <c r="G849" s="47">
        <f>IF(F849="I",IFERROR(VLOOKUP(C849,'BG 2021'!A:C,3,FALSE),0),0)</f>
        <v>2449436</v>
      </c>
      <c r="H849" s="163" t="s">
        <v>239</v>
      </c>
      <c r="I849" s="68">
        <f>IF(F849="I",IFERROR(VLOOKUP(C849,'BG 2021'!A:D,4,FALSE),0),0)</f>
        <v>357.92</v>
      </c>
      <c r="J849" s="40"/>
      <c r="K849" s="47">
        <f>IF(F849="I",SUMIF('BG 2020'!B:B,Clasificaciones!C849,'BG 2020'!D:D),0)</f>
        <v>0</v>
      </c>
      <c r="L849" s="40"/>
      <c r="M849" s="68">
        <f>IF(F849="I",SUMIF('BG 2020'!B:B,Clasificaciones!C849,'BG 2020'!E:E),0)</f>
        <v>0</v>
      </c>
    </row>
    <row r="850" spans="1:13" s="166" customFormat="1" ht="12" customHeight="1">
      <c r="A850" s="163" t="s">
        <v>232</v>
      </c>
      <c r="B850" s="163" t="s">
        <v>239</v>
      </c>
      <c r="C850" s="164">
        <v>51404</v>
      </c>
      <c r="D850" s="164" t="s">
        <v>955</v>
      </c>
      <c r="E850" s="165" t="s">
        <v>6</v>
      </c>
      <c r="F850" s="165" t="s">
        <v>344</v>
      </c>
      <c r="G850" s="47">
        <f>IF(F850="I",IFERROR(VLOOKUP(C850,'BG 2021'!A:C,3,FALSE),0),0)</f>
        <v>275148568</v>
      </c>
      <c r="H850" s="163" t="s">
        <v>239</v>
      </c>
      <c r="I850" s="68">
        <f>IF(F850="I",IFERROR(VLOOKUP(C850,'BG 2021'!A:D,4,FALSE),0),0)</f>
        <v>40899.279999999999</v>
      </c>
      <c r="J850" s="40"/>
      <c r="K850" s="47">
        <f>IF(F850="I",SUMIF('BG 2020'!B:B,Clasificaciones!C850,'BG 2020'!D:D),0)</f>
        <v>196772299</v>
      </c>
      <c r="L850" s="40"/>
      <c r="M850" s="68">
        <f>IF(F850="I",SUMIF('BG 2020'!B:B,Clasificaciones!C850,'BG 2020'!E:E),0)</f>
        <v>28341.79</v>
      </c>
    </row>
    <row r="851" spans="1:13" s="166" customFormat="1" ht="12" customHeight="1">
      <c r="A851" s="163" t="s">
        <v>232</v>
      </c>
      <c r="B851" s="163" t="s">
        <v>730</v>
      </c>
      <c r="C851" s="164">
        <v>51405</v>
      </c>
      <c r="D851" s="164" t="s">
        <v>80</v>
      </c>
      <c r="E851" s="165" t="s">
        <v>6</v>
      </c>
      <c r="F851" s="165" t="s">
        <v>344</v>
      </c>
      <c r="G851" s="47">
        <f>IF(F851="I",IFERROR(VLOOKUP(C851,'BG 2021'!A:C,3,FALSE),0),0)</f>
        <v>10219309</v>
      </c>
      <c r="H851" s="163" t="s">
        <v>730</v>
      </c>
      <c r="I851" s="68">
        <f>IF(F851="I",IFERROR(VLOOKUP(C851,'BG 2021'!A:D,4,FALSE),0),0)</f>
        <v>1545.16</v>
      </c>
      <c r="J851" s="40"/>
      <c r="K851" s="47">
        <f>IF(F851="I",SUMIF('BG 2020'!B:B,Clasificaciones!C851,'BG 2020'!D:D),0)</f>
        <v>0</v>
      </c>
      <c r="L851" s="40"/>
      <c r="M851" s="68">
        <f>IF(F851="I",SUMIF('BG 2020'!B:B,Clasificaciones!C851,'BG 2020'!E:E),0)</f>
        <v>0</v>
      </c>
    </row>
    <row r="852" spans="1:13" s="166" customFormat="1" ht="12" customHeight="1">
      <c r="A852" s="163" t="s">
        <v>232</v>
      </c>
      <c r="B852" s="163" t="s">
        <v>730</v>
      </c>
      <c r="C852" s="164">
        <v>51406</v>
      </c>
      <c r="D852" s="164" t="s">
        <v>956</v>
      </c>
      <c r="E852" s="165" t="s">
        <v>6</v>
      </c>
      <c r="F852" s="165" t="s">
        <v>344</v>
      </c>
      <c r="G852" s="47">
        <f>IF(F852="I",IFERROR(VLOOKUP(C852,'BG 2021'!A:C,3,FALSE),0),0)</f>
        <v>11569681</v>
      </c>
      <c r="H852" s="163" t="s">
        <v>730</v>
      </c>
      <c r="I852" s="68">
        <f>IF(F852="I",IFERROR(VLOOKUP(C852,'BG 2021'!A:D,4,FALSE),0),0)</f>
        <v>1679.27</v>
      </c>
      <c r="J852" s="40"/>
      <c r="K852" s="47">
        <f>IF(F852="I",SUMIF('BG 2020'!B:B,Clasificaciones!C852,'BG 2020'!D:D),0)</f>
        <v>13255937</v>
      </c>
      <c r="L852" s="40"/>
      <c r="M852" s="68">
        <f>IF(F852="I",SUMIF('BG 2020'!B:B,Clasificaciones!C852,'BG 2020'!E:E),0)</f>
        <v>1930.96</v>
      </c>
    </row>
    <row r="853" spans="1:13" s="166" customFormat="1" ht="12" customHeight="1">
      <c r="A853" s="163" t="s">
        <v>232</v>
      </c>
      <c r="B853" s="163"/>
      <c r="C853" s="164">
        <v>51407</v>
      </c>
      <c r="D853" s="164" t="s">
        <v>957</v>
      </c>
      <c r="E853" s="165" t="s">
        <v>6</v>
      </c>
      <c r="F853" s="165" t="s">
        <v>343</v>
      </c>
      <c r="G853" s="47">
        <f>IF(F853="I",IFERROR(VLOOKUP(C853,'BG 2021'!A:C,3,FALSE),0),0)</f>
        <v>0</v>
      </c>
      <c r="H853" s="163"/>
      <c r="I853" s="68">
        <f>IF(F853="I",IFERROR(VLOOKUP(C853,'BG 2021'!A:D,4,FALSE),0),0)</f>
        <v>0</v>
      </c>
      <c r="J853" s="40"/>
      <c r="K853" s="47">
        <f>IF(F853="I",SUMIF('BG 2020'!B:B,Clasificaciones!C853,'BG 2020'!D:D),0)</f>
        <v>0</v>
      </c>
      <c r="L853" s="40"/>
      <c r="M853" s="68">
        <f>IF(F853="I",SUMIF('BG 2020'!B:B,Clasificaciones!C853,'BG 2020'!E:E),0)</f>
        <v>0</v>
      </c>
    </row>
    <row r="854" spans="1:13" s="166" customFormat="1" ht="12" customHeight="1">
      <c r="A854" s="163" t="s">
        <v>232</v>
      </c>
      <c r="B854" s="163" t="s">
        <v>240</v>
      </c>
      <c r="C854" s="164">
        <v>5140701</v>
      </c>
      <c r="D854" s="164" t="s">
        <v>913</v>
      </c>
      <c r="E854" s="165" t="s">
        <v>6</v>
      </c>
      <c r="F854" s="165" t="s">
        <v>344</v>
      </c>
      <c r="G854" s="47">
        <f>IF(F854="I",IFERROR(VLOOKUP(C854,'BG 2021'!A:C,3,FALSE),0),0)</f>
        <v>2396651034</v>
      </c>
      <c r="H854" s="163" t="s">
        <v>240</v>
      </c>
      <c r="I854" s="68">
        <f>IF(F854="I",IFERROR(VLOOKUP(C854,'BG 2021'!A:D,4,FALSE),0),0)</f>
        <v>1790554.08</v>
      </c>
      <c r="J854" s="40"/>
      <c r="K854" s="47">
        <v>529877452</v>
      </c>
      <c r="L854" s="40"/>
      <c r="M854" s="68">
        <f>IF(F854="I",SUMIF('BG 2020'!B:B,Clasificaciones!C854,'BG 2020'!E:E),0)</f>
        <v>436390.63</v>
      </c>
    </row>
    <row r="855" spans="1:13" s="166" customFormat="1" ht="12" customHeight="1">
      <c r="A855" s="163" t="s">
        <v>232</v>
      </c>
      <c r="B855" s="163" t="s">
        <v>240</v>
      </c>
      <c r="C855" s="164">
        <v>5140702</v>
      </c>
      <c r="D855" s="164" t="s">
        <v>914</v>
      </c>
      <c r="E855" s="165" t="s">
        <v>6</v>
      </c>
      <c r="F855" s="165" t="s">
        <v>344</v>
      </c>
      <c r="G855" s="47">
        <f>IF(F855="I",IFERROR(VLOOKUP(C855,'BG 2021'!A:C,3,FALSE),0),0)</f>
        <v>1184316194</v>
      </c>
      <c r="H855" s="163" t="s">
        <v>240</v>
      </c>
      <c r="I855" s="68">
        <f>IF(F855="I",IFERROR(VLOOKUP(C855,'BG 2021'!A:D,4,FALSE),0),0)</f>
        <v>636243.96980000008</v>
      </c>
      <c r="J855" s="40"/>
      <c r="K855" s="47">
        <v>707154405</v>
      </c>
      <c r="L855" s="40"/>
      <c r="M855" s="68">
        <f>IF(F855="I",SUMIF('BG 2020'!B:B,Clasificaciones!C855,'BG 2020'!E:E),0)</f>
        <v>0</v>
      </c>
    </row>
    <row r="856" spans="1:13" s="166" customFormat="1" ht="12" customHeight="1">
      <c r="A856" s="163" t="s">
        <v>232</v>
      </c>
      <c r="B856" s="163"/>
      <c r="C856" s="164">
        <v>515</v>
      </c>
      <c r="D856" s="164" t="s">
        <v>304</v>
      </c>
      <c r="E856" s="165" t="s">
        <v>6</v>
      </c>
      <c r="F856" s="165" t="s">
        <v>343</v>
      </c>
      <c r="G856" s="47">
        <f>IF(F856="I",IFERROR(VLOOKUP(C856,'BG 2021'!A:C,3,FALSE),0),0)</f>
        <v>0</v>
      </c>
      <c r="H856" s="163"/>
      <c r="I856" s="68">
        <f>IF(F856="I",IFERROR(VLOOKUP(C856,'BG 2021'!A:D,4,FALSE),0),0)</f>
        <v>0</v>
      </c>
      <c r="J856" s="40"/>
      <c r="K856" s="47">
        <f>IF(F856="I",SUMIF('BG 2020'!B:B,Clasificaciones!C856,'BG 2020'!D:D),0)</f>
        <v>0</v>
      </c>
      <c r="L856" s="40"/>
      <c r="M856" s="68">
        <f>IF(F856="I",SUMIF('BG 2020'!B:B,Clasificaciones!C856,'BG 2020'!E:E),0)</f>
        <v>0</v>
      </c>
    </row>
    <row r="857" spans="1:13" s="166" customFormat="1" ht="12" customHeight="1">
      <c r="A857" s="163" t="s">
        <v>232</v>
      </c>
      <c r="B857" s="163" t="s">
        <v>734</v>
      </c>
      <c r="C857" s="164">
        <v>51501</v>
      </c>
      <c r="D857" s="164" t="s">
        <v>79</v>
      </c>
      <c r="E857" s="165" t="s">
        <v>6</v>
      </c>
      <c r="F857" s="165" t="s">
        <v>344</v>
      </c>
      <c r="G857" s="47">
        <f>IF(F857="I",IFERROR(VLOOKUP(C857,'BG 2021'!A:C,3,FALSE),0),0)</f>
        <v>152286289</v>
      </c>
      <c r="H857" s="163" t="s">
        <v>734</v>
      </c>
      <c r="I857" s="68">
        <f>IF(F857="I",IFERROR(VLOOKUP(C857,'BG 2021'!A:D,4,FALSE),0),0)</f>
        <v>23078.959999999999</v>
      </c>
      <c r="J857" s="40"/>
      <c r="K857" s="47">
        <f>IF(F857="I",SUMIF('BG 2020'!B:B,Clasificaciones!C857,'BG 2020'!D:D),0)</f>
        <v>263473906</v>
      </c>
      <c r="L857" s="40"/>
      <c r="M857" s="68">
        <f>IF(F857="I",SUMIF('BG 2020'!B:B,Clasificaciones!C857,'BG 2020'!E:E),0)</f>
        <v>37960.57</v>
      </c>
    </row>
    <row r="858" spans="1:13" s="166" customFormat="1" ht="12" customHeight="1">
      <c r="A858" s="163" t="s">
        <v>232</v>
      </c>
      <c r="B858" s="163" t="s">
        <v>52</v>
      </c>
      <c r="C858" s="164">
        <v>51502</v>
      </c>
      <c r="D858" s="164" t="s">
        <v>305</v>
      </c>
      <c r="E858" s="165" t="s">
        <v>6</v>
      </c>
      <c r="F858" s="165" t="s">
        <v>344</v>
      </c>
      <c r="G858" s="47">
        <f>IF(F858="I",IFERROR(VLOOKUP(C858,'BG 2021'!A:C,3,FALSE),0),0)</f>
        <v>49783131</v>
      </c>
      <c r="H858" s="163" t="s">
        <v>52</v>
      </c>
      <c r="I858" s="68">
        <f>IF(F858="I",IFERROR(VLOOKUP(C858,'BG 2021'!A:D,4,FALSE),0),0)</f>
        <v>7521.13</v>
      </c>
      <c r="J858" s="40"/>
      <c r="K858" s="47">
        <f>IF(F858="I",SUMIF('BG 2020'!B:B,Clasificaciones!C858,'BG 2020'!D:D),0)</f>
        <v>91745164</v>
      </c>
      <c r="L858" s="40"/>
      <c r="M858" s="68">
        <f>IF(F858="I",SUMIF('BG 2020'!B:B,Clasificaciones!C858,'BG 2020'!E:E),0)</f>
        <v>13469.98</v>
      </c>
    </row>
    <row r="859" spans="1:13" s="166" customFormat="1" ht="12" customHeight="1">
      <c r="A859" s="163" t="s">
        <v>232</v>
      </c>
      <c r="B859" s="163"/>
      <c r="C859" s="164">
        <v>51503</v>
      </c>
      <c r="D859" s="164" t="s">
        <v>959</v>
      </c>
      <c r="E859" s="165" t="s">
        <v>6</v>
      </c>
      <c r="F859" s="165" t="s">
        <v>343</v>
      </c>
      <c r="G859" s="47">
        <f>IF(F859="I",IFERROR(VLOOKUP(C859,'BG 2021'!A:C,3,FALSE),0),0)</f>
        <v>0</v>
      </c>
      <c r="H859" s="163"/>
      <c r="I859" s="68">
        <f>IF(F859="I",IFERROR(VLOOKUP(C859,'BG 2021'!A:D,4,FALSE),0),0)</f>
        <v>0</v>
      </c>
      <c r="J859" s="40"/>
      <c r="K859" s="47">
        <f>IF(F859="I",SUMIF('BG 2020'!B:B,Clasificaciones!C859,'BG 2020'!D:D),0)</f>
        <v>0</v>
      </c>
      <c r="L859" s="40"/>
      <c r="M859" s="68">
        <f>IF(F859="I",SUMIF('BG 2020'!B:B,Clasificaciones!C859,'BG 2020'!E:E),0)</f>
        <v>0</v>
      </c>
    </row>
    <row r="860" spans="1:13" s="166" customFormat="1" ht="12" customHeight="1">
      <c r="A860" s="163" t="s">
        <v>232</v>
      </c>
      <c r="B860" s="163" t="s">
        <v>730</v>
      </c>
      <c r="C860" s="164">
        <v>5150301</v>
      </c>
      <c r="D860" s="164" t="s">
        <v>960</v>
      </c>
      <c r="E860" s="165" t="s">
        <v>6</v>
      </c>
      <c r="F860" s="165" t="s">
        <v>344</v>
      </c>
      <c r="G860" s="47">
        <f>IF(F860="I",IFERROR(VLOOKUP(C860,'BG 2021'!A:C,3,FALSE),0),0)</f>
        <v>62352222</v>
      </c>
      <c r="H860" s="163" t="s">
        <v>730</v>
      </c>
      <c r="I860" s="68">
        <f>IF(F860="I",IFERROR(VLOOKUP(C860,'BG 2021'!A:D,4,FALSE),0),0)</f>
        <v>9261.6999999999989</v>
      </c>
      <c r="J860" s="40"/>
      <c r="K860" s="47">
        <f>IF(F860="I",SUMIF('BG 2020'!B:B,Clasificaciones!C860,'BG 2020'!D:D),0)</f>
        <v>21405800</v>
      </c>
      <c r="L860" s="40"/>
      <c r="M860" s="68">
        <f>IF(F860="I",SUMIF('BG 2020'!B:B,Clasificaciones!C860,'BG 2020'!E:E),0)</f>
        <v>3101.45</v>
      </c>
    </row>
    <row r="861" spans="1:13" s="166" customFormat="1" ht="12" customHeight="1">
      <c r="A861" s="163" t="s">
        <v>232</v>
      </c>
      <c r="B861" s="163" t="s">
        <v>730</v>
      </c>
      <c r="C861" s="164">
        <v>5150302</v>
      </c>
      <c r="D861" s="164" t="s">
        <v>1639</v>
      </c>
      <c r="E861" s="165" t="s">
        <v>229</v>
      </c>
      <c r="F861" s="165" t="s">
        <v>344</v>
      </c>
      <c r="G861" s="47">
        <f>IF(F861="I",IFERROR(VLOOKUP(C861,'BG 2021'!A:C,3,FALSE),0),0)</f>
        <v>1999270</v>
      </c>
      <c r="H861" s="163" t="s">
        <v>730</v>
      </c>
      <c r="I861" s="68">
        <f>IF(F861="I",IFERROR(VLOOKUP(C861,'BG 2021'!A:D,4,FALSE),0),0)</f>
        <v>288.85000000000002</v>
      </c>
      <c r="J861" s="40"/>
      <c r="K861" s="47">
        <f>IF(F861="I",SUMIF('BG 2020'!B:B,Clasificaciones!C861,'BG 2020'!D:D),0)</f>
        <v>0</v>
      </c>
      <c r="L861" s="40"/>
      <c r="M861" s="68">
        <f>IF(F861="I",SUMIF('BG 2020'!B:B,Clasificaciones!C861,'BG 2020'!E:E),0)</f>
        <v>0</v>
      </c>
    </row>
    <row r="862" spans="1:13" s="166" customFormat="1" ht="12" customHeight="1">
      <c r="A862" s="163" t="s">
        <v>232</v>
      </c>
      <c r="B862" s="163" t="s">
        <v>730</v>
      </c>
      <c r="C862" s="164">
        <v>51504</v>
      </c>
      <c r="D862" s="164" t="s">
        <v>961</v>
      </c>
      <c r="E862" s="165" t="s">
        <v>6</v>
      </c>
      <c r="F862" s="165" t="s">
        <v>344</v>
      </c>
      <c r="G862" s="47">
        <f>IF(F862="I",IFERROR(VLOOKUP(C862,'BG 2021'!A:C,3,FALSE),0),0)</f>
        <v>394303928</v>
      </c>
      <c r="H862" s="163" t="s">
        <v>730</v>
      </c>
      <c r="I862" s="68">
        <f>IF(F862="I",IFERROR(VLOOKUP(C862,'BG 2021'!A:D,4,FALSE),0),0)</f>
        <v>58441.31</v>
      </c>
      <c r="J862" s="40"/>
      <c r="K862" s="47">
        <f>IF(F862="I",SUMIF('BG 2020'!B:B,Clasificaciones!C862,'BG 2020'!D:D),0)</f>
        <v>239294319</v>
      </c>
      <c r="L862" s="40"/>
      <c r="M862" s="68">
        <f>IF(F862="I",SUMIF('BG 2020'!B:B,Clasificaciones!C862,'BG 2020'!E:E),0)</f>
        <v>34690.94</v>
      </c>
    </row>
    <row r="863" spans="1:13" s="166" customFormat="1" ht="12" customHeight="1">
      <c r="A863" s="163" t="s">
        <v>232</v>
      </c>
      <c r="B863" s="163" t="s">
        <v>123</v>
      </c>
      <c r="C863" s="164">
        <v>51505</v>
      </c>
      <c r="D863" s="164" t="s">
        <v>1236</v>
      </c>
      <c r="E863" s="165" t="s">
        <v>6</v>
      </c>
      <c r="F863" s="165" t="s">
        <v>344</v>
      </c>
      <c r="G863" s="47">
        <f>IF(F863="I",IFERROR(VLOOKUP(C863,'BG 2021'!A:C,3,FALSE),0),0)</f>
        <v>5282911</v>
      </c>
      <c r="H863" s="163" t="s">
        <v>123</v>
      </c>
      <c r="I863" s="68">
        <f>IF(F863="I",IFERROR(VLOOKUP(C863,'BG 2021'!A:D,4,FALSE),0),0)</f>
        <v>780.04</v>
      </c>
      <c r="J863" s="40"/>
      <c r="K863" s="47">
        <f>IF(F863="I",SUMIF('BG 2020'!B:B,Clasificaciones!C863,'BG 2020'!D:D),0)</f>
        <v>2367767</v>
      </c>
      <c r="L863" s="40"/>
      <c r="M863" s="68">
        <f>IF(F863="I",SUMIF('BG 2020'!B:B,Clasificaciones!C863,'BG 2020'!E:E),0)</f>
        <v>336.96</v>
      </c>
    </row>
    <row r="864" spans="1:13" s="166" customFormat="1" ht="12" customHeight="1">
      <c r="A864" s="163" t="s">
        <v>232</v>
      </c>
      <c r="B864" s="163"/>
      <c r="C864" s="164">
        <v>52</v>
      </c>
      <c r="D864" s="164" t="s">
        <v>303</v>
      </c>
      <c r="E864" s="165" t="s">
        <v>6</v>
      </c>
      <c r="F864" s="165" t="s">
        <v>343</v>
      </c>
      <c r="G864" s="47">
        <f>IF(F864="I",IFERROR(VLOOKUP(C864,'BG 2021'!A:C,3,FALSE),0),0)</f>
        <v>0</v>
      </c>
      <c r="H864" s="163"/>
      <c r="I864" s="68">
        <f>IF(F864="I",IFERROR(VLOOKUP(C864,'BG 2021'!A:D,4,FALSE),0),0)</f>
        <v>0</v>
      </c>
      <c r="J864" s="40"/>
      <c r="K864" s="47">
        <f>IF(F864="I",SUMIF('BG 2020'!B:B,Clasificaciones!C864,'BG 2020'!D:D),0)</f>
        <v>0</v>
      </c>
      <c r="L864" s="40"/>
      <c r="M864" s="68">
        <f>IF(F864="I",SUMIF('BG 2020'!B:B,Clasificaciones!C864,'BG 2020'!E:E),0)</f>
        <v>0</v>
      </c>
    </row>
    <row r="865" spans="1:13" s="166" customFormat="1" ht="12" customHeight="1">
      <c r="A865" s="163" t="s">
        <v>232</v>
      </c>
      <c r="B865" s="163"/>
      <c r="C865" s="164">
        <v>5201</v>
      </c>
      <c r="D865" s="164" t="s">
        <v>1237</v>
      </c>
      <c r="E865" s="165" t="s">
        <v>6</v>
      </c>
      <c r="F865" s="165" t="s">
        <v>344</v>
      </c>
      <c r="G865" s="47">
        <f>IF(F865="I",IFERROR(VLOOKUP(C865,'BG 2021'!A:C,3,FALSE),0),0)</f>
        <v>0</v>
      </c>
      <c r="H865" s="163"/>
      <c r="I865" s="68">
        <f>IF(F865="I",IFERROR(VLOOKUP(C865,'BG 2021'!A:D,4,FALSE),0),0)</f>
        <v>0</v>
      </c>
      <c r="J865" s="40"/>
      <c r="K865" s="47">
        <f>IF(F865="I",SUMIF('BG 2020'!B:B,Clasificaciones!C865,'BG 2020'!D:D),0)</f>
        <v>0</v>
      </c>
      <c r="L865" s="40"/>
      <c r="M865" s="68">
        <f>IF(F865="I",SUMIF('BG 2020'!B:B,Clasificaciones!C865,'BG 2020'!E:E),0)</f>
        <v>0</v>
      </c>
    </row>
    <row r="866" spans="1:13" s="166" customFormat="1" ht="12" customHeight="1">
      <c r="A866" s="163" t="s">
        <v>232</v>
      </c>
      <c r="B866" s="163"/>
      <c r="C866" s="164">
        <v>5202</v>
      </c>
      <c r="D866" s="164" t="s">
        <v>1238</v>
      </c>
      <c r="E866" s="165" t="s">
        <v>6</v>
      </c>
      <c r="F866" s="165" t="s">
        <v>344</v>
      </c>
      <c r="G866" s="47">
        <f>IF(F866="I",IFERROR(VLOOKUP(C866,'BG 2021'!A:C,3,FALSE),0),0)</f>
        <v>0</v>
      </c>
      <c r="H866" s="163"/>
      <c r="I866" s="68">
        <f>IF(F866="I",IFERROR(VLOOKUP(C866,'BG 2021'!A:D,4,FALSE),0),0)</f>
        <v>0</v>
      </c>
      <c r="J866" s="40"/>
      <c r="K866" s="47">
        <f>IF(F866="I",SUMIF('BG 2020'!B:B,Clasificaciones!C866,'BG 2020'!D:D),0)</f>
        <v>0</v>
      </c>
      <c r="L866" s="40"/>
      <c r="M866" s="68">
        <f>IF(F866="I",SUMIF('BG 2020'!B:B,Clasificaciones!C866,'BG 2020'!E:E),0)</f>
        <v>0</v>
      </c>
    </row>
    <row r="867" spans="1:13" s="166" customFormat="1" ht="12" customHeight="1">
      <c r="A867" s="163" t="s">
        <v>232</v>
      </c>
      <c r="B867" s="163"/>
      <c r="C867" s="164">
        <v>5203</v>
      </c>
      <c r="D867" s="164" t="s">
        <v>1121</v>
      </c>
      <c r="E867" s="165" t="s">
        <v>6</v>
      </c>
      <c r="F867" s="165" t="s">
        <v>344</v>
      </c>
      <c r="G867" s="47">
        <f>IF(F867="I",IFERROR(VLOOKUP(C867,'BG 2021'!A:C,3,FALSE),0),0)</f>
        <v>0</v>
      </c>
      <c r="H867" s="163"/>
      <c r="I867" s="68">
        <f>IF(F867="I",IFERROR(VLOOKUP(C867,'BG 2021'!A:D,4,FALSE),0),0)</f>
        <v>0</v>
      </c>
      <c r="J867" s="40"/>
      <c r="K867" s="47">
        <f>IF(F867="I",SUMIF('BG 2020'!B:B,Clasificaciones!C867,'BG 2020'!D:D),0)</f>
        <v>0</v>
      </c>
      <c r="L867" s="40"/>
      <c r="M867" s="68">
        <f>IF(F867="I",SUMIF('BG 2020'!B:B,Clasificaciones!C867,'BG 2020'!E:E),0)</f>
        <v>0</v>
      </c>
    </row>
    <row r="868" spans="1:13" s="166" customFormat="1" ht="12" customHeight="1">
      <c r="A868" s="163" t="s">
        <v>232</v>
      </c>
      <c r="B868" s="163" t="s">
        <v>236</v>
      </c>
      <c r="C868" s="164">
        <v>5204</v>
      </c>
      <c r="D868" s="164" t="s">
        <v>962</v>
      </c>
      <c r="E868" s="165" t="s">
        <v>6</v>
      </c>
      <c r="F868" s="165" t="s">
        <v>344</v>
      </c>
      <c r="G868" s="47">
        <f>IF(F868="I",IFERROR(VLOOKUP(C868,'BG 2021'!A:C,3,FALSE),0),0)</f>
        <v>12107</v>
      </c>
      <c r="H868" s="163" t="s">
        <v>236</v>
      </c>
      <c r="I868" s="68">
        <f>IF(F868="I",IFERROR(VLOOKUP(C868,'BG 2021'!A:D,4,FALSE),0),0)</f>
        <v>2.3600000000000003</v>
      </c>
      <c r="J868" s="40"/>
      <c r="K868" s="47">
        <f>IF(F868="I",SUMIF('BG 2020'!B:B,Clasificaciones!C868,'BG 2020'!D:D),0)</f>
        <v>0</v>
      </c>
      <c r="L868" s="40"/>
      <c r="M868" s="68">
        <f>IF(F868="I",SUMIF('BG 2020'!B:B,Clasificaciones!C868,'BG 2020'!E:E),0)</f>
        <v>0</v>
      </c>
    </row>
    <row r="869" spans="1:13" s="166" customFormat="1" ht="12" customHeight="1">
      <c r="A869" s="163" t="s">
        <v>232</v>
      </c>
      <c r="B869" s="163"/>
      <c r="C869" s="164">
        <v>5205</v>
      </c>
      <c r="D869" s="164" t="s">
        <v>1239</v>
      </c>
      <c r="E869" s="165" t="s">
        <v>6</v>
      </c>
      <c r="F869" s="165" t="s">
        <v>344</v>
      </c>
      <c r="G869" s="47">
        <f>IF(F869="I",IFERROR(VLOOKUP(C869,'BG 2021'!A:C,3,FALSE),0),0)</f>
        <v>0</v>
      </c>
      <c r="H869" s="163"/>
      <c r="I869" s="68">
        <f>IF(F869="I",IFERROR(VLOOKUP(C869,'BG 2021'!A:D,4,FALSE),0),0)</f>
        <v>0</v>
      </c>
      <c r="J869" s="40"/>
      <c r="K869" s="47">
        <f>IF(F869="I",SUMIF('BG 2020'!B:B,Clasificaciones!C869,'BG 2020'!D:D),0)</f>
        <v>0</v>
      </c>
      <c r="L869" s="40"/>
      <c r="M869" s="68">
        <f>IF(F869="I",SUMIF('BG 2020'!B:B,Clasificaciones!C869,'BG 2020'!E:E),0)</f>
        <v>0</v>
      </c>
    </row>
    <row r="870" spans="1:13" s="166" customFormat="1" ht="12" customHeight="1">
      <c r="A870" s="163" t="s">
        <v>232</v>
      </c>
      <c r="B870" s="163"/>
      <c r="C870" s="164">
        <v>5206</v>
      </c>
      <c r="D870" s="164" t="s">
        <v>1240</v>
      </c>
      <c r="E870" s="165" t="s">
        <v>6</v>
      </c>
      <c r="F870" s="165" t="s">
        <v>344</v>
      </c>
      <c r="G870" s="47">
        <f>IF(F870="I",IFERROR(VLOOKUP(C870,'BG 2021'!A:C,3,FALSE),0),0)</f>
        <v>0</v>
      </c>
      <c r="H870" s="163"/>
      <c r="I870" s="68">
        <f>IF(F870="I",IFERROR(VLOOKUP(C870,'BG 2021'!A:D,4,FALSE),0),0)</f>
        <v>0</v>
      </c>
      <c r="J870" s="40"/>
      <c r="K870" s="47">
        <f>IF(F870="I",SUMIF('BG 2020'!B:B,Clasificaciones!C870,'BG 2020'!D:D),0)</f>
        <v>0</v>
      </c>
      <c r="L870" s="40"/>
      <c r="M870" s="68">
        <f>IF(F870="I",SUMIF('BG 2020'!B:B,Clasificaciones!C870,'BG 2020'!E:E),0)</f>
        <v>0</v>
      </c>
    </row>
    <row r="871" spans="1:13" s="166" customFormat="1" ht="12" customHeight="1">
      <c r="A871" s="163" t="s">
        <v>232</v>
      </c>
      <c r="B871" s="163"/>
      <c r="C871" s="164">
        <v>5207</v>
      </c>
      <c r="D871" s="164" t="s">
        <v>1241</v>
      </c>
      <c r="E871" s="165" t="s">
        <v>6</v>
      </c>
      <c r="F871" s="165" t="s">
        <v>344</v>
      </c>
      <c r="G871" s="47">
        <f>IF(F871="I",IFERROR(VLOOKUP(C871,'BG 2021'!A:C,3,FALSE),0),0)</f>
        <v>0</v>
      </c>
      <c r="H871" s="163"/>
      <c r="I871" s="68">
        <f>IF(F871="I",IFERROR(VLOOKUP(C871,'BG 2021'!A:D,4,FALSE),0),0)</f>
        <v>0</v>
      </c>
      <c r="J871" s="40"/>
      <c r="K871" s="47">
        <f>IF(F871="I",SUMIF('BG 2020'!B:B,Clasificaciones!C871,'BG 2020'!D:D),0)</f>
        <v>0</v>
      </c>
      <c r="L871" s="40"/>
      <c r="M871" s="68">
        <f>IF(F871="I",SUMIF('BG 2020'!B:B,Clasificaciones!C871,'BG 2020'!E:E),0)</f>
        <v>0</v>
      </c>
    </row>
    <row r="872" spans="1:13" s="166" customFormat="1" ht="12" customHeight="1">
      <c r="A872" s="163" t="s">
        <v>22</v>
      </c>
      <c r="B872" s="163"/>
      <c r="C872" s="164">
        <v>6</v>
      </c>
      <c r="D872" s="164" t="s">
        <v>312</v>
      </c>
      <c r="E872" s="165" t="s">
        <v>6</v>
      </c>
      <c r="F872" s="165" t="s">
        <v>343</v>
      </c>
      <c r="G872" s="47">
        <f>IF(F872="I",IFERROR(VLOOKUP(C872,'BG 2021'!A:C,3,FALSE),0),0)</f>
        <v>0</v>
      </c>
      <c r="H872" s="163"/>
      <c r="I872" s="68">
        <f>IF(F872="I",IFERROR(VLOOKUP(C872,'BG 2021'!A:D,4,FALSE),0),0)</f>
        <v>0</v>
      </c>
      <c r="J872" s="40"/>
      <c r="K872" s="47">
        <f>IF(F872="I",SUMIF('BG 2020'!B:B,Clasificaciones!C872,'BG 2020'!D:D),0)</f>
        <v>0</v>
      </c>
      <c r="L872" s="40"/>
      <c r="M872" s="68">
        <f>IF(F872="I",SUMIF('BG 2020'!B:B,Clasificaciones!C872,'BG 2020'!E:E),0)</f>
        <v>0</v>
      </c>
    </row>
    <row r="873" spans="1:13" s="166" customFormat="1" ht="12" customHeight="1">
      <c r="A873" s="163" t="s">
        <v>22</v>
      </c>
      <c r="B873" s="163"/>
      <c r="C873" s="164">
        <v>611</v>
      </c>
      <c r="D873" s="164" t="s">
        <v>1242</v>
      </c>
      <c r="E873" s="165" t="s">
        <v>6</v>
      </c>
      <c r="F873" s="165" t="s">
        <v>344</v>
      </c>
      <c r="G873" s="47">
        <f>IF(F873="I",IFERROR(VLOOKUP(C873,'BG 2021'!A:C,3,FALSE),0),0)</f>
        <v>0</v>
      </c>
      <c r="H873" s="163"/>
      <c r="I873" s="68">
        <f>IF(F873="I",IFERROR(VLOOKUP(C873,'BG 2021'!A:D,4,FALSE),0),0)</f>
        <v>0</v>
      </c>
      <c r="J873" s="40"/>
      <c r="K873" s="47">
        <f>IF(F873="I",SUMIF('BG 2020'!B:B,Clasificaciones!C873,'BG 2020'!D:D),0)</f>
        <v>0</v>
      </c>
      <c r="L873" s="40"/>
      <c r="M873" s="68">
        <f>IF(F873="I",SUMIF('BG 2020'!B:B,Clasificaciones!C873,'BG 2020'!E:E),0)</f>
        <v>0</v>
      </c>
    </row>
    <row r="874" spans="1:13" s="166" customFormat="1" ht="12" customHeight="1">
      <c r="A874" s="163" t="s">
        <v>22</v>
      </c>
      <c r="B874" s="163" t="s">
        <v>106</v>
      </c>
      <c r="C874" s="164">
        <v>621</v>
      </c>
      <c r="D874" s="164" t="s">
        <v>577</v>
      </c>
      <c r="E874" s="165" t="s">
        <v>6</v>
      </c>
      <c r="F874" s="165" t="s">
        <v>344</v>
      </c>
      <c r="G874" s="47">
        <f>IF(F874="I",IFERROR(VLOOKUP(C874,'BG 2021'!A:C,3,FALSE),0),0)</f>
        <v>0</v>
      </c>
      <c r="H874" s="163" t="s">
        <v>106</v>
      </c>
      <c r="I874" s="68">
        <f>IF(F874="I",IFERROR(VLOOKUP(C874,'BG 2021'!A:D,4,FALSE),0),0)</f>
        <v>0</v>
      </c>
      <c r="J874" s="40"/>
      <c r="K874" s="47">
        <f>IF(F874="I",SUMIF('BG 2020'!B:B,Clasificaciones!C874,'BG 2020'!D:D),0)</f>
        <v>-7546915598</v>
      </c>
      <c r="L874" s="40"/>
      <c r="M874" s="68">
        <f>IF(F874="I",SUMIF('BG 2020'!B:B,Clasificaciones!C874,'BG 2020'!E:E),0)</f>
        <v>-1103403.72</v>
      </c>
    </row>
    <row r="875" spans="1:13" s="166" customFormat="1" ht="12" customHeight="1">
      <c r="A875" s="163" t="s">
        <v>22</v>
      </c>
      <c r="B875" s="163" t="s">
        <v>106</v>
      </c>
      <c r="C875" s="164">
        <v>622</v>
      </c>
      <c r="D875" s="164" t="s">
        <v>1243</v>
      </c>
      <c r="E875" s="165" t="s">
        <v>229</v>
      </c>
      <c r="F875" s="165" t="s">
        <v>344</v>
      </c>
      <c r="G875" s="47">
        <f>IF(F875="I",IFERROR(VLOOKUP(C875,'BG 2021'!A:C,3,FALSE),0),0)</f>
        <v>0</v>
      </c>
      <c r="H875" s="163" t="s">
        <v>106</v>
      </c>
      <c r="I875" s="68">
        <f>IF(F875="I",IFERROR(VLOOKUP(C875,'BG 2021'!A:D,4,FALSE),0),0)</f>
        <v>0</v>
      </c>
      <c r="J875" s="40"/>
      <c r="K875" s="47">
        <f>IF(F875="I",SUMIF('BG 2020'!B:B,Clasificaciones!C875,'BG 2020'!D:D),0)</f>
        <v>-12788763183</v>
      </c>
      <c r="L875" s="40"/>
      <c r="M875" s="68">
        <f>IF(F875="I",SUMIF('BG 2020'!B:B,Clasificaciones!C875,'BG 2020'!E:E),0)</f>
        <v>-2029519.9</v>
      </c>
    </row>
    <row r="876" spans="1:13" s="166" customFormat="1" ht="12" customHeight="1">
      <c r="A876" s="163" t="s">
        <v>22</v>
      </c>
      <c r="B876" s="163"/>
      <c r="C876" s="164">
        <v>631</v>
      </c>
      <c r="D876" s="164" t="s">
        <v>1244</v>
      </c>
      <c r="E876" s="165" t="s">
        <v>6</v>
      </c>
      <c r="F876" s="165" t="s">
        <v>344</v>
      </c>
      <c r="G876" s="47">
        <f>IF(F876="I",IFERROR(VLOOKUP(C876,'BG 2021'!A:C,3,FALSE),0),0)</f>
        <v>0</v>
      </c>
      <c r="H876" s="163"/>
      <c r="I876" s="68">
        <f>IF(F876="I",IFERROR(VLOOKUP(C876,'BG 2021'!A:D,4,FALSE),0),0)</f>
        <v>0</v>
      </c>
      <c r="J876" s="40"/>
      <c r="K876" s="47">
        <f>IF(F876="I",SUMIF('BG 2020'!B:B,Clasificaciones!C876,'BG 2020'!D:D),0)</f>
        <v>0</v>
      </c>
      <c r="L876" s="40"/>
      <c r="M876" s="68">
        <f>IF(F876="I",SUMIF('BG 2020'!B:B,Clasificaciones!C876,'BG 2020'!E:E),0)</f>
        <v>0</v>
      </c>
    </row>
    <row r="877" spans="1:13" s="166" customFormat="1" ht="12" customHeight="1">
      <c r="A877" s="163" t="s">
        <v>22</v>
      </c>
      <c r="B877" s="163"/>
      <c r="C877" s="164">
        <v>641</v>
      </c>
      <c r="D877" s="164" t="s">
        <v>1245</v>
      </c>
      <c r="E877" s="165" t="s">
        <v>6</v>
      </c>
      <c r="F877" s="165" t="s">
        <v>344</v>
      </c>
      <c r="G877" s="47">
        <f>IF(F877="I",IFERROR(VLOOKUP(C877,'BG 2021'!A:C,3,FALSE),0),0)</f>
        <v>0</v>
      </c>
      <c r="H877" s="163"/>
      <c r="I877" s="68">
        <f>IF(F877="I",IFERROR(VLOOKUP(C877,'BG 2021'!A:D,4,FALSE),0),0)</f>
        <v>0</v>
      </c>
      <c r="J877" s="40"/>
      <c r="K877" s="47">
        <f>IF(F877="I",SUMIF('BG 2020'!B:B,Clasificaciones!C877,'BG 2020'!D:D),0)</f>
        <v>0</v>
      </c>
      <c r="L877" s="40"/>
      <c r="M877" s="68">
        <f>IF(F877="I",SUMIF('BG 2020'!B:B,Clasificaciones!C877,'BG 2020'!E:E),0)</f>
        <v>0</v>
      </c>
    </row>
    <row r="878" spans="1:13" s="166" customFormat="1" ht="12" customHeight="1">
      <c r="A878" s="163" t="s">
        <v>22</v>
      </c>
      <c r="B878" s="163" t="s">
        <v>106</v>
      </c>
      <c r="C878" s="164">
        <v>651</v>
      </c>
      <c r="D878" s="164" t="s">
        <v>225</v>
      </c>
      <c r="E878" s="165" t="s">
        <v>6</v>
      </c>
      <c r="F878" s="165" t="s">
        <v>344</v>
      </c>
      <c r="G878" s="47">
        <f>IF(F878="I",IFERROR(VLOOKUP(C878,'BG 2021'!A:C,3,FALSE),0),0)</f>
        <v>203997974082</v>
      </c>
      <c r="H878" s="163" t="s">
        <v>106</v>
      </c>
      <c r="I878" s="68">
        <f>IF(F878="I",IFERROR(VLOOKUP(C878,'BG 2021'!A:D,4,FALSE),0),0)</f>
        <v>29607643.579999998</v>
      </c>
      <c r="J878" s="40"/>
      <c r="K878" s="47">
        <f>IF(F878="I",SUMIF('BG 2020'!B:B,Clasificaciones!C878,'BG 2020'!D:D),0)</f>
        <v>-852007707990</v>
      </c>
      <c r="L878" s="40"/>
      <c r="M878" s="68">
        <f>IF(F878="I",SUMIF('BG 2020'!B:B,Clasificaciones!C878,'BG 2020'!E:E),0)</f>
        <v>-126768407.51000001</v>
      </c>
    </row>
    <row r="879" spans="1:13" s="166" customFormat="1" ht="12" customHeight="1">
      <c r="A879" s="163" t="s">
        <v>22</v>
      </c>
      <c r="B879" s="163" t="s">
        <v>106</v>
      </c>
      <c r="C879" s="164">
        <v>661</v>
      </c>
      <c r="D879" s="164" t="s">
        <v>226</v>
      </c>
      <c r="E879" s="165" t="s">
        <v>6</v>
      </c>
      <c r="F879" s="165" t="s">
        <v>344</v>
      </c>
      <c r="G879" s="47">
        <f>IF(F879="I",IFERROR(VLOOKUP(C879,'BG 2021'!A:C,3,FALSE),0),0)</f>
        <v>0</v>
      </c>
      <c r="H879" s="163" t="s">
        <v>106</v>
      </c>
      <c r="I879" s="68">
        <f>IF(F879="I",IFERROR(VLOOKUP(C879,'BG 2021'!A:D,4,FALSE),0),0)</f>
        <v>0</v>
      </c>
      <c r="J879" s="40"/>
      <c r="K879" s="47">
        <f>IF(F879="I",SUMIF('BG 2020'!B:B,Clasificaciones!C879,'BG 2020'!D:D),0)</f>
        <v>-4232306000</v>
      </c>
      <c r="L879" s="40"/>
      <c r="M879" s="68">
        <f>IF(F879="I",SUMIF('BG 2020'!B:B,Clasificaciones!C879,'BG 2020'!E:E),0)</f>
        <v>-657161.71</v>
      </c>
    </row>
    <row r="880" spans="1:13" s="166" customFormat="1" ht="12" customHeight="1">
      <c r="A880" s="163" t="s">
        <v>22</v>
      </c>
      <c r="B880" s="163"/>
      <c r="C880" s="164">
        <v>7</v>
      </c>
      <c r="D880" s="164" t="s">
        <v>313</v>
      </c>
      <c r="E880" s="165" t="s">
        <v>6</v>
      </c>
      <c r="F880" s="165" t="s">
        <v>343</v>
      </c>
      <c r="G880" s="47">
        <f>IF(F880="I",IFERROR(VLOOKUP(C880,'BG 2021'!A:C,3,FALSE),0),0)</f>
        <v>0</v>
      </c>
      <c r="H880" s="163"/>
      <c r="I880" s="68">
        <f>IF(F880="I",IFERROR(VLOOKUP(C880,'BG 2021'!A:D,4,FALSE),0),0)</f>
        <v>0</v>
      </c>
      <c r="J880" s="40"/>
      <c r="K880" s="47">
        <f>IF(F880="I",SUMIF('BG 2020'!B:B,Clasificaciones!C880,'BG 2020'!D:D),0)</f>
        <v>0</v>
      </c>
      <c r="L880" s="40"/>
      <c r="M880" s="68">
        <f>IF(F880="I",SUMIF('BG 2020'!B:B,Clasificaciones!C880,'BG 2020'!E:E),0)</f>
        <v>0</v>
      </c>
    </row>
    <row r="881" spans="1:13" s="166" customFormat="1" ht="12" customHeight="1">
      <c r="A881" s="163" t="s">
        <v>22</v>
      </c>
      <c r="B881" s="163"/>
      <c r="C881" s="164">
        <v>711</v>
      </c>
      <c r="D881" s="164" t="s">
        <v>1246</v>
      </c>
      <c r="E881" s="165" t="s">
        <v>6</v>
      </c>
      <c r="F881" s="165" t="s">
        <v>344</v>
      </c>
      <c r="G881" s="47">
        <f>IF(F881="I",IFERROR(VLOOKUP(C881,'BG 2021'!A:C,3,FALSE),0),0)</f>
        <v>0</v>
      </c>
      <c r="H881" s="163"/>
      <c r="I881" s="68">
        <f>IF(F881="I",IFERROR(VLOOKUP(C881,'BG 2021'!A:D,4,FALSE),0),0)</f>
        <v>0</v>
      </c>
      <c r="J881" s="40"/>
      <c r="K881" s="47">
        <f>IF(F881="I",SUMIF('BG 2020'!B:B,Clasificaciones!C881,'BG 2020'!D:D),0)</f>
        <v>0</v>
      </c>
      <c r="L881" s="40"/>
      <c r="M881" s="68">
        <f>IF(F881="I",SUMIF('BG 2020'!B:B,Clasificaciones!C881,'BG 2020'!E:E),0)</f>
        <v>0</v>
      </c>
    </row>
    <row r="882" spans="1:13" s="166" customFormat="1" ht="12" customHeight="1">
      <c r="A882" s="163" t="s">
        <v>22</v>
      </c>
      <c r="B882" s="163" t="s">
        <v>108</v>
      </c>
      <c r="C882" s="164">
        <v>721</v>
      </c>
      <c r="D882" s="164" t="s">
        <v>1247</v>
      </c>
      <c r="E882" s="165" t="s">
        <v>6</v>
      </c>
      <c r="F882" s="165" t="s">
        <v>344</v>
      </c>
      <c r="G882" s="47">
        <f>IF(F882="I",IFERROR(VLOOKUP(C882,'BG 2021'!A:C,3,FALSE),0),0)</f>
        <v>0</v>
      </c>
      <c r="H882" s="163" t="s">
        <v>108</v>
      </c>
      <c r="I882" s="68">
        <f>IF(F882="I",IFERROR(VLOOKUP(C882,'BG 2021'!A:D,4,FALSE),0),0)</f>
        <v>0</v>
      </c>
      <c r="J882" s="40"/>
      <c r="K882" s="47">
        <f>IF(F882="I",SUMIF('BG 2020'!B:B,Clasificaciones!C882,'BG 2020'!D:D),0)</f>
        <v>12788763183</v>
      </c>
      <c r="L882" s="40"/>
      <c r="M882" s="68">
        <f>IF(F882="I",SUMIF('BG 2020'!B:B,Clasificaciones!C882,'BG 2020'!E:E),0)</f>
        <v>2029519.9</v>
      </c>
    </row>
    <row r="883" spans="1:13" s="166" customFormat="1" ht="12" customHeight="1">
      <c r="A883" s="163" t="s">
        <v>22</v>
      </c>
      <c r="B883" s="163" t="s">
        <v>108</v>
      </c>
      <c r="C883" s="164">
        <v>722</v>
      </c>
      <c r="D883" s="164" t="s">
        <v>340</v>
      </c>
      <c r="E883" s="165" t="s">
        <v>6</v>
      </c>
      <c r="F883" s="165" t="s">
        <v>344</v>
      </c>
      <c r="G883" s="47">
        <f>IF(F883="I",IFERROR(VLOOKUP(C883,'BG 2021'!A:C,3,FALSE),0),0)</f>
        <v>0</v>
      </c>
      <c r="H883" s="163" t="s">
        <v>108</v>
      </c>
      <c r="I883" s="68">
        <f>IF(F883="I",IFERROR(VLOOKUP(C883,'BG 2021'!A:D,4,FALSE),0),0)</f>
        <v>0</v>
      </c>
      <c r="J883" s="40"/>
      <c r="K883" s="47">
        <f>IF(F883="I",SUMIF('BG 2020'!B:B,Clasificaciones!C883,'BG 2020'!D:D),0)</f>
        <v>7546915598</v>
      </c>
      <c r="L883" s="40"/>
      <c r="M883" s="68">
        <f>IF(F883="I",SUMIF('BG 2020'!B:B,Clasificaciones!C883,'BG 2020'!E:E),0)</f>
        <v>1103403.72</v>
      </c>
    </row>
    <row r="884" spans="1:13" s="166" customFormat="1" ht="12" customHeight="1">
      <c r="A884" s="163" t="s">
        <v>22</v>
      </c>
      <c r="B884" s="163"/>
      <c r="C884" s="164">
        <v>731</v>
      </c>
      <c r="D884" s="164" t="s">
        <v>1248</v>
      </c>
      <c r="E884" s="165" t="s">
        <v>6</v>
      </c>
      <c r="F884" s="165" t="s">
        <v>344</v>
      </c>
      <c r="G884" s="47">
        <f>IF(F884="I",IFERROR(VLOOKUP(C884,'BG 2021'!A:C,3,FALSE),0),0)</f>
        <v>0</v>
      </c>
      <c r="H884" s="163"/>
      <c r="I884" s="68">
        <f>IF(F884="I",IFERROR(VLOOKUP(C884,'BG 2021'!A:D,4,FALSE),0),0)</f>
        <v>0</v>
      </c>
      <c r="J884" s="40"/>
      <c r="K884" s="47">
        <f>IF(F884="I",SUMIF('BG 2020'!B:B,Clasificaciones!C884,'BG 2020'!D:D),0)</f>
        <v>0</v>
      </c>
      <c r="L884" s="40"/>
      <c r="M884" s="68">
        <f>IF(F884="I",SUMIF('BG 2020'!B:B,Clasificaciones!C884,'BG 2020'!E:E),0)</f>
        <v>0</v>
      </c>
    </row>
    <row r="885" spans="1:13" s="166" customFormat="1" ht="12" customHeight="1">
      <c r="A885" s="163" t="s">
        <v>22</v>
      </c>
      <c r="B885" s="163"/>
      <c r="C885" s="164">
        <v>741</v>
      </c>
      <c r="D885" s="164" t="s">
        <v>1249</v>
      </c>
      <c r="E885" s="165" t="s">
        <v>6</v>
      </c>
      <c r="F885" s="165" t="s">
        <v>344</v>
      </c>
      <c r="G885" s="47">
        <f>IF(F885="I",IFERROR(VLOOKUP(C885,'BG 2021'!A:C,3,FALSE),0),0)</f>
        <v>0</v>
      </c>
      <c r="H885" s="163"/>
      <c r="I885" s="68">
        <f>IF(F885="I",IFERROR(VLOOKUP(C885,'BG 2021'!A:D,4,FALSE),0),0)</f>
        <v>0</v>
      </c>
      <c r="J885" s="40"/>
      <c r="K885" s="47">
        <f>IF(F885="I",SUMIF('BG 2020'!B:B,Clasificaciones!C885,'BG 2020'!D:D),0)</f>
        <v>0</v>
      </c>
      <c r="L885" s="40"/>
      <c r="M885" s="68">
        <f>IF(F885="I",SUMIF('BG 2020'!B:B,Clasificaciones!C885,'BG 2020'!E:E),0)</f>
        <v>0</v>
      </c>
    </row>
    <row r="886" spans="1:13" s="166" customFormat="1" ht="12" customHeight="1">
      <c r="A886" s="163" t="s">
        <v>22</v>
      </c>
      <c r="B886" s="163" t="s">
        <v>108</v>
      </c>
      <c r="C886" s="164">
        <v>751</v>
      </c>
      <c r="D886" s="164" t="s">
        <v>227</v>
      </c>
      <c r="E886" s="165" t="s">
        <v>6</v>
      </c>
      <c r="F886" s="165" t="s">
        <v>344</v>
      </c>
      <c r="G886" s="47">
        <f>IF(F886="I",IFERROR(VLOOKUP(C886,'BG 2021'!A:C,3,FALSE),0),0)</f>
        <v>203997974082</v>
      </c>
      <c r="H886" s="163" t="s">
        <v>108</v>
      </c>
      <c r="I886" s="68">
        <f>IF(F886="I",IFERROR(VLOOKUP(C886,'BG 2021'!A:D,4,FALSE),0),0)</f>
        <v>29607643.579999998</v>
      </c>
      <c r="J886" s="40"/>
      <c r="K886" s="47">
        <f>IF(F886="I",SUMIF('BG 2020'!B:B,Clasificaciones!C886,'BG 2020'!D:D),0)</f>
        <v>852007707990</v>
      </c>
      <c r="L886" s="40"/>
      <c r="M886" s="68">
        <f>IF(F886="I",SUMIF('BG 2020'!B:B,Clasificaciones!C886,'BG 2020'!E:E),0)</f>
        <v>126768407.51000001</v>
      </c>
    </row>
    <row r="887" spans="1:13" s="166" customFormat="1" ht="12" customHeight="1">
      <c r="A887" s="163" t="s">
        <v>22</v>
      </c>
      <c r="B887" s="163" t="s">
        <v>108</v>
      </c>
      <c r="C887" s="164">
        <v>761</v>
      </c>
      <c r="D887" s="164" t="s">
        <v>228</v>
      </c>
      <c r="E887" s="165" t="s">
        <v>6</v>
      </c>
      <c r="F887" s="165" t="s">
        <v>344</v>
      </c>
      <c r="G887" s="47">
        <f>IF(F887="I",IFERROR(VLOOKUP(C887,'BG 2021'!A:C,3,FALSE),0),0)</f>
        <v>0</v>
      </c>
      <c r="H887" s="163" t="s">
        <v>108</v>
      </c>
      <c r="I887" s="68">
        <f>IF(F887="I",IFERROR(VLOOKUP(C887,'BG 2021'!A:D,4,FALSE),0),0)</f>
        <v>0</v>
      </c>
      <c r="J887" s="40"/>
      <c r="K887" s="47">
        <f>IF(F887="I",SUMIF('BG 2020'!B:B,Clasificaciones!C887,'BG 2020'!D:D),0)</f>
        <v>4232306000</v>
      </c>
      <c r="L887" s="40"/>
      <c r="M887" s="68">
        <f>IF(F887="I",SUMIF('BG 2020'!B:B,Clasificaciones!C887,'BG 2020'!E:E),0)</f>
        <v>657161.71</v>
      </c>
    </row>
    <row r="888" spans="1:13">
      <c r="I888" s="69"/>
      <c r="M888" s="69"/>
    </row>
    <row r="889" spans="1:13">
      <c r="E889" s="41" t="s">
        <v>3</v>
      </c>
      <c r="F889" s="41"/>
      <c r="G889" s="48">
        <f>SUMIF(A:A,E889,G:G)</f>
        <v>101792478199</v>
      </c>
      <c r="I889" s="70">
        <f>SUMIF(A:A,E889,I:I)</f>
        <v>14867692.736999992</v>
      </c>
      <c r="J889" s="43"/>
      <c r="K889" s="48">
        <f>SUMIF(A:A,E889,K:K)</f>
        <v>35463325262</v>
      </c>
      <c r="M889" s="70">
        <f>SUMIF(A:A,E889,M:M)</f>
        <v>5193734.41</v>
      </c>
    </row>
    <row r="890" spans="1:13">
      <c r="E890" s="41" t="s">
        <v>8</v>
      </c>
      <c r="F890" s="41"/>
      <c r="G890" s="48">
        <f>SUMIF(A:A,E890,G:G)</f>
        <v>-71449093175</v>
      </c>
      <c r="I890" s="70">
        <f>SUMIF(A:A,E890,I:I)</f>
        <v>-10373888.083500005</v>
      </c>
      <c r="J890" s="43"/>
      <c r="K890" s="48">
        <f>SUMIF(A:A,E890,K:K)</f>
        <v>-22666416136</v>
      </c>
      <c r="M890" s="70">
        <f>SUMIF(A:A,E890,M:M)</f>
        <v>-3265277.8699999987</v>
      </c>
    </row>
    <row r="891" spans="1:13">
      <c r="E891" s="41" t="s">
        <v>21</v>
      </c>
      <c r="F891" s="41"/>
      <c r="G891" s="48">
        <f>SUMIF(A:A,E891,G:G)</f>
        <v>-30343385024</v>
      </c>
      <c r="I891" s="70">
        <f>SUMIF(A:A,E891,I:I)</f>
        <v>-4493804.6807999993</v>
      </c>
      <c r="J891" s="43"/>
      <c r="K891" s="48">
        <f>SUMIF(A:A,E891,K:K)</f>
        <v>-12796909126</v>
      </c>
      <c r="M891" s="70">
        <f>SUMIF(A:A,E891,M:M)</f>
        <v>-1928456.5519999997</v>
      </c>
    </row>
    <row r="892" spans="1:13" ht="12">
      <c r="E892" s="44" t="s">
        <v>317</v>
      </c>
      <c r="F892" s="44"/>
      <c r="G892" s="45">
        <f>+G889+G890+G891</f>
        <v>0</v>
      </c>
      <c r="H892" s="32" t="s">
        <v>314</v>
      </c>
      <c r="I892" s="69">
        <f>+I889+I890+I891</f>
        <v>-2.7300012297928333E-2</v>
      </c>
      <c r="J892" s="32" t="s">
        <v>314</v>
      </c>
      <c r="K892" s="45">
        <f>+K889+K890+K891</f>
        <v>0</v>
      </c>
      <c r="L892" s="32" t="s">
        <v>314</v>
      </c>
      <c r="M892" s="69">
        <f>+M889+M890+M891</f>
        <v>-1.1999998241662979E-2</v>
      </c>
    </row>
    <row r="893" spans="1:13">
      <c r="E893" s="156" t="s">
        <v>190</v>
      </c>
      <c r="F893" s="41"/>
      <c r="G893" s="48">
        <f>SUMIF(A:A,E893,G:G)</f>
        <v>-26102949746</v>
      </c>
      <c r="I893" s="70">
        <f>SUMIF(A:A,E893,I:I)</f>
        <v>-5718699.4205999998</v>
      </c>
      <c r="J893" s="43"/>
      <c r="K893" s="48">
        <f>SUMIF(E:E,I893,K:K)</f>
        <v>0</v>
      </c>
      <c r="M893" s="70">
        <f>SUMIF(A:A,E893,M:M)</f>
        <v>-1799327.24</v>
      </c>
    </row>
    <row r="894" spans="1:13">
      <c r="E894" s="156" t="s">
        <v>232</v>
      </c>
      <c r="F894" s="41"/>
      <c r="G894" s="48">
        <f>SUMIF(A:A,E894,G:G)</f>
        <v>23605473848</v>
      </c>
      <c r="H894" s="42"/>
      <c r="I894" s="70">
        <f>SUMIF(A:A,E894,I:I)</f>
        <v>5385231.2098000003</v>
      </c>
      <c r="J894" s="43"/>
      <c r="K894" s="48">
        <f>SUMIF(E:E,I894,K:K)</f>
        <v>0</v>
      </c>
      <c r="M894" s="70">
        <f>SUMIF(A:A,E894,M:M)</f>
        <v>1526357.4899999998</v>
      </c>
    </row>
    <row r="895" spans="1:13" ht="12">
      <c r="E895" s="44" t="s">
        <v>317</v>
      </c>
      <c r="F895" s="44"/>
      <c r="G895" s="45">
        <f>+G893+G894+'BG 2021'!C237</f>
        <v>0</v>
      </c>
      <c r="H895" s="32" t="s">
        <v>314</v>
      </c>
      <c r="I895" s="45">
        <f>+I893+I894+'BG 2021'!D447</f>
        <v>9.200000436976552E-3</v>
      </c>
      <c r="J895" s="32" t="s">
        <v>314</v>
      </c>
      <c r="K895" s="45">
        <f>+K893-K894</f>
        <v>0</v>
      </c>
      <c r="L895" s="32" t="s">
        <v>314</v>
      </c>
      <c r="M895" s="45">
        <f>+M893+M894+'BG 2020'!E168</f>
        <v>0</v>
      </c>
    </row>
    <row r="896" spans="1:13">
      <c r="I896" s="69"/>
      <c r="M896" s="69"/>
    </row>
    <row r="897" spans="4:4">
      <c r="D897" s="32"/>
    </row>
  </sheetData>
  <autoFilter ref="A4:M887" xr:uid="{9C7601BE-621C-4A5D-8077-DF6EF68CBD74}"/>
  <mergeCells count="2">
    <mergeCell ref="G3:I3"/>
    <mergeCell ref="K3:M3"/>
  </mergeCells>
  <conditionalFormatting sqref="E861:F861">
    <cfRule type="colorScale" priority="2">
      <colorScale>
        <cfvo type="min"/>
        <cfvo type="percentile" val="50"/>
        <cfvo type="max"/>
        <color rgb="FFF8696B"/>
        <color rgb="FFFCFCFF"/>
        <color rgb="FF63BE7B"/>
      </colorScale>
    </cfRule>
  </conditionalFormatting>
  <conditionalFormatting sqref="E385:F385">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S116"/>
  <sheetViews>
    <sheetView showGridLines="0" topLeftCell="A116" zoomScaleNormal="100" workbookViewId="0">
      <selection activeCell="B131" sqref="B131"/>
    </sheetView>
  </sheetViews>
  <sheetFormatPr baseColWidth="10" defaultColWidth="8.6640625" defaultRowHeight="13.8"/>
  <cols>
    <col min="1" max="1" width="2.44140625" style="843" customWidth="1"/>
    <col min="2" max="2" width="16.6640625" style="843" customWidth="1"/>
    <col min="3" max="3" width="26.6640625" style="843" customWidth="1"/>
    <col min="4" max="4" width="16" style="843" customWidth="1"/>
    <col min="5" max="5" width="14.44140625" style="843" customWidth="1"/>
    <col min="6" max="6" width="12.109375" style="843" customWidth="1"/>
    <col min="7" max="7" width="16.21875" style="843" customWidth="1"/>
    <col min="8" max="10" width="12.109375" style="843" customWidth="1"/>
    <col min="11" max="11" width="8.6640625" style="843"/>
    <col min="12" max="12" width="13.6640625" style="843" bestFit="1" customWidth="1"/>
    <col min="13" max="13" width="8.6640625" style="843"/>
    <col min="14" max="14" width="8.88671875" style="843" bestFit="1" customWidth="1"/>
    <col min="15" max="15" width="11.88671875" style="843" bestFit="1" customWidth="1"/>
    <col min="16" max="16384" width="8.6640625" style="843"/>
  </cols>
  <sheetData>
    <row r="1" spans="2:19" s="185" customFormat="1" ht="10.199999999999999" customHeight="1">
      <c r="B1" s="184"/>
      <c r="C1" s="184"/>
      <c r="D1" s="184"/>
      <c r="E1" s="184"/>
      <c r="F1" s="184"/>
      <c r="G1" s="184"/>
      <c r="H1" s="184"/>
      <c r="I1" s="184"/>
      <c r="J1" s="184"/>
      <c r="K1" s="184"/>
      <c r="L1" s="184"/>
      <c r="O1" s="186"/>
      <c r="P1" s="186"/>
    </row>
    <row r="2" spans="2:19" s="185" customFormat="1" ht="20.399999999999999" customHeight="1">
      <c r="B2" s="842"/>
      <c r="C2" s="842"/>
      <c r="D2" s="842"/>
      <c r="E2" s="842"/>
      <c r="F2" s="842"/>
      <c r="G2" s="842"/>
      <c r="H2" s="842"/>
      <c r="I2" s="842"/>
      <c r="J2" s="842"/>
      <c r="K2" s="842"/>
      <c r="L2" s="842"/>
      <c r="M2" s="842"/>
      <c r="N2" s="842"/>
      <c r="O2" s="842"/>
      <c r="P2" s="842"/>
      <c r="Q2" s="842"/>
      <c r="R2" s="842"/>
      <c r="S2" s="842"/>
    </row>
    <row r="3" spans="2:19" s="185" customFormat="1" ht="18">
      <c r="B3" s="937"/>
      <c r="C3" s="937"/>
      <c r="D3" s="937"/>
      <c r="E3" s="937"/>
      <c r="F3" s="937"/>
      <c r="G3" s="937"/>
      <c r="H3" s="937"/>
      <c r="I3" s="937"/>
      <c r="J3" s="937"/>
      <c r="K3" s="937"/>
      <c r="L3" s="937"/>
      <c r="O3" s="186"/>
      <c r="P3" s="186"/>
    </row>
    <row r="4" spans="2:19" s="185" customFormat="1" ht="18">
      <c r="B4" s="937"/>
      <c r="C4" s="937"/>
      <c r="D4" s="937"/>
      <c r="E4" s="937"/>
      <c r="F4" s="937"/>
      <c r="G4" s="937"/>
      <c r="H4" s="937"/>
      <c r="I4" s="937"/>
      <c r="J4" s="937"/>
      <c r="K4" s="937"/>
      <c r="L4" s="937"/>
      <c r="O4" s="186"/>
      <c r="P4" s="186"/>
    </row>
    <row r="5" spans="2:19" s="185" customFormat="1" ht="18.600000000000001" customHeight="1">
      <c r="B5" s="937"/>
      <c r="C5" s="937"/>
      <c r="D5" s="937"/>
      <c r="E5" s="937"/>
      <c r="F5" s="937"/>
      <c r="G5" s="937"/>
      <c r="H5" s="937"/>
      <c r="I5" s="937"/>
      <c r="J5" s="937"/>
      <c r="K5" s="937"/>
      <c r="L5" s="937"/>
      <c r="O5" s="186"/>
      <c r="P5" s="186"/>
    </row>
    <row r="6" spans="2:19" s="185" customFormat="1" ht="20.399999999999999" customHeight="1">
      <c r="B6" s="183"/>
      <c r="C6" s="183"/>
      <c r="D6" s="183"/>
      <c r="E6" s="183"/>
      <c r="F6" s="183"/>
      <c r="G6" s="183"/>
      <c r="H6" s="183"/>
      <c r="I6" s="183"/>
      <c r="J6" s="183"/>
      <c r="K6" s="183"/>
      <c r="L6" s="183"/>
      <c r="M6" s="183"/>
      <c r="N6" s="183"/>
      <c r="O6" s="183"/>
      <c r="P6" s="183"/>
      <c r="Q6" s="183"/>
      <c r="R6" s="183"/>
      <c r="S6" s="183"/>
    </row>
    <row r="7" spans="2:19" s="185" customFormat="1" ht="15.6">
      <c r="F7" s="184"/>
      <c r="H7" s="187"/>
      <c r="K7" s="184"/>
      <c r="O7" s="186"/>
      <c r="P7" s="186"/>
    </row>
    <row r="8" spans="2:19">
      <c r="I8" s="192" t="s">
        <v>1300</v>
      </c>
    </row>
    <row r="9" spans="2:19" ht="15.6">
      <c r="B9" s="944" t="s">
        <v>586</v>
      </c>
      <c r="C9" s="944"/>
      <c r="D9" s="944"/>
      <c r="E9" s="944"/>
      <c r="F9" s="944"/>
      <c r="G9" s="944"/>
      <c r="H9" s="944"/>
      <c r="I9" s="944"/>
    </row>
    <row r="10" spans="2:19" ht="11.4" customHeight="1">
      <c r="B10" s="945" t="s">
        <v>511</v>
      </c>
      <c r="C10" s="945"/>
      <c r="D10" s="945"/>
      <c r="E10" s="945"/>
      <c r="F10" s="945"/>
      <c r="G10" s="945"/>
      <c r="H10" s="945"/>
      <c r="I10" s="945"/>
      <c r="J10" s="187"/>
    </row>
    <row r="11" spans="2:19" ht="14.4">
      <c r="B11" s="946" t="s">
        <v>1445</v>
      </c>
      <c r="C11" s="946"/>
      <c r="D11" s="946"/>
      <c r="E11" s="946"/>
      <c r="F11" s="946"/>
      <c r="G11" s="946"/>
      <c r="H11" s="946"/>
      <c r="I11" s="946"/>
      <c r="J11" s="187"/>
    </row>
    <row r="12" spans="2:19" ht="14.4">
      <c r="B12" s="844"/>
      <c r="C12" s="844"/>
      <c r="D12" s="187"/>
      <c r="E12" s="187"/>
      <c r="F12" s="187"/>
      <c r="G12" s="187"/>
      <c r="H12" s="187"/>
      <c r="I12" s="187"/>
      <c r="J12" s="187"/>
    </row>
    <row r="13" spans="2:19" ht="14.4">
      <c r="B13" s="845" t="s">
        <v>512</v>
      </c>
      <c r="C13" s="845"/>
      <c r="D13" s="187"/>
      <c r="E13" s="187"/>
      <c r="F13" s="187"/>
      <c r="G13" s="187"/>
      <c r="H13" s="187"/>
      <c r="I13" s="187"/>
      <c r="J13" s="187"/>
    </row>
    <row r="14" spans="2:19" ht="14.4">
      <c r="B14" s="844"/>
      <c r="C14" s="844"/>
      <c r="D14" s="187"/>
      <c r="E14" s="187"/>
      <c r="F14" s="187"/>
      <c r="G14" s="187"/>
      <c r="H14" s="187"/>
      <c r="I14" s="187"/>
      <c r="J14" s="187"/>
    </row>
    <row r="15" spans="2:19" ht="14.4">
      <c r="B15" s="846" t="s">
        <v>513</v>
      </c>
      <c r="C15" s="846"/>
      <c r="D15" s="847" t="s">
        <v>230</v>
      </c>
      <c r="E15" s="187"/>
      <c r="F15" s="187"/>
      <c r="G15" s="187"/>
      <c r="H15" s="187"/>
      <c r="I15" s="187"/>
      <c r="J15" s="187"/>
    </row>
    <row r="16" spans="2:19" ht="14.4">
      <c r="B16" s="846" t="s">
        <v>514</v>
      </c>
      <c r="C16" s="846"/>
      <c r="D16" s="847" t="s">
        <v>515</v>
      </c>
      <c r="E16" s="187"/>
      <c r="F16" s="187"/>
      <c r="G16" s="187"/>
      <c r="H16" s="187"/>
      <c r="I16" s="187"/>
      <c r="J16" s="187"/>
    </row>
    <row r="17" spans="2:10" ht="14.4">
      <c r="B17" s="846" t="s">
        <v>516</v>
      </c>
      <c r="C17" s="846"/>
      <c r="D17" s="848">
        <v>27</v>
      </c>
      <c r="E17" s="187"/>
      <c r="F17" s="187"/>
      <c r="G17" s="187"/>
      <c r="H17" s="187"/>
      <c r="I17" s="187"/>
      <c r="J17" s="187"/>
    </row>
    <row r="18" spans="2:10" ht="14.4">
      <c r="B18" s="846" t="s">
        <v>517</v>
      </c>
      <c r="C18" s="846"/>
      <c r="D18" s="847" t="s">
        <v>518</v>
      </c>
      <c r="E18" s="187"/>
      <c r="F18" s="187"/>
      <c r="G18" s="187"/>
      <c r="H18" s="187"/>
      <c r="I18" s="187"/>
      <c r="J18" s="187"/>
    </row>
    <row r="19" spans="2:10" ht="14.4">
      <c r="B19" s="846" t="s">
        <v>519</v>
      </c>
      <c r="C19" s="846"/>
      <c r="D19" s="847" t="s">
        <v>520</v>
      </c>
      <c r="E19" s="187"/>
      <c r="F19" s="187"/>
      <c r="G19" s="187"/>
      <c r="H19" s="187"/>
      <c r="I19" s="187"/>
      <c r="J19" s="187"/>
    </row>
    <row r="20" spans="2:10" ht="14.4">
      <c r="B20" s="846" t="s">
        <v>521</v>
      </c>
      <c r="C20" s="846"/>
      <c r="D20" s="849" t="s">
        <v>522</v>
      </c>
      <c r="E20" s="187"/>
      <c r="F20" s="187"/>
      <c r="G20" s="187"/>
      <c r="H20" s="187"/>
      <c r="I20" s="187"/>
      <c r="J20" s="187"/>
    </row>
    <row r="21" spans="2:10" ht="14.4">
      <c r="B21" s="846" t="s">
        <v>523</v>
      </c>
      <c r="C21" s="846"/>
      <c r="D21" s="849" t="s">
        <v>581</v>
      </c>
      <c r="E21" s="187"/>
      <c r="F21" s="187"/>
      <c r="G21" s="187"/>
      <c r="H21" s="187"/>
      <c r="I21" s="187"/>
      <c r="J21" s="187"/>
    </row>
    <row r="22" spans="2:10" ht="14.4">
      <c r="B22" s="846" t="s">
        <v>524</v>
      </c>
      <c r="C22" s="846"/>
      <c r="D22" s="847" t="s">
        <v>518</v>
      </c>
      <c r="E22" s="187"/>
      <c r="F22" s="187"/>
      <c r="G22" s="187"/>
      <c r="H22" s="187"/>
      <c r="I22" s="187"/>
      <c r="J22" s="187"/>
    </row>
    <row r="23" spans="2:10" ht="14.4">
      <c r="B23" s="850"/>
      <c r="C23" s="850"/>
      <c r="D23" s="187"/>
      <c r="E23" s="187"/>
      <c r="F23" s="187"/>
      <c r="G23" s="187"/>
      <c r="H23" s="187"/>
      <c r="I23" s="187"/>
      <c r="J23" s="187"/>
    </row>
    <row r="24" spans="2:10" ht="14.4">
      <c r="B24" s="850"/>
      <c r="C24" s="850"/>
      <c r="D24" s="187"/>
      <c r="E24" s="187"/>
      <c r="F24" s="187"/>
      <c r="G24" s="187"/>
      <c r="H24" s="187"/>
      <c r="I24" s="187"/>
      <c r="J24" s="187"/>
    </row>
    <row r="25" spans="2:10" ht="14.4">
      <c r="B25" s="845" t="s">
        <v>525</v>
      </c>
      <c r="C25" s="845"/>
      <c r="D25" s="187"/>
      <c r="E25" s="187"/>
      <c r="F25" s="187"/>
      <c r="G25" s="187"/>
      <c r="H25" s="187"/>
      <c r="I25" s="187"/>
      <c r="J25" s="187"/>
    </row>
    <row r="26" spans="2:10" ht="14.4">
      <c r="B26" s="844"/>
      <c r="C26" s="844"/>
      <c r="D26" s="187"/>
      <c r="E26" s="187"/>
      <c r="F26" s="187"/>
      <c r="G26" s="187"/>
      <c r="H26" s="187"/>
      <c r="I26" s="187"/>
      <c r="J26" s="187"/>
    </row>
    <row r="27" spans="2:10" ht="14.4">
      <c r="B27" s="846" t="s">
        <v>526</v>
      </c>
      <c r="C27" s="846"/>
      <c r="D27" s="847" t="s">
        <v>527</v>
      </c>
      <c r="E27" s="187"/>
      <c r="F27" s="187"/>
      <c r="G27" s="187"/>
      <c r="H27" s="187"/>
      <c r="I27" s="187"/>
      <c r="J27" s="187"/>
    </row>
    <row r="28" spans="2:10" ht="14.4">
      <c r="B28" s="846" t="s">
        <v>528</v>
      </c>
      <c r="C28" s="846"/>
      <c r="D28" s="847" t="s">
        <v>529</v>
      </c>
      <c r="E28" s="187"/>
      <c r="F28" s="187"/>
      <c r="G28" s="187"/>
      <c r="H28" s="187"/>
      <c r="I28" s="187"/>
      <c r="J28" s="187"/>
    </row>
    <row r="29" spans="2:10" ht="14.4">
      <c r="B29" s="846" t="s">
        <v>530</v>
      </c>
      <c r="C29" s="846"/>
      <c r="D29" s="847" t="s">
        <v>573</v>
      </c>
      <c r="E29" s="187"/>
      <c r="F29" s="187"/>
      <c r="G29" s="187"/>
      <c r="H29" s="187"/>
      <c r="I29" s="187"/>
      <c r="J29" s="187"/>
    </row>
    <row r="30" spans="2:10" ht="14.4">
      <c r="B30" s="846" t="s">
        <v>526</v>
      </c>
      <c r="C30" s="846"/>
      <c r="D30" s="847" t="s">
        <v>531</v>
      </c>
      <c r="E30" s="187"/>
      <c r="F30" s="187"/>
      <c r="G30" s="187"/>
      <c r="H30" s="187"/>
      <c r="I30" s="187"/>
      <c r="J30" s="187"/>
    </row>
    <row r="31" spans="2:10">
      <c r="B31" s="846" t="s">
        <v>528</v>
      </c>
      <c r="C31" s="846"/>
      <c r="D31" s="847" t="s">
        <v>532</v>
      </c>
    </row>
    <row r="32" spans="2:10">
      <c r="B32" s="851"/>
    </row>
    <row r="33" spans="2:6">
      <c r="B33" s="852" t="s">
        <v>533</v>
      </c>
      <c r="C33" s="853"/>
    </row>
    <row r="35" spans="2:6">
      <c r="B35" s="947" t="s">
        <v>534</v>
      </c>
      <c r="C35" s="947"/>
      <c r="D35" s="947" t="s">
        <v>535</v>
      </c>
      <c r="E35" s="947"/>
      <c r="F35" s="947"/>
    </row>
    <row r="36" spans="2:6" ht="13.95" customHeight="1">
      <c r="B36" s="949" t="s">
        <v>536</v>
      </c>
      <c r="C36" s="949"/>
      <c r="D36" s="938" t="s">
        <v>537</v>
      </c>
      <c r="E36" s="938"/>
      <c r="F36" s="938"/>
    </row>
    <row r="37" spans="2:6" ht="13.95" customHeight="1">
      <c r="B37" s="949"/>
      <c r="C37" s="949"/>
      <c r="D37" s="938" t="s">
        <v>538</v>
      </c>
      <c r="E37" s="938"/>
      <c r="F37" s="938"/>
    </row>
    <row r="38" spans="2:6" ht="13.95" customHeight="1">
      <c r="B38" s="939" t="s">
        <v>539</v>
      </c>
      <c r="C38" s="939"/>
      <c r="D38" s="939"/>
      <c r="E38" s="939"/>
      <c r="F38" s="939"/>
    </row>
    <row r="39" spans="2:6" ht="15.75" customHeight="1">
      <c r="B39" s="938" t="s">
        <v>110</v>
      </c>
      <c r="C39" s="938"/>
      <c r="D39" s="938" t="s">
        <v>537</v>
      </c>
      <c r="E39" s="938"/>
      <c r="F39" s="938"/>
    </row>
    <row r="40" spans="2:6" ht="15.75" customHeight="1">
      <c r="B40" s="938" t="s">
        <v>336</v>
      </c>
      <c r="C40" s="938"/>
      <c r="D40" s="938" t="s">
        <v>538</v>
      </c>
      <c r="E40" s="938"/>
      <c r="F40" s="938"/>
    </row>
    <row r="41" spans="2:6" ht="15.75" customHeight="1">
      <c r="B41" s="938" t="s">
        <v>540</v>
      </c>
      <c r="C41" s="938"/>
      <c r="D41" s="938" t="s">
        <v>541</v>
      </c>
      <c r="E41" s="938"/>
      <c r="F41" s="938"/>
    </row>
    <row r="42" spans="2:6" ht="15.75" customHeight="1">
      <c r="B42" s="938" t="s">
        <v>542</v>
      </c>
      <c r="C42" s="938"/>
      <c r="D42" s="938" t="s">
        <v>543</v>
      </c>
      <c r="E42" s="938"/>
      <c r="F42" s="938"/>
    </row>
    <row r="43" spans="2:6" ht="15.75" customHeight="1">
      <c r="B43" s="938" t="s">
        <v>544</v>
      </c>
      <c r="C43" s="938"/>
      <c r="D43" s="938" t="s">
        <v>572</v>
      </c>
      <c r="E43" s="938"/>
      <c r="F43" s="938"/>
    </row>
    <row r="44" spans="2:6">
      <c r="B44" s="939" t="s">
        <v>545</v>
      </c>
      <c r="C44" s="939"/>
      <c r="D44" s="939"/>
      <c r="E44" s="939"/>
      <c r="F44" s="939"/>
    </row>
    <row r="45" spans="2:6" ht="15.75" customHeight="1">
      <c r="B45" s="938" t="s">
        <v>546</v>
      </c>
      <c r="C45" s="938"/>
      <c r="D45" s="938" t="s">
        <v>538</v>
      </c>
      <c r="E45" s="938"/>
      <c r="F45" s="938"/>
    </row>
    <row r="46" spans="2:6" ht="15.75" customHeight="1">
      <c r="B46" s="938" t="s">
        <v>643</v>
      </c>
      <c r="C46" s="938"/>
      <c r="D46" s="938" t="s">
        <v>642</v>
      </c>
      <c r="E46" s="938"/>
      <c r="F46" s="938"/>
    </row>
    <row r="47" spans="2:6" ht="15.75" customHeight="1">
      <c r="B47" s="938" t="s">
        <v>547</v>
      </c>
      <c r="C47" s="938"/>
      <c r="D47" s="938" t="s">
        <v>541</v>
      </c>
      <c r="E47" s="938"/>
      <c r="F47" s="938"/>
    </row>
    <row r="48" spans="2:6" ht="15" customHeight="1">
      <c r="B48" s="938" t="s">
        <v>1338</v>
      </c>
      <c r="C48" s="938"/>
      <c r="D48" s="938" t="s">
        <v>1337</v>
      </c>
      <c r="E48" s="938"/>
      <c r="F48" s="938"/>
    </row>
    <row r="49" spans="2:12" ht="15.75" customHeight="1">
      <c r="B49" s="938" t="s">
        <v>549</v>
      </c>
      <c r="C49" s="938"/>
      <c r="D49" s="938" t="s">
        <v>1339</v>
      </c>
      <c r="E49" s="938"/>
      <c r="F49" s="938"/>
    </row>
    <row r="50" spans="2:12" ht="15.75" customHeight="1">
      <c r="B50" s="938" t="s">
        <v>1340</v>
      </c>
      <c r="C50" s="938"/>
      <c r="D50" s="938" t="s">
        <v>1724</v>
      </c>
      <c r="E50" s="938"/>
      <c r="F50" s="938"/>
    </row>
    <row r="51" spans="2:12" ht="15.75" customHeight="1">
      <c r="B51" s="938" t="s">
        <v>551</v>
      </c>
      <c r="C51" s="938"/>
      <c r="D51" s="938" t="s">
        <v>1725</v>
      </c>
      <c r="E51" s="938"/>
      <c r="F51" s="938"/>
    </row>
    <row r="53" spans="2:12">
      <c r="B53" s="950" t="s">
        <v>553</v>
      </c>
      <c r="C53" s="950"/>
    </row>
    <row r="55" spans="2:12" s="855" customFormat="1">
      <c r="B55" s="854" t="s">
        <v>1702</v>
      </c>
      <c r="C55" s="854"/>
    </row>
    <row r="56" spans="2:12" s="855" customFormat="1">
      <c r="B56" s="854" t="s">
        <v>1716</v>
      </c>
      <c r="C56" s="854"/>
    </row>
    <row r="57" spans="2:12" s="855" customFormat="1">
      <c r="B57" s="854"/>
      <c r="C57" s="854"/>
    </row>
    <row r="58" spans="2:12" s="855" customFormat="1">
      <c r="B58" s="854" t="s">
        <v>1735</v>
      </c>
      <c r="C58" s="854"/>
    </row>
    <row r="59" spans="2:12" s="855" customFormat="1">
      <c r="B59" s="854"/>
      <c r="C59" s="854"/>
    </row>
    <row r="60" spans="2:12" s="855" customFormat="1">
      <c r="B60" s="854" t="s">
        <v>1736</v>
      </c>
      <c r="C60" s="854"/>
    </row>
    <row r="62" spans="2:12">
      <c r="B62" s="856" t="s">
        <v>554</v>
      </c>
      <c r="C62" s="856"/>
      <c r="D62" s="857">
        <v>30000000000</v>
      </c>
    </row>
    <row r="63" spans="2:12">
      <c r="B63" s="856" t="s">
        <v>555</v>
      </c>
      <c r="C63" s="856"/>
      <c r="D63" s="857">
        <v>25000000000</v>
      </c>
      <c r="F63" s="858"/>
      <c r="L63" s="859"/>
    </row>
    <row r="64" spans="2:12">
      <c r="B64" s="856" t="s">
        <v>482</v>
      </c>
      <c r="C64" s="856"/>
      <c r="D64" s="857">
        <v>25000000000</v>
      </c>
      <c r="F64" s="858"/>
      <c r="L64" s="859"/>
    </row>
    <row r="65" spans="2:12">
      <c r="B65" s="856" t="s">
        <v>556</v>
      </c>
      <c r="C65" s="856"/>
      <c r="D65" s="857">
        <v>1000000</v>
      </c>
      <c r="F65" s="858"/>
      <c r="L65" s="859"/>
    </row>
    <row r="66" spans="2:12" s="855" customFormat="1">
      <c r="B66" s="916" t="s">
        <v>1734</v>
      </c>
      <c r="D66" s="917">
        <v>2560000000</v>
      </c>
    </row>
    <row r="68" spans="2:12" ht="15" customHeight="1">
      <c r="B68" s="948" t="s">
        <v>557</v>
      </c>
      <c r="C68" s="948"/>
      <c r="D68" s="948"/>
      <c r="E68" s="948"/>
      <c r="F68" s="948"/>
      <c r="G68" s="948"/>
      <c r="H68" s="948"/>
      <c r="I68" s="948"/>
    </row>
    <row r="69" spans="2:12" ht="52.8">
      <c r="B69" s="377" t="s">
        <v>558</v>
      </c>
      <c r="C69" s="377" t="s">
        <v>363</v>
      </c>
      <c r="D69" s="377" t="s">
        <v>559</v>
      </c>
      <c r="E69" s="377" t="s">
        <v>560</v>
      </c>
      <c r="F69" s="377" t="s">
        <v>431</v>
      </c>
      <c r="G69" s="377" t="s">
        <v>561</v>
      </c>
      <c r="H69" s="377" t="s">
        <v>432</v>
      </c>
      <c r="I69" s="377" t="s">
        <v>562</v>
      </c>
    </row>
    <row r="70" spans="2:12">
      <c r="B70" s="958">
        <v>1</v>
      </c>
      <c r="C70" s="958" t="s">
        <v>365</v>
      </c>
      <c r="D70" s="860" t="s">
        <v>1336</v>
      </c>
      <c r="E70" s="951">
        <v>24999</v>
      </c>
      <c r="F70" s="958" t="s">
        <v>563</v>
      </c>
      <c r="G70" s="951">
        <v>24999</v>
      </c>
      <c r="H70" s="954">
        <v>24999000000</v>
      </c>
      <c r="I70" s="956">
        <f>+H70/(H72+H70)</f>
        <v>0.99995999999999996</v>
      </c>
    </row>
    <row r="71" spans="2:12">
      <c r="B71" s="959"/>
      <c r="C71" s="959"/>
      <c r="D71" s="861" t="s">
        <v>1703</v>
      </c>
      <c r="E71" s="952"/>
      <c r="F71" s="959"/>
      <c r="G71" s="952"/>
      <c r="H71" s="955"/>
      <c r="I71" s="957"/>
    </row>
    <row r="72" spans="2:12">
      <c r="B72" s="862">
        <v>2</v>
      </c>
      <c r="C72" s="862" t="s">
        <v>564</v>
      </c>
      <c r="D72" s="886">
        <v>10000</v>
      </c>
      <c r="E72" s="862">
        <v>1</v>
      </c>
      <c r="F72" s="862" t="s">
        <v>563</v>
      </c>
      <c r="G72" s="862">
        <v>1</v>
      </c>
      <c r="H72" s="863">
        <v>1000000</v>
      </c>
      <c r="I72" s="915">
        <f>+H72/(H72+H70)</f>
        <v>4.0000000000000003E-5</v>
      </c>
    </row>
    <row r="74" spans="2:12" ht="15" customHeight="1">
      <c r="B74" s="948" t="s">
        <v>565</v>
      </c>
      <c r="C74" s="948"/>
      <c r="D74" s="948"/>
      <c r="E74" s="948"/>
      <c r="F74" s="948"/>
      <c r="G74" s="948"/>
      <c r="H74" s="948"/>
      <c r="I74" s="948"/>
    </row>
    <row r="75" spans="2:12" ht="39.6">
      <c r="B75" s="377" t="s">
        <v>558</v>
      </c>
      <c r="C75" s="377" t="s">
        <v>363</v>
      </c>
      <c r="D75" s="377" t="s">
        <v>559</v>
      </c>
      <c r="E75" s="377" t="s">
        <v>560</v>
      </c>
      <c r="F75" s="377" t="s">
        <v>431</v>
      </c>
      <c r="G75" s="377" t="s">
        <v>561</v>
      </c>
      <c r="H75" s="377" t="s">
        <v>432</v>
      </c>
      <c r="I75" s="377" t="s">
        <v>566</v>
      </c>
    </row>
    <row r="76" spans="2:12">
      <c r="B76" s="958">
        <v>1</v>
      </c>
      <c r="C76" s="958" t="s">
        <v>365</v>
      </c>
      <c r="D76" s="860" t="s">
        <v>1336</v>
      </c>
      <c r="E76" s="951">
        <v>24999</v>
      </c>
      <c r="F76" s="958" t="s">
        <v>563</v>
      </c>
      <c r="G76" s="951">
        <v>24999</v>
      </c>
      <c r="H76" s="954">
        <v>24999000000</v>
      </c>
      <c r="I76" s="956">
        <f>+H76/(H78+H76)</f>
        <v>0.99995999999999996</v>
      </c>
    </row>
    <row r="77" spans="2:12">
      <c r="B77" s="959"/>
      <c r="C77" s="959"/>
      <c r="D77" s="861" t="s">
        <v>1703</v>
      </c>
      <c r="E77" s="952"/>
      <c r="F77" s="959"/>
      <c r="G77" s="952"/>
      <c r="H77" s="955"/>
      <c r="I77" s="957"/>
    </row>
    <row r="78" spans="2:12">
      <c r="B78" s="862">
        <v>2</v>
      </c>
      <c r="C78" s="862" t="s">
        <v>564</v>
      </c>
      <c r="D78" s="886">
        <v>10000</v>
      </c>
      <c r="E78" s="862">
        <v>1</v>
      </c>
      <c r="F78" s="862" t="s">
        <v>563</v>
      </c>
      <c r="G78" s="862">
        <v>1</v>
      </c>
      <c r="H78" s="863">
        <v>1000000</v>
      </c>
      <c r="I78" s="915">
        <v>1E-4</v>
      </c>
    </row>
    <row r="81" spans="2:5">
      <c r="B81" s="864" t="s">
        <v>1690</v>
      </c>
      <c r="C81" s="864"/>
    </row>
    <row r="83" spans="2:5">
      <c r="B83" s="864" t="s">
        <v>1737</v>
      </c>
      <c r="C83" s="864"/>
    </row>
    <row r="84" spans="2:5">
      <c r="B84" s="864" t="s">
        <v>1691</v>
      </c>
      <c r="C84" s="864"/>
    </row>
    <row r="86" spans="2:5">
      <c r="B86" s="864" t="s">
        <v>567</v>
      </c>
      <c r="C86" s="864"/>
    </row>
    <row r="88" spans="2:5" ht="15" customHeight="1">
      <c r="B88" s="942" t="s">
        <v>568</v>
      </c>
      <c r="C88" s="942"/>
      <c r="D88" s="943" t="s">
        <v>569</v>
      </c>
      <c r="E88" s="943"/>
    </row>
    <row r="89" spans="2:5">
      <c r="B89" s="865" t="s">
        <v>365</v>
      </c>
      <c r="C89" s="865"/>
      <c r="D89" s="940" t="s">
        <v>571</v>
      </c>
      <c r="E89" s="941"/>
    </row>
    <row r="90" spans="2:5">
      <c r="B90" s="868" t="s">
        <v>616</v>
      </c>
      <c r="C90" s="869"/>
      <c r="D90" s="940" t="s">
        <v>617</v>
      </c>
      <c r="E90" s="941"/>
    </row>
    <row r="91" spans="2:5">
      <c r="B91" s="865" t="s">
        <v>537</v>
      </c>
      <c r="C91" s="865"/>
      <c r="D91" s="866" t="s">
        <v>110</v>
      </c>
      <c r="E91" s="867"/>
    </row>
    <row r="92" spans="2:5">
      <c r="B92" s="865" t="s">
        <v>538</v>
      </c>
      <c r="C92" s="865"/>
      <c r="D92" s="866" t="s">
        <v>336</v>
      </c>
      <c r="E92" s="867"/>
    </row>
    <row r="93" spans="2:5">
      <c r="B93" s="865" t="s">
        <v>541</v>
      </c>
      <c r="C93" s="865"/>
      <c r="D93" s="866" t="s">
        <v>570</v>
      </c>
      <c r="E93" s="867"/>
    </row>
    <row r="94" spans="2:5">
      <c r="B94" s="865" t="s">
        <v>543</v>
      </c>
      <c r="C94" s="865"/>
      <c r="D94" s="866" t="s">
        <v>55</v>
      </c>
      <c r="E94" s="867"/>
    </row>
    <row r="95" spans="2:5">
      <c r="B95" s="865" t="s">
        <v>572</v>
      </c>
      <c r="C95" s="865"/>
      <c r="D95" s="866" t="s">
        <v>544</v>
      </c>
      <c r="E95" s="867"/>
    </row>
    <row r="96" spans="2:5" ht="15.75" customHeight="1">
      <c r="B96" s="953" t="s">
        <v>642</v>
      </c>
      <c r="C96" s="953"/>
      <c r="D96" s="866" t="s">
        <v>643</v>
      </c>
      <c r="E96" s="867"/>
    </row>
    <row r="97" spans="2:9" ht="15.75" customHeight="1">
      <c r="B97" s="868" t="s">
        <v>1337</v>
      </c>
      <c r="C97" s="869"/>
      <c r="D97" s="868" t="s">
        <v>1704</v>
      </c>
      <c r="E97" s="869"/>
    </row>
    <row r="98" spans="2:9" ht="15.75" customHeight="1">
      <c r="B98" s="868" t="s">
        <v>1339</v>
      </c>
      <c r="C98" s="869"/>
      <c r="D98" s="868" t="s">
        <v>549</v>
      </c>
      <c r="E98" s="869"/>
    </row>
    <row r="99" spans="2:9" ht="15.75" customHeight="1">
      <c r="B99" s="868" t="s">
        <v>550</v>
      </c>
      <c r="C99" s="869"/>
      <c r="D99" s="868" t="s">
        <v>1340</v>
      </c>
      <c r="E99" s="869"/>
    </row>
    <row r="100" spans="2:9" ht="15.75" customHeight="1">
      <c r="B100" s="868" t="s">
        <v>552</v>
      </c>
      <c r="C100" s="869"/>
      <c r="D100" s="868" t="s">
        <v>551</v>
      </c>
      <c r="E100" s="869"/>
    </row>
    <row r="102" spans="2:9">
      <c r="B102" s="846" t="s">
        <v>1692</v>
      </c>
      <c r="C102" s="846"/>
    </row>
    <row r="103" spans="2:9">
      <c r="B103" s="846" t="s">
        <v>1693</v>
      </c>
      <c r="C103" s="846"/>
    </row>
    <row r="104" spans="2:9">
      <c r="B104" s="870" t="s">
        <v>1733</v>
      </c>
      <c r="C104" s="870"/>
    </row>
    <row r="105" spans="2:9">
      <c r="B105" s="846" t="s">
        <v>1694</v>
      </c>
      <c r="C105" s="846"/>
    </row>
    <row r="106" spans="2:9" ht="14.4" thickBot="1"/>
    <row r="107" spans="2:9" ht="14.4" thickBot="1">
      <c r="B107" s="960" t="s">
        <v>1717</v>
      </c>
      <c r="C107" s="961"/>
      <c r="D107" s="961"/>
      <c r="E107" s="961"/>
      <c r="F107" s="961"/>
      <c r="G107" s="961"/>
      <c r="H107" s="961"/>
      <c r="I107" s="962"/>
    </row>
    <row r="108" spans="2:9" ht="14.4" thickBot="1">
      <c r="B108" s="963" t="s">
        <v>1705</v>
      </c>
      <c r="C108" s="964"/>
      <c r="D108" s="906" t="s">
        <v>1718</v>
      </c>
      <c r="E108" s="964" t="s">
        <v>1719</v>
      </c>
      <c r="F108" s="964"/>
      <c r="G108" s="964"/>
      <c r="H108" s="964"/>
      <c r="I108" s="965"/>
    </row>
    <row r="109" spans="2:9" ht="16.8" customHeight="1" thickBot="1">
      <c r="B109" s="966" t="s">
        <v>1720</v>
      </c>
      <c r="C109" s="967"/>
      <c r="D109" s="907">
        <v>0.5887</v>
      </c>
      <c r="E109" s="968" t="s">
        <v>1721</v>
      </c>
      <c r="F109" s="969"/>
      <c r="G109" s="969"/>
      <c r="H109" s="969"/>
      <c r="I109" s="970"/>
    </row>
    <row r="110" spans="2:9" ht="45" customHeight="1" thickBot="1">
      <c r="B110" s="933" t="s">
        <v>1722</v>
      </c>
      <c r="C110" s="934"/>
      <c r="D110" s="908">
        <v>0.4113</v>
      </c>
      <c r="E110" s="935" t="s">
        <v>1723</v>
      </c>
      <c r="F110" s="935"/>
      <c r="G110" s="935"/>
      <c r="H110" s="935"/>
      <c r="I110" s="936"/>
    </row>
    <row r="111" spans="2:9" s="887" customFormat="1" ht="13.2"/>
    <row r="112" spans="2:9">
      <c r="C112" s="846"/>
    </row>
    <row r="113" spans="2:3">
      <c r="B113" s="846" t="s">
        <v>1695</v>
      </c>
      <c r="C113" s="846"/>
    </row>
    <row r="114" spans="2:3">
      <c r="B114" s="846" t="s">
        <v>1696</v>
      </c>
      <c r="C114" s="870"/>
    </row>
    <row r="115" spans="2:3">
      <c r="B115" s="870" t="s">
        <v>1733</v>
      </c>
      <c r="C115" s="846"/>
    </row>
    <row r="116" spans="2:3">
      <c r="B116" s="846" t="s">
        <v>1697</v>
      </c>
    </row>
  </sheetData>
  <mergeCells count="66">
    <mergeCell ref="B107:I107"/>
    <mergeCell ref="B108:C108"/>
    <mergeCell ref="E108:I108"/>
    <mergeCell ref="B109:C109"/>
    <mergeCell ref="E109:I109"/>
    <mergeCell ref="B96:C96"/>
    <mergeCell ref="B46:C46"/>
    <mergeCell ref="D46:F46"/>
    <mergeCell ref="H70:H71"/>
    <mergeCell ref="I70:I71"/>
    <mergeCell ref="B76:B77"/>
    <mergeCell ref="C76:C77"/>
    <mergeCell ref="E76:E77"/>
    <mergeCell ref="F76:F77"/>
    <mergeCell ref="G76:G77"/>
    <mergeCell ref="H76:H77"/>
    <mergeCell ref="I76:I77"/>
    <mergeCell ref="B70:B71"/>
    <mergeCell ref="C70:C71"/>
    <mergeCell ref="F70:F71"/>
    <mergeCell ref="G70:G71"/>
    <mergeCell ref="D90:E90"/>
    <mergeCell ref="B88:C88"/>
    <mergeCell ref="D88:E88"/>
    <mergeCell ref="B9:I9"/>
    <mergeCell ref="D89:E89"/>
    <mergeCell ref="B10:I10"/>
    <mergeCell ref="B11:I11"/>
    <mergeCell ref="B35:C35"/>
    <mergeCell ref="D35:F35"/>
    <mergeCell ref="B68:I68"/>
    <mergeCell ref="B74:I74"/>
    <mergeCell ref="B36:C37"/>
    <mergeCell ref="B53:C53"/>
    <mergeCell ref="E70:E71"/>
    <mergeCell ref="D36:F36"/>
    <mergeCell ref="D37:F37"/>
    <mergeCell ref="D39:F39"/>
    <mergeCell ref="D40:F40"/>
    <mergeCell ref="D41:F41"/>
    <mergeCell ref="B38:F38"/>
    <mergeCell ref="D50:F50"/>
    <mergeCell ref="D47:F47"/>
    <mergeCell ref="D51:F51"/>
    <mergeCell ref="B51:C51"/>
    <mergeCell ref="B50:C50"/>
    <mergeCell ref="B48:C48"/>
    <mergeCell ref="D48:F48"/>
    <mergeCell ref="B49:C49"/>
    <mergeCell ref="D49:F49"/>
    <mergeCell ref="B110:C110"/>
    <mergeCell ref="E110:I110"/>
    <mergeCell ref="B3:L3"/>
    <mergeCell ref="B4:L4"/>
    <mergeCell ref="B5:L5"/>
    <mergeCell ref="B47:C47"/>
    <mergeCell ref="B45:C45"/>
    <mergeCell ref="B39:C39"/>
    <mergeCell ref="B40:C40"/>
    <mergeCell ref="B41:C41"/>
    <mergeCell ref="B42:C42"/>
    <mergeCell ref="B43:C43"/>
    <mergeCell ref="B44:F44"/>
    <mergeCell ref="D42:F42"/>
    <mergeCell ref="D43:F43"/>
    <mergeCell ref="D45:F45"/>
  </mergeCells>
  <hyperlinks>
    <hyperlink ref="D21" r:id="rId1" xr:uid="{00000000-0004-0000-0100-000000000000}"/>
    <hyperlink ref="I8" location="INDICE!A1" display="Índice" xr:uid="{C65AC89A-E0A9-4E38-A1E6-85FE94EA86AA}"/>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Q107"/>
  <sheetViews>
    <sheetView showGridLines="0" tabSelected="1" topLeftCell="A78" zoomScale="70" zoomScaleNormal="70" zoomScaleSheetLayoutView="80" workbookViewId="0">
      <selection activeCell="H101" sqref="H101"/>
    </sheetView>
  </sheetViews>
  <sheetFormatPr baseColWidth="10" defaultColWidth="11.44140625" defaultRowHeight="15.6"/>
  <cols>
    <col min="1" max="1" width="1.44140625" style="200" customWidth="1"/>
    <col min="2" max="2" width="62.88671875" style="200" customWidth="1"/>
    <col min="3" max="3" width="11.109375" style="200" customWidth="1"/>
    <col min="4" max="4" width="20.109375" style="200" customWidth="1"/>
    <col min="5" max="5" width="2" style="200" customWidth="1"/>
    <col min="6" max="6" width="20.109375" style="201" customWidth="1"/>
    <col min="7" max="7" width="0.6640625" style="185" customWidth="1"/>
    <col min="8" max="8" width="63" style="200" customWidth="1"/>
    <col min="9" max="9" width="11.109375" style="200" customWidth="1"/>
    <col min="10" max="10" width="20.109375" style="200" customWidth="1"/>
    <col min="11" max="11" width="2.33203125" style="201" customWidth="1"/>
    <col min="12" max="12" width="20.109375" style="200" customWidth="1"/>
    <col min="13" max="13" width="2.5546875" style="200" customWidth="1"/>
    <col min="14" max="14" width="17.6640625" style="200" customWidth="1"/>
    <col min="15" max="15" width="16.6640625" style="202" customWidth="1"/>
    <col min="16" max="16" width="18.88671875" style="202" bestFit="1" customWidth="1"/>
    <col min="17" max="17" width="13.5546875" style="200" bestFit="1" customWidth="1"/>
    <col min="18" max="16384" width="11.44140625" style="200"/>
  </cols>
  <sheetData>
    <row r="1" spans="2:16" s="185" customFormat="1" ht="10.199999999999999" customHeight="1">
      <c r="B1" s="184"/>
      <c r="C1" s="184"/>
      <c r="D1" s="184"/>
      <c r="E1" s="184"/>
      <c r="F1" s="184"/>
      <c r="G1" s="184"/>
      <c r="H1" s="184"/>
      <c r="I1" s="184"/>
      <c r="J1" s="184"/>
      <c r="K1" s="184"/>
      <c r="L1" s="184"/>
      <c r="O1" s="186"/>
      <c r="P1" s="186"/>
    </row>
    <row r="2" spans="2:16" s="185" customFormat="1" ht="20.399999999999999" customHeight="1">
      <c r="B2" s="842"/>
      <c r="C2" s="842"/>
      <c r="D2" s="842"/>
      <c r="E2" s="842"/>
      <c r="F2" s="842"/>
      <c r="G2" s="842"/>
      <c r="H2" s="842"/>
      <c r="I2" s="842"/>
      <c r="J2" s="842"/>
      <c r="K2" s="842"/>
      <c r="L2" s="842"/>
      <c r="M2" s="842"/>
      <c r="N2" s="842"/>
      <c r="O2" s="842"/>
      <c r="P2" s="186"/>
    </row>
    <row r="3" spans="2:16" s="185" customFormat="1" ht="18">
      <c r="B3" s="937"/>
      <c r="C3" s="937"/>
      <c r="D3" s="937"/>
      <c r="E3" s="937"/>
      <c r="F3" s="937"/>
      <c r="G3" s="937"/>
      <c r="H3" s="937"/>
      <c r="I3" s="937"/>
      <c r="J3" s="937"/>
      <c r="K3" s="937"/>
      <c r="L3" s="937"/>
      <c r="O3" s="186"/>
      <c r="P3" s="186"/>
    </row>
    <row r="4" spans="2:16" s="185" customFormat="1" ht="18">
      <c r="B4" s="937"/>
      <c r="C4" s="937"/>
      <c r="D4" s="937"/>
      <c r="E4" s="937"/>
      <c r="F4" s="937"/>
      <c r="G4" s="937"/>
      <c r="H4" s="937"/>
      <c r="I4" s="937"/>
      <c r="J4" s="937"/>
      <c r="K4" s="937"/>
      <c r="L4" s="937"/>
      <c r="O4" s="186"/>
      <c r="P4" s="186"/>
    </row>
    <row r="5" spans="2:16" s="185" customFormat="1" ht="18">
      <c r="B5" s="937"/>
      <c r="C5" s="937"/>
      <c r="D5" s="937"/>
      <c r="E5" s="937"/>
      <c r="F5" s="937"/>
      <c r="G5" s="937"/>
      <c r="H5" s="937"/>
      <c r="I5" s="937"/>
      <c r="J5" s="937"/>
      <c r="K5" s="937"/>
      <c r="L5" s="937"/>
      <c r="O5" s="186"/>
      <c r="P5" s="186"/>
    </row>
    <row r="6" spans="2:16" s="185" customFormat="1" ht="18.600000000000001" customHeight="1">
      <c r="B6" s="937"/>
      <c r="C6" s="937"/>
      <c r="D6" s="937"/>
      <c r="E6" s="937"/>
      <c r="F6" s="937"/>
      <c r="G6" s="937"/>
      <c r="H6" s="937"/>
      <c r="I6" s="937"/>
      <c r="J6" s="937"/>
      <c r="K6" s="937"/>
      <c r="L6" s="937"/>
      <c r="O6" s="186"/>
      <c r="P6" s="186"/>
    </row>
    <row r="7" spans="2:16" s="185" customFormat="1" ht="20.399999999999999" customHeight="1">
      <c r="B7" s="183"/>
      <c r="C7" s="183"/>
      <c r="D7" s="183"/>
      <c r="E7" s="183"/>
      <c r="F7" s="183"/>
      <c r="G7" s="183"/>
      <c r="H7" s="183"/>
      <c r="I7" s="183"/>
      <c r="J7" s="183"/>
      <c r="K7" s="183"/>
      <c r="L7" s="183"/>
      <c r="M7" s="183"/>
      <c r="N7" s="183"/>
      <c r="O7" s="183"/>
      <c r="P7" s="186"/>
    </row>
    <row r="8" spans="2:16" s="185" customFormat="1" ht="18.600000000000001" customHeight="1">
      <c r="B8" s="174"/>
      <c r="C8" s="174"/>
      <c r="D8" s="174"/>
      <c r="E8" s="174"/>
      <c r="F8" s="174"/>
      <c r="G8" s="174"/>
      <c r="H8" s="174"/>
      <c r="I8" s="174"/>
      <c r="J8" s="174"/>
      <c r="K8" s="174"/>
      <c r="L8" s="174"/>
      <c r="O8" s="186"/>
      <c r="P8" s="186"/>
    </row>
    <row r="9" spans="2:16" s="185" customFormat="1">
      <c r="F9" s="184"/>
      <c r="H9" s="187"/>
      <c r="K9" s="184"/>
      <c r="O9" s="186"/>
      <c r="P9" s="186"/>
    </row>
    <row r="10" spans="2:16" s="193" customFormat="1" ht="19.2">
      <c r="B10" s="175" t="s">
        <v>586</v>
      </c>
      <c r="C10" s="189"/>
      <c r="D10" s="188"/>
      <c r="E10" s="188"/>
      <c r="F10" s="190"/>
      <c r="G10" s="191"/>
      <c r="H10" s="188"/>
      <c r="I10" s="188"/>
      <c r="J10" s="188"/>
      <c r="K10" s="190"/>
      <c r="L10" s="192" t="s">
        <v>1300</v>
      </c>
      <c r="M10" s="188"/>
      <c r="O10" s="194"/>
      <c r="P10" s="194"/>
    </row>
    <row r="11" spans="2:16" s="193" customFormat="1" ht="16.8">
      <c r="B11" s="260" t="s">
        <v>590</v>
      </c>
      <c r="C11" s="196"/>
      <c r="D11" s="195"/>
      <c r="E11" s="195"/>
      <c r="F11" s="195"/>
      <c r="G11" s="195"/>
      <c r="H11" s="195"/>
      <c r="I11" s="195"/>
      <c r="J11" s="195"/>
      <c r="K11" s="195"/>
      <c r="L11" s="195"/>
      <c r="O11" s="194"/>
      <c r="P11" s="194"/>
    </row>
    <row r="12" spans="2:16" s="193" customFormat="1" ht="16.8">
      <c r="B12" s="260" t="s">
        <v>1440</v>
      </c>
      <c r="C12" s="196"/>
      <c r="D12" s="195"/>
      <c r="E12" s="195"/>
      <c r="F12" s="195"/>
      <c r="G12" s="195"/>
      <c r="H12" s="195"/>
      <c r="I12" s="195"/>
      <c r="J12" s="195"/>
      <c r="K12" s="195"/>
      <c r="L12" s="195"/>
      <c r="O12" s="194"/>
      <c r="P12" s="194"/>
    </row>
    <row r="13" spans="2:16" s="193" customFormat="1">
      <c r="B13" s="197" t="s">
        <v>591</v>
      </c>
      <c r="C13" s="197"/>
      <c r="D13" s="197"/>
      <c r="E13" s="197"/>
      <c r="F13" s="198"/>
      <c r="G13" s="199"/>
      <c r="H13" s="197"/>
      <c r="I13" s="197"/>
      <c r="J13" s="197"/>
      <c r="K13" s="198"/>
      <c r="L13" s="197"/>
      <c r="O13" s="194"/>
      <c r="P13" s="194"/>
    </row>
    <row r="14" spans="2:16" ht="9.6" customHeight="1"/>
    <row r="15" spans="2:16" ht="9.6" customHeight="1">
      <c r="G15" s="203"/>
    </row>
    <row r="16" spans="2:16" ht="18">
      <c r="B16" s="204" t="s">
        <v>3</v>
      </c>
      <c r="C16" s="215"/>
      <c r="D16" s="216">
        <v>44561</v>
      </c>
      <c r="E16" s="216"/>
      <c r="F16" s="216">
        <v>44196</v>
      </c>
      <c r="G16" s="217"/>
      <c r="H16" s="204" t="s">
        <v>8</v>
      </c>
      <c r="I16" s="205"/>
      <c r="J16" s="216">
        <v>44561</v>
      </c>
      <c r="K16" s="216"/>
      <c r="L16" s="216">
        <v>44196</v>
      </c>
    </row>
    <row r="17" spans="2:16" ht="18">
      <c r="B17" s="218" t="s">
        <v>4</v>
      </c>
      <c r="C17" s="885"/>
      <c r="D17" s="220"/>
      <c r="E17" s="220"/>
      <c r="F17" s="221"/>
      <c r="G17" s="217"/>
      <c r="H17" s="222" t="s">
        <v>9</v>
      </c>
      <c r="I17" s="222"/>
      <c r="J17" s="223"/>
      <c r="K17" s="223"/>
      <c r="L17" s="220"/>
      <c r="O17" s="200"/>
      <c r="P17" s="200"/>
    </row>
    <row r="18" spans="2:16" ht="18">
      <c r="B18" s="218" t="s">
        <v>327</v>
      </c>
      <c r="C18" s="883" t="s">
        <v>678</v>
      </c>
      <c r="D18" s="224">
        <f>+SUM(D19:D21)</f>
        <v>2889773997</v>
      </c>
      <c r="E18" s="224"/>
      <c r="F18" s="224">
        <f>+SUM(F19:F21)</f>
        <v>662968891</v>
      </c>
      <c r="G18" s="217"/>
      <c r="H18" s="222" t="s">
        <v>82</v>
      </c>
      <c r="I18" s="875"/>
      <c r="J18" s="224">
        <f>+SUM(J19:J23)</f>
        <v>400495800</v>
      </c>
      <c r="K18" s="224"/>
      <c r="L18" s="224">
        <f>+SUM(L19:L23)</f>
        <v>114787506</v>
      </c>
      <c r="O18" s="200"/>
      <c r="P18" s="200"/>
    </row>
    <row r="19" spans="2:16" ht="18">
      <c r="B19" s="225" t="s">
        <v>16</v>
      </c>
      <c r="C19" s="885"/>
      <c r="D19" s="226">
        <f>SUMIF(Clasificaciones!B:B,BG!B19,Clasificaciones!G:G)</f>
        <v>0</v>
      </c>
      <c r="E19" s="226"/>
      <c r="F19" s="226">
        <f>SUMIF(Clasificaciones!B:B,BG!B19,Clasificaciones!K:K)</f>
        <v>0</v>
      </c>
      <c r="G19" s="227"/>
      <c r="H19" s="228" t="s">
        <v>725</v>
      </c>
      <c r="I19" s="876" t="s">
        <v>707</v>
      </c>
      <c r="J19" s="226">
        <f>-ROUND(SUMIF(Clasificaciones!B:B,BG!H19,Clasificaciones!G:G),1)</f>
        <v>147957960</v>
      </c>
      <c r="K19" s="226"/>
      <c r="L19" s="226">
        <f>-ROUND(SUMIF(Clasificaciones!B:B,BG!H19,Clasificaciones!K:K),1)</f>
        <v>39116775</v>
      </c>
      <c r="O19" s="206"/>
      <c r="P19" s="206"/>
    </row>
    <row r="20" spans="2:16" ht="18">
      <c r="B20" s="225" t="s">
        <v>679</v>
      </c>
      <c r="C20" s="885"/>
      <c r="D20" s="226">
        <f>SUMIF(Clasificaciones!B:B,BG!B20,Clasificaciones!G:G)</f>
        <v>0</v>
      </c>
      <c r="E20" s="226"/>
      <c r="F20" s="226">
        <f>SUMIF(Clasificaciones!B:B,BG!B20,Clasificaciones!K:K)</f>
        <v>0</v>
      </c>
      <c r="G20" s="227"/>
      <c r="H20" s="228" t="s">
        <v>349</v>
      </c>
      <c r="I20" s="876" t="s">
        <v>708</v>
      </c>
      <c r="J20" s="226">
        <f>-ROUND(SUMIF(Clasificaciones!B:B,BG!H20,Clasificaciones!G:G),1)</f>
        <v>248478737</v>
      </c>
      <c r="K20" s="226"/>
      <c r="L20" s="226">
        <f>-ROUND(SUMIF(Clasificaciones!B:B,BG!H20,Clasificaciones!K:K),1)</f>
        <v>75670731</v>
      </c>
      <c r="O20" s="206"/>
      <c r="P20" s="206"/>
    </row>
    <row r="21" spans="2:16" ht="18">
      <c r="B21" s="225" t="s">
        <v>17</v>
      </c>
      <c r="C21" s="885"/>
      <c r="D21" s="226">
        <f>SUMIF(Clasificaciones!B:B,BG!B21,Clasificaciones!G:G)</f>
        <v>2889773997</v>
      </c>
      <c r="E21" s="226"/>
      <c r="F21" s="226">
        <f>SUMIF(Clasificaciones!B:B,BG!B21,Clasificaciones!K:K)</f>
        <v>662968891</v>
      </c>
      <c r="G21" s="227"/>
      <c r="H21" s="228" t="s">
        <v>1439</v>
      </c>
      <c r="I21" s="876" t="s">
        <v>1698</v>
      </c>
      <c r="J21" s="226">
        <f>-ROUND(SUMIF(Clasificaciones!B:B,BG!H21,Clasificaciones!G:G),1)</f>
        <v>4059103</v>
      </c>
      <c r="K21" s="226"/>
      <c r="L21" s="226">
        <f>-ROUND(SUMIF(Clasificaciones!B:B,BG!H21,Clasificaciones!K:K),1)</f>
        <v>0</v>
      </c>
      <c r="O21" s="206"/>
      <c r="P21" s="206"/>
    </row>
    <row r="22" spans="2:16" ht="18">
      <c r="B22" s="225"/>
      <c r="C22" s="885"/>
      <c r="D22" s="226"/>
      <c r="E22" s="226"/>
      <c r="F22" s="226"/>
      <c r="G22" s="227"/>
      <c r="H22" s="228" t="s">
        <v>255</v>
      </c>
      <c r="I22" s="876"/>
      <c r="J22" s="226">
        <f>-ROUND(SUMIF(Clasificaciones!B:B,BG!H22,Clasificaciones!G:G),1)</f>
        <v>0</v>
      </c>
      <c r="K22" s="229"/>
      <c r="L22" s="226">
        <f>-ROUND(SUMIF(Clasificaciones!B:B,BG!H22,Clasificaciones!K:K),1)</f>
        <v>0</v>
      </c>
      <c r="O22" s="200"/>
      <c r="P22" s="206"/>
    </row>
    <row r="23" spans="2:16" ht="18">
      <c r="B23" s="218" t="s">
        <v>143</v>
      </c>
      <c r="C23" s="883" t="s">
        <v>689</v>
      </c>
      <c r="D23" s="224">
        <f>+SUM(D24:D27)</f>
        <v>87224765301</v>
      </c>
      <c r="E23" s="224"/>
      <c r="F23" s="224">
        <f>+SUM(F24:F27)</f>
        <v>29161895047</v>
      </c>
      <c r="G23" s="217"/>
      <c r="H23" s="228" t="s">
        <v>83</v>
      </c>
      <c r="I23" s="876"/>
      <c r="J23" s="226">
        <f>-ROUND(SUMIF(Clasificaciones!B:B,BG!H23,Clasificaciones!G:G),1)</f>
        <v>0</v>
      </c>
      <c r="K23" s="229"/>
      <c r="L23" s="226">
        <f>-ROUND(SUMIF(Clasificaciones!B:B,BG!H23,Clasificaciones!K:K),1)</f>
        <v>0</v>
      </c>
      <c r="O23" s="200"/>
      <c r="P23" s="206"/>
    </row>
    <row r="24" spans="2:16" ht="18">
      <c r="B24" s="225" t="s">
        <v>589</v>
      </c>
      <c r="C24" s="885"/>
      <c r="D24" s="226">
        <f>SUMIF(Clasificaciones!B:B,BG!B24,Clasificaciones!G:G)</f>
        <v>0</v>
      </c>
      <c r="E24" s="226"/>
      <c r="F24" s="226">
        <f>SUMIF(Clasificaciones!B:B,BG!B24,Clasificaciones!K:K)</f>
        <v>171173699</v>
      </c>
      <c r="G24" s="227"/>
      <c r="H24" s="225"/>
      <c r="I24" s="877"/>
      <c r="J24" s="226"/>
      <c r="K24" s="226"/>
      <c r="L24" s="226"/>
      <c r="O24" s="200"/>
      <c r="P24" s="200"/>
    </row>
    <row r="25" spans="2:16" ht="18">
      <c r="B25" s="225" t="s">
        <v>85</v>
      </c>
      <c r="C25" s="885"/>
      <c r="D25" s="226">
        <f>SUMIF(Clasificaciones!B:B,BG!B25,Clasificaciones!G:G)</f>
        <v>15972022950</v>
      </c>
      <c r="E25" s="226"/>
      <c r="F25" s="226">
        <f>SUMIF(Clasificaciones!B:B,BG!B25,Clasificaciones!K:K)</f>
        <v>6970791298</v>
      </c>
      <c r="G25" s="227"/>
      <c r="H25" s="225"/>
      <c r="I25" s="877"/>
      <c r="J25" s="226"/>
      <c r="K25" s="226"/>
      <c r="L25" s="226"/>
      <c r="O25" s="206"/>
      <c r="P25" s="206"/>
    </row>
    <row r="26" spans="2:16" ht="18">
      <c r="B26" s="225" t="s">
        <v>588</v>
      </c>
      <c r="C26" s="883"/>
      <c r="D26" s="226">
        <f>SUMIF(Clasificaciones!B:B,BG!B26,Clasificaciones!G:G)</f>
        <v>71252742351</v>
      </c>
      <c r="E26" s="226"/>
      <c r="F26" s="226">
        <f>SUMIF(Clasificaciones!B:B,BG!B26,Clasificaciones!K:K)</f>
        <v>22019930050</v>
      </c>
      <c r="G26" s="227"/>
      <c r="H26" s="222" t="s">
        <v>256</v>
      </c>
      <c r="I26" s="876" t="s">
        <v>705</v>
      </c>
      <c r="J26" s="224">
        <f>+SUM(J27:J28)</f>
        <v>1848050034</v>
      </c>
      <c r="K26" s="224"/>
      <c r="L26" s="224">
        <f>+SUM(L27:L28)</f>
        <v>1047146584</v>
      </c>
      <c r="O26" s="206"/>
      <c r="P26" s="206"/>
    </row>
    <row r="27" spans="2:16" ht="18">
      <c r="B27" s="225" t="s">
        <v>84</v>
      </c>
      <c r="C27" s="885"/>
      <c r="D27" s="226">
        <f>SUMIF(Clasificaciones!B:B,BG!B27,Clasificaciones!G:G)</f>
        <v>0</v>
      </c>
      <c r="E27" s="226"/>
      <c r="F27" s="226">
        <f>SUMIF(Clasificaciones!B:B,BG!B27,Clasificaciones!K:K)</f>
        <v>0</v>
      </c>
      <c r="G27" s="227"/>
      <c r="H27" s="228" t="s">
        <v>726</v>
      </c>
      <c r="I27" s="876"/>
      <c r="J27" s="226">
        <f>-ROUND(SUMIF(Clasificaciones!B:B,BG!H27,Clasificaciones!G:G),1)</f>
        <v>1848050034</v>
      </c>
      <c r="K27" s="226"/>
      <c r="L27" s="226">
        <f>-ROUND(SUMIF(Clasificaciones!B:B,BG!H27,Clasificaciones!K:K),1)</f>
        <v>1047146584</v>
      </c>
      <c r="O27" s="206"/>
      <c r="P27" s="206"/>
    </row>
    <row r="28" spans="2:16" ht="18">
      <c r="B28" s="225"/>
      <c r="C28" s="885"/>
      <c r="D28" s="226"/>
      <c r="E28" s="226"/>
      <c r="F28" s="226"/>
      <c r="G28" s="227"/>
      <c r="H28" s="228" t="s">
        <v>649</v>
      </c>
      <c r="I28" s="876"/>
      <c r="J28" s="226">
        <f>ROUND(SUMIF(Clasificaciones!B:B,BG!H28,Clasificaciones!G:G),1)</f>
        <v>0</v>
      </c>
      <c r="K28" s="226"/>
      <c r="L28" s="226">
        <f>-ROUND(SUMIF(Clasificaciones!B:B,BG!H28,Clasificaciones!K:K),1)</f>
        <v>0</v>
      </c>
      <c r="O28" s="206"/>
      <c r="P28" s="206"/>
    </row>
    <row r="29" spans="2:16" ht="18">
      <c r="B29" s="225"/>
      <c r="C29" s="885"/>
      <c r="D29" s="226"/>
      <c r="E29" s="226"/>
      <c r="F29" s="226"/>
      <c r="G29" s="227"/>
      <c r="H29" s="230"/>
      <c r="I29" s="878"/>
      <c r="J29" s="230"/>
      <c r="K29" s="220"/>
      <c r="L29" s="230"/>
      <c r="O29" s="206"/>
      <c r="P29" s="206"/>
    </row>
    <row r="30" spans="2:16" ht="18">
      <c r="B30" s="225"/>
      <c r="C30" s="885"/>
      <c r="D30" s="226"/>
      <c r="E30" s="226"/>
      <c r="F30" s="226"/>
      <c r="G30" s="227"/>
      <c r="H30" s="222" t="s">
        <v>709</v>
      </c>
      <c r="I30" s="876" t="s">
        <v>710</v>
      </c>
      <c r="J30" s="224">
        <f>+SUM(J31:J34)</f>
        <v>241513713</v>
      </c>
      <c r="K30" s="224"/>
      <c r="L30" s="224">
        <f>+SUM(L31:L34)</f>
        <v>399252449</v>
      </c>
      <c r="O30" s="200"/>
      <c r="P30" s="200"/>
    </row>
    <row r="31" spans="2:16" ht="18">
      <c r="B31" s="218" t="s">
        <v>973</v>
      </c>
      <c r="C31" s="885"/>
      <c r="D31" s="224">
        <f>SUM(D32:D39)</f>
        <v>1584860254</v>
      </c>
      <c r="E31" s="224"/>
      <c r="F31" s="224">
        <f>SUM(F32:F39)</f>
        <v>276503989</v>
      </c>
      <c r="G31" s="227"/>
      <c r="H31" s="228" t="s">
        <v>86</v>
      </c>
      <c r="I31" s="878"/>
      <c r="J31" s="226">
        <f>-ROUND(SUMIF(Clasificaciones!B:B,BG!H31,Clasificaciones!G:G),1)</f>
        <v>152286289</v>
      </c>
      <c r="K31" s="220"/>
      <c r="L31" s="226">
        <f>-ROUND(SUMIF(Clasificaciones!B:B,BG!H31,Clasificaciones!K:K),1)</f>
        <v>263473906</v>
      </c>
      <c r="O31" s="200"/>
      <c r="P31" s="200"/>
    </row>
    <row r="32" spans="2:16" ht="18">
      <c r="B32" s="225" t="s">
        <v>18</v>
      </c>
      <c r="C32" s="883" t="s">
        <v>691</v>
      </c>
      <c r="D32" s="226">
        <f>SUMIF(Clasificaciones!B:B,BG!B32,Clasificaciones!G:G)</f>
        <v>73016363</v>
      </c>
      <c r="E32" s="226"/>
      <c r="F32" s="226">
        <f>SUMIF(Clasificaciones!B:B,BG!B32,Clasificaciones!K:K)</f>
        <v>4097206</v>
      </c>
      <c r="G32" s="217"/>
      <c r="H32" s="228" t="s">
        <v>87</v>
      </c>
      <c r="I32" s="879"/>
      <c r="J32" s="226">
        <f>-ROUND(SUMIF(Clasificaciones!B:B,BG!H32,Clasificaciones!G:G),1)</f>
        <v>9036062</v>
      </c>
      <c r="K32" s="226"/>
      <c r="L32" s="226">
        <f>-ROUND(SUMIF(Clasificaciones!B:B,BG!H32,Clasificaciones!K:K),1)</f>
        <v>0</v>
      </c>
      <c r="O32" s="200"/>
      <c r="P32" s="200"/>
    </row>
    <row r="33" spans="2:17" ht="18">
      <c r="B33" s="225" t="s">
        <v>88</v>
      </c>
      <c r="C33" s="883" t="s">
        <v>692</v>
      </c>
      <c r="D33" s="226">
        <f>SUMIF(Clasificaciones!B:B,BG!B33,Clasificaciones!G:G)</f>
        <v>1509567151</v>
      </c>
      <c r="E33" s="226"/>
      <c r="F33" s="226">
        <f>SUMIF(Clasificaciones!B:B,BG!B33,Clasificaciones!K:K)</f>
        <v>266036645</v>
      </c>
      <c r="G33" s="227"/>
      <c r="H33" s="228" t="s">
        <v>33</v>
      </c>
      <c r="I33" s="878"/>
      <c r="J33" s="226">
        <f>-ROUND(SUMIF(Clasificaciones!B:B,BG!H33,Clasificaciones!G:G),1)</f>
        <v>16334400</v>
      </c>
      <c r="K33" s="220"/>
      <c r="L33" s="226">
        <f>-ROUND(SUMIF(Clasificaciones!B:B,BG!H33,Clasificaciones!K:K),1)</f>
        <v>91845114</v>
      </c>
      <c r="O33" s="206"/>
      <c r="P33" s="206"/>
    </row>
    <row r="34" spans="2:17" ht="18">
      <c r="B34" s="225" t="s">
        <v>89</v>
      </c>
      <c r="C34" s="883"/>
      <c r="D34" s="226">
        <f>SUMIF(Clasificaciones!B:B,BG!B34,Clasificaciones!G:G)</f>
        <v>0</v>
      </c>
      <c r="E34" s="226"/>
      <c r="F34" s="226">
        <f>SUMIF(Clasificaciones!B:B,BG!B34,Clasificaciones!K:K)</f>
        <v>0</v>
      </c>
      <c r="G34" s="227"/>
      <c r="H34" s="228" t="s">
        <v>176</v>
      </c>
      <c r="I34" s="879"/>
      <c r="J34" s="226">
        <f>-ROUND(SUMIF(Clasificaciones!B:B,BG!H34,Clasificaciones!G:G),1)</f>
        <v>63856962</v>
      </c>
      <c r="K34" s="226"/>
      <c r="L34" s="226">
        <f>-ROUND(SUMIF(Clasificaciones!B:B,BG!H34,Clasificaciones!K:K),1)</f>
        <v>43933429</v>
      </c>
      <c r="O34" s="206"/>
      <c r="P34" s="206"/>
    </row>
    <row r="35" spans="2:17" ht="18">
      <c r="B35" s="225" t="s">
        <v>252</v>
      </c>
      <c r="C35" s="885"/>
      <c r="D35" s="226">
        <f>SUMIF(Clasificaciones!B:B,BG!B35,Clasificaciones!G:G)</f>
        <v>0</v>
      </c>
      <c r="E35" s="226"/>
      <c r="F35" s="226">
        <f>SUMIF(Clasificaciones!B:B,BG!B35,Clasificaciones!K:K)</f>
        <v>0</v>
      </c>
      <c r="G35" s="227"/>
      <c r="H35" s="228"/>
      <c r="I35" s="879"/>
      <c r="J35" s="226"/>
      <c r="K35" s="226"/>
      <c r="L35" s="226"/>
      <c r="O35" s="206"/>
      <c r="P35" s="206"/>
    </row>
    <row r="36" spans="2:17" ht="18">
      <c r="B36" s="225" t="s">
        <v>19</v>
      </c>
      <c r="C36" s="883" t="s">
        <v>695</v>
      </c>
      <c r="D36" s="226">
        <f>SUMIF(Clasificaciones!B:B,BG!B36,Clasificaciones!G:G)</f>
        <v>2276740</v>
      </c>
      <c r="E36" s="226"/>
      <c r="F36" s="226">
        <f>SUMIF(Clasificaciones!B:B,BG!B36,Clasificaciones!K:K)</f>
        <v>6370138</v>
      </c>
      <c r="G36" s="227"/>
      <c r="H36" s="222" t="s">
        <v>26</v>
      </c>
      <c r="I36" s="875"/>
      <c r="J36" s="224">
        <f>+SUM(J37:J40)</f>
        <v>68959033628</v>
      </c>
      <c r="K36" s="224"/>
      <c r="L36" s="224">
        <f>+SUM(L37:L40)</f>
        <v>21105229597</v>
      </c>
      <c r="O36" s="207"/>
      <c r="P36" s="206"/>
    </row>
    <row r="37" spans="2:17" ht="18">
      <c r="B37" s="225" t="s">
        <v>90</v>
      </c>
      <c r="C37" s="885"/>
      <c r="D37" s="226"/>
      <c r="E37" s="226"/>
      <c r="F37" s="226"/>
      <c r="G37" s="227"/>
      <c r="H37" s="228" t="s">
        <v>93</v>
      </c>
      <c r="I37" s="879"/>
      <c r="J37" s="226">
        <f>-ROUND(SUMIF(Clasificaciones!B:B,BG!H37,Clasificaciones!G:G),1)</f>
        <v>0</v>
      </c>
      <c r="K37" s="226"/>
      <c r="L37" s="226">
        <f>-ROUND(SUMIF(Clasificaciones!B:B,BG!H37,Clasificaciones!K:K),1)</f>
        <v>0</v>
      </c>
      <c r="O37" s="207"/>
      <c r="P37" s="200"/>
    </row>
    <row r="38" spans="2:17" ht="18">
      <c r="B38" s="225" t="s">
        <v>253</v>
      </c>
      <c r="C38" s="885"/>
      <c r="D38" s="226">
        <f>SUMIF(Clasificaciones!B:B,BG!B38,Clasificaciones!G:G)</f>
        <v>0</v>
      </c>
      <c r="E38" s="226"/>
      <c r="F38" s="226">
        <f>SUMIF(Clasificaciones!B:B,BG!B38,Clasificaciones!K:K)</f>
        <v>0</v>
      </c>
      <c r="G38" s="227"/>
      <c r="H38" s="228" t="s">
        <v>257</v>
      </c>
      <c r="I38" s="879"/>
      <c r="J38" s="226">
        <f>-ROUND(SUMIF(Clasificaciones!B:B,BG!H38,Clasificaciones!G:G),1)</f>
        <v>0</v>
      </c>
      <c r="K38" s="226"/>
      <c r="L38" s="226">
        <f>-ROUND(SUMIF(Clasificaciones!B:B,BG!H38,Clasificaciones!K:K),1)</f>
        <v>0</v>
      </c>
      <c r="O38" s="207"/>
      <c r="P38" s="200"/>
    </row>
    <row r="39" spans="2:17" ht="18">
      <c r="B39" s="225" t="s">
        <v>694</v>
      </c>
      <c r="C39" s="883" t="s">
        <v>693</v>
      </c>
      <c r="D39" s="226">
        <f>SUMIF(Clasificaciones!B:B,BG!B39,Clasificaciones!G:G)</f>
        <v>0</v>
      </c>
      <c r="E39" s="226"/>
      <c r="F39" s="226">
        <f>SUMIF(Clasificaciones!B:B,BG!B39,Clasificaciones!K:K)</f>
        <v>0</v>
      </c>
      <c r="G39" s="227"/>
      <c r="H39" s="228" t="s">
        <v>727</v>
      </c>
      <c r="I39" s="876" t="s">
        <v>716</v>
      </c>
      <c r="J39" s="226">
        <f>-ROUND(SUMIF(Clasificaciones!B:B,BG!H39,Clasificaciones!G:G),1)</f>
        <v>854597575</v>
      </c>
      <c r="K39" s="226"/>
      <c r="L39" s="226">
        <f>-ROUND(SUMIF(Clasificaciones!B:B,BG!H39,Clasificaciones!K:K),1)</f>
        <v>608986540</v>
      </c>
      <c r="O39" s="207"/>
      <c r="P39" s="200"/>
    </row>
    <row r="40" spans="2:17" ht="18">
      <c r="B40" s="225"/>
      <c r="C40" s="885"/>
      <c r="D40" s="226"/>
      <c r="E40" s="226"/>
      <c r="F40" s="226"/>
      <c r="G40" s="227"/>
      <c r="H40" s="228" t="s">
        <v>636</v>
      </c>
      <c r="I40" s="876"/>
      <c r="J40" s="226">
        <f>-ROUND(SUMIF(Clasificaciones!B:B,BG!H40,Clasificaciones!G:G),1)</f>
        <v>68104436053</v>
      </c>
      <c r="K40" s="226"/>
      <c r="L40" s="226">
        <f>-ROUND(SUMIF(Clasificaciones!B:B,BG!H40,Clasificaciones!K:K),1)</f>
        <v>20496243057</v>
      </c>
      <c r="O40" s="207"/>
      <c r="P40" s="200"/>
    </row>
    <row r="41" spans="2:17" ht="18">
      <c r="B41" s="225"/>
      <c r="C41" s="885"/>
      <c r="D41" s="226"/>
      <c r="E41" s="226"/>
      <c r="F41" s="226"/>
      <c r="G41" s="227"/>
      <c r="H41" s="228"/>
      <c r="I41" s="876"/>
      <c r="J41" s="226"/>
      <c r="K41" s="226"/>
      <c r="L41" s="226"/>
      <c r="O41" s="207"/>
      <c r="P41" s="200"/>
    </row>
    <row r="42" spans="2:17" ht="18">
      <c r="B42" s="218" t="s">
        <v>92</v>
      </c>
      <c r="C42" s="883" t="s">
        <v>1700</v>
      </c>
      <c r="D42" s="224">
        <f>+SUM(D43)</f>
        <v>292361268</v>
      </c>
      <c r="E42" s="224"/>
      <c r="F42" s="224">
        <f>+SUM(F43)</f>
        <v>136253379</v>
      </c>
      <c r="G42" s="227"/>
      <c r="H42" s="222" t="s">
        <v>27</v>
      </c>
      <c r="I42" s="875"/>
      <c r="J42" s="224">
        <f>+J18+J26+J30+J36</f>
        <v>71449093175</v>
      </c>
      <c r="K42" s="224"/>
      <c r="L42" s="224">
        <f>+L18+L26+L30+L36</f>
        <v>22666416136</v>
      </c>
      <c r="O42" s="207"/>
      <c r="P42" s="200"/>
    </row>
    <row r="43" spans="2:17" ht="18">
      <c r="B43" s="225" t="s">
        <v>723</v>
      </c>
      <c r="C43" s="883"/>
      <c r="D43" s="226">
        <f>SUMIF(Clasificaciones!B:B,BG!B43,Clasificaciones!G:G)</f>
        <v>292361268</v>
      </c>
      <c r="E43" s="226"/>
      <c r="F43" s="226">
        <f>SUMIF(Clasificaciones!B:B,BG!B43,Clasificaciones!K:K)</f>
        <v>136253379</v>
      </c>
      <c r="G43" s="227"/>
      <c r="H43" s="228"/>
      <c r="I43" s="879"/>
      <c r="J43" s="226"/>
      <c r="K43" s="226"/>
      <c r="L43" s="226"/>
      <c r="O43" s="207"/>
      <c r="P43" s="200"/>
    </row>
    <row r="44" spans="2:17" ht="18">
      <c r="B44" s="230"/>
      <c r="C44" s="884"/>
      <c r="D44" s="230"/>
      <c r="E44" s="230"/>
      <c r="F44" s="230"/>
      <c r="G44" s="217"/>
      <c r="H44" s="218" t="s">
        <v>98</v>
      </c>
      <c r="I44" s="880"/>
      <c r="J44" s="226"/>
      <c r="K44" s="226"/>
      <c r="L44" s="226"/>
      <c r="O44" s="207"/>
      <c r="P44" s="206"/>
      <c r="Q44" s="206"/>
    </row>
    <row r="45" spans="2:17" ht="18">
      <c r="B45" s="225"/>
      <c r="C45" s="885"/>
      <c r="D45" s="226"/>
      <c r="E45" s="226"/>
      <c r="F45" s="226"/>
      <c r="G45" s="227"/>
      <c r="H45" s="218" t="s">
        <v>99</v>
      </c>
      <c r="I45" s="880"/>
      <c r="J45" s="226">
        <f>+SUM(J46:J51)</f>
        <v>0</v>
      </c>
      <c r="K45" s="226"/>
      <c r="L45" s="226">
        <v>0</v>
      </c>
      <c r="O45" s="206"/>
      <c r="P45" s="206"/>
    </row>
    <row r="46" spans="2:17" ht="18">
      <c r="B46" s="218" t="s">
        <v>20</v>
      </c>
      <c r="C46" s="885"/>
      <c r="D46" s="224">
        <f>+D18+D23+D31+D42</f>
        <v>91991760820</v>
      </c>
      <c r="E46" s="224"/>
      <c r="F46" s="224">
        <f>+F18+F23+F31+F42</f>
        <v>30237621306</v>
      </c>
      <c r="G46" s="227"/>
      <c r="H46" s="232" t="s">
        <v>255</v>
      </c>
      <c r="I46" s="881"/>
      <c r="J46" s="226">
        <f>+SUMIF(Clasificaciones!B:B,BG!H46,Clasificaciones!G:G)</f>
        <v>0</v>
      </c>
      <c r="K46" s="226"/>
      <c r="L46" s="226">
        <v>0</v>
      </c>
      <c r="O46" s="206"/>
      <c r="P46" s="206"/>
    </row>
    <row r="47" spans="2:17" ht="18">
      <c r="B47" s="225"/>
      <c r="C47" s="885"/>
      <c r="D47" s="226"/>
      <c r="E47" s="226"/>
      <c r="F47" s="226"/>
      <c r="G47" s="227"/>
      <c r="H47" s="232" t="s">
        <v>269</v>
      </c>
      <c r="I47" s="881"/>
      <c r="J47" s="226">
        <f>+SUMIF(Clasificaciones!B:B,BG!H47,Clasificaciones!G:G)</f>
        <v>0</v>
      </c>
      <c r="K47" s="226"/>
      <c r="L47" s="226">
        <v>0</v>
      </c>
      <c r="O47" s="206"/>
      <c r="P47" s="200"/>
    </row>
    <row r="48" spans="2:17" ht="18">
      <c r="B48" s="218" t="s">
        <v>7</v>
      </c>
      <c r="C48" s="885"/>
      <c r="D48" s="226"/>
      <c r="E48" s="226"/>
      <c r="F48" s="226"/>
      <c r="G48" s="227"/>
      <c r="H48" s="232" t="s">
        <v>83</v>
      </c>
      <c r="I48" s="881"/>
      <c r="J48" s="226">
        <f>+SUMIF(Clasificaciones!B:B,BG!H48,Clasificaciones!G:G)</f>
        <v>0</v>
      </c>
      <c r="K48" s="226"/>
      <c r="L48" s="226">
        <v>0</v>
      </c>
      <c r="O48" s="206"/>
      <c r="P48" s="200"/>
    </row>
    <row r="49" spans="2:16" ht="18">
      <c r="B49" s="218" t="s">
        <v>724</v>
      </c>
      <c r="C49" s="883" t="s">
        <v>689</v>
      </c>
      <c r="D49" s="224">
        <f>+SUM(D50:D53)</f>
        <v>7946406868</v>
      </c>
      <c r="E49" s="224"/>
      <c r="F49" s="224">
        <f>+SUM(F50:F53)</f>
        <v>4454990631</v>
      </c>
      <c r="G49" s="217"/>
      <c r="H49" s="232" t="s">
        <v>100</v>
      </c>
      <c r="I49" s="881"/>
      <c r="J49" s="226"/>
      <c r="K49" s="226"/>
      <c r="L49" s="226"/>
      <c r="O49" s="200"/>
      <c r="P49" s="200"/>
    </row>
    <row r="50" spans="2:16" ht="18">
      <c r="B50" s="225" t="s">
        <v>638</v>
      </c>
      <c r="C50" s="885"/>
      <c r="D50" s="226">
        <f>SUMIF(Clasificaciones!B:B,BG!B50,Clasificaciones!G:G)</f>
        <v>7046406868</v>
      </c>
      <c r="E50" s="226"/>
      <c r="F50" s="226">
        <f>SUMIF(Clasificaciones!B:B,BG!B50,Clasificaciones!K:K)</f>
        <v>3603990631</v>
      </c>
      <c r="G50" s="227"/>
      <c r="H50" s="232" t="s">
        <v>254</v>
      </c>
      <c r="I50" s="881"/>
      <c r="J50" s="226">
        <f>+SUMIF(Clasificaciones!B:B,BG!H50,Clasificaciones!G:G)</f>
        <v>0</v>
      </c>
      <c r="K50" s="226"/>
      <c r="L50" s="226">
        <v>0</v>
      </c>
      <c r="O50" s="200"/>
      <c r="P50" s="200"/>
    </row>
    <row r="51" spans="2:16" ht="18">
      <c r="B51" s="225" t="s">
        <v>85</v>
      </c>
      <c r="C51" s="885"/>
      <c r="D51" s="226">
        <v>0</v>
      </c>
      <c r="E51" s="226"/>
      <c r="F51" s="226">
        <v>0</v>
      </c>
      <c r="G51" s="227"/>
      <c r="H51" s="232" t="s">
        <v>102</v>
      </c>
      <c r="I51" s="881"/>
      <c r="J51" s="226">
        <f>+SUMIF(Clasificaciones!B:B,BG!H51,Clasificaciones!G:G)</f>
        <v>0</v>
      </c>
      <c r="K51" s="226"/>
      <c r="L51" s="226">
        <v>0</v>
      </c>
      <c r="O51" s="200"/>
      <c r="P51" s="200"/>
    </row>
    <row r="52" spans="2:16" ht="18">
      <c r="B52" s="225" t="s">
        <v>74</v>
      </c>
      <c r="C52" s="885"/>
      <c r="D52" s="226">
        <f>SUMIF(Clasificaciones!B:B,BG!B52,Clasificaciones!G:G)</f>
        <v>900000000</v>
      </c>
      <c r="E52" s="226"/>
      <c r="F52" s="226">
        <f>SUMIF(Clasificaciones!B:B,BG!B52,Clasificaciones!K:K)</f>
        <v>851000000</v>
      </c>
      <c r="G52" s="217"/>
      <c r="H52" s="232"/>
      <c r="I52" s="881"/>
      <c r="J52" s="226"/>
      <c r="K52" s="226"/>
      <c r="L52" s="226"/>
      <c r="O52" s="200"/>
      <c r="P52" s="200"/>
    </row>
    <row r="53" spans="2:16" ht="18">
      <c r="B53" s="225" t="s">
        <v>84</v>
      </c>
      <c r="C53" s="885"/>
      <c r="D53" s="226">
        <f>SUMIF(Clasificaciones!B:B,BG!B53,Clasificaciones!G:G)</f>
        <v>0</v>
      </c>
      <c r="E53" s="226"/>
      <c r="F53" s="226">
        <f>SUMIF(Clasificaciones!B:B,BG!B53,Clasificaciones!K:K)</f>
        <v>0</v>
      </c>
      <c r="G53" s="227"/>
      <c r="H53" s="218" t="s">
        <v>268</v>
      </c>
      <c r="I53" s="880"/>
      <c r="J53" s="224">
        <f>+SUM(J54:J55)</f>
        <v>0</v>
      </c>
      <c r="K53" s="224"/>
      <c r="L53" s="226">
        <v>0</v>
      </c>
      <c r="O53" s="206"/>
      <c r="P53" s="200"/>
    </row>
    <row r="54" spans="2:16" ht="18">
      <c r="B54" s="225"/>
      <c r="C54" s="885"/>
      <c r="D54" s="226"/>
      <c r="E54" s="226"/>
      <c r="F54" s="226"/>
      <c r="G54" s="227"/>
      <c r="H54" s="232" t="s">
        <v>103</v>
      </c>
      <c r="I54" s="881"/>
      <c r="J54" s="226">
        <f>+SUMIF(Clasificaciones!B:B,BG!H54,Clasificaciones!G:G)</f>
        <v>0</v>
      </c>
      <c r="K54" s="226"/>
      <c r="L54" s="226">
        <v>0</v>
      </c>
      <c r="O54" s="206"/>
      <c r="P54" s="200"/>
    </row>
    <row r="55" spans="2:16" ht="18">
      <c r="B55" s="218" t="s">
        <v>264</v>
      </c>
      <c r="C55" s="885"/>
      <c r="D55" s="224">
        <f>+SUM(D56:D63)</f>
        <v>0</v>
      </c>
      <c r="E55" s="224"/>
      <c r="F55" s="226">
        <f>SUMIF(Clasificaciones!B:B,BG!B55,Clasificaciones!K:K)</f>
        <v>0</v>
      </c>
      <c r="G55" s="227"/>
      <c r="H55" s="232" t="s">
        <v>350</v>
      </c>
      <c r="I55" s="881"/>
      <c r="J55" s="226">
        <v>0</v>
      </c>
      <c r="K55" s="226"/>
      <c r="L55" s="226">
        <v>0</v>
      </c>
      <c r="O55" s="206"/>
      <c r="P55" s="200"/>
    </row>
    <row r="56" spans="2:16" ht="18">
      <c r="B56" s="225" t="s">
        <v>94</v>
      </c>
      <c r="C56" s="885"/>
      <c r="D56" s="226">
        <f>SUMIF(Clasificaciones!B:B,BG!B56,Clasificaciones!G:G)</f>
        <v>0</v>
      </c>
      <c r="E56" s="226"/>
      <c r="F56" s="226">
        <f>SUMIF(Clasificaciones!B:B,BG!B56,Clasificaciones!K:K)</f>
        <v>0</v>
      </c>
      <c r="G56" s="227"/>
      <c r="H56" s="232"/>
      <c r="I56" s="881"/>
      <c r="J56" s="226"/>
      <c r="K56" s="226"/>
      <c r="L56" s="226"/>
      <c r="O56" s="206"/>
      <c r="P56" s="200"/>
    </row>
    <row r="57" spans="2:16" ht="18">
      <c r="B57" s="225" t="s">
        <v>235</v>
      </c>
      <c r="C57" s="885"/>
      <c r="D57" s="226">
        <f>SUMIF(Clasificaciones!B:B,BG!B57,Clasificaciones!G:G)</f>
        <v>0</v>
      </c>
      <c r="E57" s="226"/>
      <c r="F57" s="226">
        <f>SUMIF(Clasificaciones!B:B,BG!B57,Clasificaciones!K:K)</f>
        <v>0</v>
      </c>
      <c r="G57" s="227"/>
      <c r="H57" s="218" t="s">
        <v>267</v>
      </c>
      <c r="I57" s="880"/>
      <c r="J57" s="224">
        <f>+SUM(J58:J60)</f>
        <v>0</v>
      </c>
      <c r="K57" s="224"/>
      <c r="L57" s="226">
        <v>0</v>
      </c>
      <c r="O57" s="200"/>
      <c r="P57" s="200"/>
    </row>
    <row r="58" spans="2:16" ht="18">
      <c r="B58" s="225" t="s">
        <v>95</v>
      </c>
      <c r="C58" s="885"/>
      <c r="D58" s="226">
        <f>SUMIF(Clasificaciones!B:B,BG!B58,Clasificaciones!G:G)</f>
        <v>0</v>
      </c>
      <c r="E58" s="226"/>
      <c r="F58" s="226">
        <f>SUMIF(Clasificaciones!B:B,BG!B58,Clasificaciones!K:K)</f>
        <v>0</v>
      </c>
      <c r="G58" s="217"/>
      <c r="H58" s="232" t="s">
        <v>104</v>
      </c>
      <c r="I58" s="881"/>
      <c r="J58" s="226">
        <f>+SUMIF(Clasificaciones!B:B,BG!H58,Clasificaciones!G:G)</f>
        <v>0</v>
      </c>
      <c r="K58" s="226"/>
      <c r="L58" s="226">
        <v>0</v>
      </c>
      <c r="O58" s="200"/>
      <c r="P58" s="200"/>
    </row>
    <row r="59" spans="2:16" ht="18">
      <c r="B59" s="225" t="s">
        <v>258</v>
      </c>
      <c r="C59" s="885"/>
      <c r="D59" s="226">
        <f>SUMIF(Clasificaciones!B:B,BG!B59,Clasificaciones!G:G)</f>
        <v>0</v>
      </c>
      <c r="E59" s="226"/>
      <c r="F59" s="226">
        <f>SUMIF(Clasificaciones!B:B,BG!B59,Clasificaciones!K:K)</f>
        <v>0</v>
      </c>
      <c r="G59" s="227"/>
      <c r="H59" s="232" t="s">
        <v>266</v>
      </c>
      <c r="I59" s="881"/>
      <c r="J59" s="226">
        <f>+SUMIF(Clasificaciones!B:B,BG!H59,Clasificaciones!G:G)</f>
        <v>0</v>
      </c>
      <c r="K59" s="226"/>
      <c r="L59" s="226">
        <v>0</v>
      </c>
      <c r="O59" s="200"/>
      <c r="P59" s="200"/>
    </row>
    <row r="60" spans="2:16" ht="18">
      <c r="B60" s="225" t="s">
        <v>352</v>
      </c>
      <c r="C60" s="885"/>
      <c r="D60" s="226">
        <f>SUMIF(Clasificaciones!B:B,BG!B60,Clasificaciones!G:G)</f>
        <v>0</v>
      </c>
      <c r="E60" s="226"/>
      <c r="F60" s="226">
        <f>SUMIF(Clasificaciones!B:B,BG!B60,Clasificaciones!K:K)</f>
        <v>0</v>
      </c>
      <c r="G60" s="227"/>
      <c r="H60" s="232" t="s">
        <v>265</v>
      </c>
      <c r="I60" s="881"/>
      <c r="J60" s="226">
        <f>+SUMIF(Clasificaciones!B:B,BG!H60,Clasificaciones!G:G)</f>
        <v>0</v>
      </c>
      <c r="K60" s="226"/>
      <c r="L60" s="226">
        <v>0</v>
      </c>
      <c r="O60" s="200"/>
      <c r="P60" s="200"/>
    </row>
    <row r="61" spans="2:16" ht="18">
      <c r="B61" s="225" t="s">
        <v>90</v>
      </c>
      <c r="C61" s="885"/>
      <c r="D61" s="226"/>
      <c r="E61" s="226"/>
      <c r="F61" s="226"/>
      <c r="G61" s="227"/>
      <c r="H61" s="222" t="s">
        <v>105</v>
      </c>
      <c r="I61" s="875"/>
      <c r="J61" s="224">
        <v>0</v>
      </c>
      <c r="K61" s="224"/>
      <c r="L61" s="226">
        <v>0</v>
      </c>
      <c r="O61" s="200"/>
      <c r="P61" s="200"/>
    </row>
    <row r="62" spans="2:16" ht="18">
      <c r="B62" s="225" t="s">
        <v>259</v>
      </c>
      <c r="C62" s="885"/>
      <c r="D62" s="226">
        <f>SUMIF(Clasificaciones!B:B,BG!B62,Clasificaciones!G:G)</f>
        <v>0</v>
      </c>
      <c r="E62" s="226"/>
      <c r="F62" s="226">
        <f>SUMIF(Clasificaciones!B:B,BG!B62,Clasificaciones!K:K)</f>
        <v>0</v>
      </c>
      <c r="G62" s="227"/>
      <c r="H62" s="222" t="s">
        <v>28</v>
      </c>
      <c r="I62" s="875"/>
      <c r="J62" s="224">
        <f>+J61+J42</f>
        <v>71449093175</v>
      </c>
      <c r="K62" s="224"/>
      <c r="L62" s="224">
        <f>+L61+L42</f>
        <v>22666416136</v>
      </c>
      <c r="O62" s="200"/>
      <c r="P62" s="200"/>
    </row>
    <row r="63" spans="2:16" ht="18">
      <c r="B63" s="225" t="s">
        <v>91</v>
      </c>
      <c r="C63" s="885"/>
      <c r="D63" s="226">
        <f>SUMIF(Clasificaciones!B:B,BG!B63,Clasificaciones!G:G)</f>
        <v>0</v>
      </c>
      <c r="E63" s="226"/>
      <c r="F63" s="226">
        <f>SUMIF(Clasificaciones!B:B,BG!B63,Clasificaciones!K:K)</f>
        <v>0</v>
      </c>
      <c r="G63" s="227"/>
      <c r="H63" s="225"/>
      <c r="I63" s="877"/>
      <c r="J63" s="226"/>
      <c r="K63" s="226"/>
      <c r="L63" s="226"/>
      <c r="O63" s="200"/>
      <c r="P63" s="200"/>
    </row>
    <row r="64" spans="2:16" ht="18">
      <c r="B64" s="225"/>
      <c r="C64" s="885"/>
      <c r="D64" s="226"/>
      <c r="E64" s="226"/>
      <c r="F64" s="226"/>
      <c r="G64" s="227"/>
      <c r="H64" s="222" t="s">
        <v>23</v>
      </c>
      <c r="I64" s="875"/>
      <c r="J64" s="226"/>
      <c r="K64" s="226"/>
      <c r="L64" s="226"/>
      <c r="O64" s="200"/>
      <c r="P64" s="200"/>
    </row>
    <row r="65" spans="2:16" ht="36">
      <c r="B65" s="218" t="s">
        <v>1436</v>
      </c>
      <c r="C65" s="883" t="s">
        <v>1701</v>
      </c>
      <c r="D65" s="224">
        <f>SUMIF(Clasificaciones!B:B,BG!B65,Clasificaciones!G:G)</f>
        <v>1045579988</v>
      </c>
      <c r="E65" s="224"/>
      <c r="F65" s="224">
        <f>SUMIF(Clasificaciones!B:B,BG!B65,Clasificaciones!K:K)</f>
        <v>17546645</v>
      </c>
      <c r="G65" s="227"/>
      <c r="H65" s="233" t="s">
        <v>29</v>
      </c>
      <c r="I65" s="882" t="s">
        <v>1699</v>
      </c>
      <c r="J65" s="224">
        <f>ROUND(VPN!L22,0)</f>
        <v>30343385024</v>
      </c>
      <c r="K65" s="224"/>
      <c r="L65" s="224">
        <v>12796909126</v>
      </c>
      <c r="O65" s="200"/>
      <c r="P65" s="200"/>
    </row>
    <row r="66" spans="2:16" ht="18">
      <c r="B66" s="225" t="s">
        <v>1437</v>
      </c>
      <c r="C66" s="883"/>
      <c r="D66" s="226">
        <f>SUMIF(Clasificaciones!B:B,BG!B66,Clasificaciones!G:G)</f>
        <v>-10541588</v>
      </c>
      <c r="E66" s="224"/>
      <c r="F66" s="224">
        <f>SUMIF(Clasificaciones!B:B,BG!B66,Clasificaciones!K:K)</f>
        <v>-2839598</v>
      </c>
      <c r="G66" s="227"/>
      <c r="H66" s="233"/>
      <c r="I66" s="874"/>
      <c r="J66" s="224"/>
      <c r="K66" s="224"/>
      <c r="L66" s="224"/>
      <c r="O66" s="200"/>
      <c r="P66" s="200"/>
    </row>
    <row r="67" spans="2:16" ht="18">
      <c r="B67" s="220"/>
      <c r="C67" s="885"/>
      <c r="D67" s="220"/>
      <c r="E67" s="220"/>
      <c r="F67" s="220"/>
      <c r="G67" s="227"/>
      <c r="H67" s="225"/>
      <c r="I67" s="872"/>
      <c r="J67" s="226"/>
      <c r="K67" s="226"/>
      <c r="L67" s="226"/>
      <c r="O67" s="200"/>
      <c r="P67" s="200"/>
    </row>
    <row r="68" spans="2:16" ht="18">
      <c r="B68" s="218" t="s">
        <v>701</v>
      </c>
      <c r="C68" s="885" t="s">
        <v>702</v>
      </c>
      <c r="D68" s="224">
        <f>+SUM(D69:D73)</f>
        <v>806897193</v>
      </c>
      <c r="E68" s="224"/>
      <c r="F68" s="224">
        <f>+SUM(F69:F73)</f>
        <v>756006278</v>
      </c>
      <c r="G68" s="227"/>
      <c r="H68" s="225"/>
      <c r="I68" s="872"/>
      <c r="J68" s="226"/>
      <c r="K68" s="226"/>
      <c r="L68" s="226"/>
      <c r="O68" s="200"/>
      <c r="P68" s="200"/>
    </row>
    <row r="69" spans="2:16" ht="18">
      <c r="B69" s="225" t="s">
        <v>96</v>
      </c>
      <c r="C69" s="883"/>
      <c r="D69" s="226">
        <f>SUMIF(Clasificaciones!B:B,BG!B69,Clasificaciones!G:G)</f>
        <v>345173952</v>
      </c>
      <c r="E69" s="226"/>
      <c r="F69" s="226">
        <f>SUMIF(Clasificaciones!B:B,BG!B69,Clasificaciones!K:K)</f>
        <v>190189175</v>
      </c>
      <c r="G69" s="217"/>
      <c r="H69" s="222"/>
      <c r="I69" s="871"/>
      <c r="J69" s="226"/>
      <c r="K69" s="226"/>
      <c r="L69" s="226"/>
      <c r="O69" s="200"/>
      <c r="P69" s="200"/>
    </row>
    <row r="70" spans="2:16" ht="18">
      <c r="B70" s="225" t="s">
        <v>97</v>
      </c>
      <c r="C70" s="883"/>
      <c r="D70" s="226">
        <f>SUMIF(Clasificaciones!B:B,BG!B70,Clasificaciones!G:G)</f>
        <v>8000000</v>
      </c>
      <c r="E70" s="226"/>
      <c r="F70" s="226">
        <f>SUMIF(Clasificaciones!B:B,BG!B70,Clasificaciones!K:K)</f>
        <v>8000000</v>
      </c>
      <c r="G70" s="227"/>
      <c r="H70" s="234"/>
      <c r="I70" s="873"/>
      <c r="J70" s="226"/>
      <c r="K70" s="226"/>
      <c r="L70" s="226"/>
      <c r="O70" s="200"/>
      <c r="P70" s="200"/>
    </row>
    <row r="71" spans="2:16" ht="18">
      <c r="B71" s="225" t="s">
        <v>331</v>
      </c>
      <c r="C71" s="883"/>
      <c r="D71" s="226">
        <f>SUMIF(Clasificaciones!B:B,BG!B71,Clasificaciones!G:G)</f>
        <v>57764419</v>
      </c>
      <c r="E71" s="226"/>
      <c r="F71" s="226">
        <f>SUMIF(Clasificaciones!B:B,BG!B71,Clasificaciones!K:K)</f>
        <v>57764419</v>
      </c>
      <c r="G71" s="227"/>
      <c r="H71" s="234"/>
      <c r="I71" s="873"/>
      <c r="J71" s="226"/>
      <c r="K71" s="226"/>
      <c r="L71" s="226"/>
      <c r="O71" s="200"/>
      <c r="P71" s="200"/>
    </row>
    <row r="72" spans="2:16" ht="18">
      <c r="B72" s="225" t="s">
        <v>841</v>
      </c>
      <c r="C72" s="883"/>
      <c r="D72" s="226">
        <f>SUMIF(Clasificaciones!B:B,BG!B72,Clasificaciones!G:G)</f>
        <v>736036747</v>
      </c>
      <c r="E72" s="226"/>
      <c r="F72" s="226">
        <f>SUMIF(Clasificaciones!B:B,BG!B72,Clasificaciones!K:K)</f>
        <v>664927388</v>
      </c>
      <c r="G72" s="227"/>
      <c r="H72" s="234"/>
      <c r="I72" s="873"/>
      <c r="J72" s="226"/>
      <c r="K72" s="226"/>
      <c r="L72" s="226"/>
      <c r="O72" s="200"/>
      <c r="P72" s="200"/>
    </row>
    <row r="73" spans="2:16" ht="18">
      <c r="B73" s="225" t="s">
        <v>1438</v>
      </c>
      <c r="C73" s="883"/>
      <c r="D73" s="226">
        <f>SUMIF(Clasificaciones!B:B,BG!B73,Clasificaciones!G:G)</f>
        <v>-340077925</v>
      </c>
      <c r="E73" s="226"/>
      <c r="F73" s="226">
        <f>SUMIF(Clasificaciones!B:B,BG!B73,Clasificaciones!K:K)</f>
        <v>-164874704</v>
      </c>
      <c r="G73" s="227"/>
      <c r="H73" s="234"/>
      <c r="I73" s="873"/>
      <c r="J73" s="226"/>
      <c r="K73" s="226"/>
      <c r="L73" s="226"/>
      <c r="O73" s="200"/>
      <c r="P73" s="200"/>
    </row>
    <row r="74" spans="2:16" ht="18">
      <c r="B74" s="225"/>
      <c r="C74" s="885"/>
      <c r="D74" s="226"/>
      <c r="E74" s="226"/>
      <c r="F74" s="226"/>
      <c r="G74" s="227"/>
      <c r="H74" s="234"/>
      <c r="I74" s="873"/>
      <c r="J74" s="226"/>
      <c r="K74" s="226"/>
      <c r="L74" s="226"/>
      <c r="O74" s="200"/>
      <c r="P74" s="200"/>
    </row>
    <row r="75" spans="2:16" ht="18">
      <c r="B75" s="218" t="s">
        <v>1332</v>
      </c>
      <c r="C75" s="883" t="s">
        <v>1700</v>
      </c>
      <c r="D75" s="224">
        <f>+SUM(D76)</f>
        <v>12374918</v>
      </c>
      <c r="E75" s="224"/>
      <c r="F75" s="224">
        <v>0</v>
      </c>
      <c r="G75" s="227"/>
      <c r="H75" s="234"/>
      <c r="I75" s="873"/>
      <c r="J75" s="226"/>
      <c r="K75" s="226"/>
      <c r="L75" s="226"/>
      <c r="O75" s="200"/>
      <c r="P75" s="200"/>
    </row>
    <row r="76" spans="2:16" ht="18">
      <c r="B76" s="225" t="s">
        <v>1333</v>
      </c>
      <c r="C76" s="883"/>
      <c r="D76" s="226">
        <f>SUMIF(Clasificaciones!B:B,BG!B76,Clasificaciones!G:G)</f>
        <v>12374918</v>
      </c>
      <c r="E76" s="226"/>
      <c r="F76" s="226">
        <f>SUMIF(Clasificaciones!B:B,BG!B76,Clasificaciones!K:K)</f>
        <v>0</v>
      </c>
      <c r="G76" s="227"/>
      <c r="H76" s="234"/>
      <c r="I76" s="873"/>
      <c r="J76" s="226"/>
      <c r="K76" s="226"/>
      <c r="L76" s="226"/>
      <c r="O76" s="200"/>
      <c r="P76" s="200"/>
    </row>
    <row r="77" spans="2:16" ht="18">
      <c r="B77" s="225"/>
      <c r="C77" s="885"/>
      <c r="D77" s="226"/>
      <c r="E77" s="226"/>
      <c r="F77" s="226"/>
      <c r="G77" s="227"/>
      <c r="H77" s="234"/>
      <c r="I77" s="873"/>
      <c r="J77" s="226"/>
      <c r="K77" s="226"/>
      <c r="L77" s="226"/>
      <c r="O77" s="200"/>
      <c r="P77" s="200"/>
    </row>
    <row r="78" spans="2:16" ht="18">
      <c r="B78" s="218" t="s">
        <v>24</v>
      </c>
      <c r="C78" s="885"/>
      <c r="D78" s="224">
        <f>+D49+D65+D68+D75+D66</f>
        <v>9800717379</v>
      </c>
      <c r="E78" s="224"/>
      <c r="F78" s="224">
        <f>+F49+F65+F68+F75+F66</f>
        <v>5225703956</v>
      </c>
      <c r="G78" s="227"/>
      <c r="H78" s="234"/>
      <c r="I78" s="873"/>
      <c r="J78" s="226"/>
      <c r="K78" s="226"/>
      <c r="L78" s="226"/>
      <c r="O78" s="200"/>
      <c r="P78" s="200"/>
    </row>
    <row r="79" spans="2:16" ht="18">
      <c r="B79" s="218"/>
      <c r="C79" s="219"/>
      <c r="D79" s="224"/>
      <c r="E79" s="224"/>
      <c r="F79" s="224"/>
      <c r="G79" s="217"/>
      <c r="H79" s="220"/>
      <c r="I79" s="872"/>
      <c r="J79" s="226"/>
      <c r="K79" s="226"/>
      <c r="L79" s="226"/>
      <c r="O79" s="200"/>
      <c r="P79" s="200"/>
    </row>
    <row r="80" spans="2:16" ht="18">
      <c r="B80" s="218" t="s">
        <v>25</v>
      </c>
      <c r="C80" s="219"/>
      <c r="D80" s="224">
        <f>+D78+D46</f>
        <v>101792478199</v>
      </c>
      <c r="E80" s="224"/>
      <c r="F80" s="224">
        <f>+F78+F46</f>
        <v>35463325262</v>
      </c>
      <c r="G80" s="217"/>
      <c r="H80" s="222" t="s">
        <v>30</v>
      </c>
      <c r="I80" s="871"/>
      <c r="J80" s="224">
        <f>+J62+J65</f>
        <v>101792478199</v>
      </c>
      <c r="K80" s="224"/>
      <c r="L80" s="224">
        <f>+L62+L65</f>
        <v>35463325262</v>
      </c>
      <c r="N80" s="208">
        <f>+D80-J80</f>
        <v>0</v>
      </c>
      <c r="O80" s="208">
        <f>+L80-F80</f>
        <v>0</v>
      </c>
      <c r="P80" s="200"/>
    </row>
    <row r="81" spans="2:16" ht="18">
      <c r="B81" s="218"/>
      <c r="C81" s="219"/>
      <c r="D81" s="224"/>
      <c r="E81" s="224"/>
      <c r="F81" s="224"/>
      <c r="G81" s="217"/>
      <c r="H81" s="220"/>
      <c r="I81" s="872"/>
      <c r="J81" s="235"/>
      <c r="K81" s="235"/>
      <c r="L81" s="220"/>
      <c r="N81" s="208"/>
      <c r="O81" s="208"/>
      <c r="P81" s="200"/>
    </row>
    <row r="82" spans="2:16" ht="18">
      <c r="B82" s="236"/>
      <c r="C82" s="236"/>
      <c r="D82" s="237"/>
      <c r="E82" s="237"/>
      <c r="F82" s="238"/>
      <c r="G82" s="239"/>
      <c r="H82" s="236"/>
      <c r="I82" s="236"/>
      <c r="J82" s="236"/>
      <c r="K82" s="240"/>
      <c r="L82" s="236"/>
      <c r="N82" s="209"/>
      <c r="O82" s="209"/>
      <c r="P82" s="200"/>
    </row>
    <row r="83" spans="2:16" ht="18">
      <c r="B83" s="241" t="s">
        <v>666</v>
      </c>
      <c r="C83" s="242"/>
      <c r="D83" s="242"/>
      <c r="E83" s="242"/>
      <c r="F83" s="243"/>
      <c r="G83" s="242"/>
      <c r="H83" s="236"/>
      <c r="I83" s="236"/>
      <c r="J83" s="236"/>
      <c r="K83" s="240"/>
      <c r="L83" s="236"/>
      <c r="O83" s="200"/>
      <c r="P83" s="200"/>
    </row>
    <row r="84" spans="2:16" ht="18">
      <c r="B84" s="236"/>
      <c r="C84" s="236"/>
      <c r="D84" s="236"/>
      <c r="E84" s="236"/>
      <c r="F84" s="240"/>
      <c r="G84" s="244"/>
      <c r="H84" s="236"/>
      <c r="I84" s="236"/>
      <c r="J84" s="236"/>
      <c r="K84" s="240"/>
      <c r="L84" s="236"/>
      <c r="O84" s="200"/>
      <c r="P84" s="200"/>
    </row>
    <row r="85" spans="2:16" ht="18">
      <c r="B85" s="245" t="s">
        <v>3</v>
      </c>
      <c r="C85" s="215"/>
      <c r="D85" s="216">
        <v>44561</v>
      </c>
      <c r="E85" s="216"/>
      <c r="F85" s="216">
        <v>44196</v>
      </c>
      <c r="G85" s="246"/>
      <c r="H85" s="245" t="s">
        <v>8</v>
      </c>
      <c r="I85" s="245"/>
      <c r="J85" s="216">
        <v>44561</v>
      </c>
      <c r="K85" s="216"/>
      <c r="L85" s="216">
        <v>44196</v>
      </c>
      <c r="O85" s="200"/>
      <c r="P85" s="200"/>
    </row>
    <row r="86" spans="2:16" ht="18">
      <c r="B86" s="225" t="s">
        <v>106</v>
      </c>
      <c r="C86" s="220"/>
      <c r="D86" s="247">
        <v>1153596897526.0789</v>
      </c>
      <c r="E86" s="221"/>
      <c r="F86" s="247">
        <v>840320236612.55542</v>
      </c>
      <c r="G86" s="246"/>
      <c r="H86" s="225" t="s">
        <v>108</v>
      </c>
      <c r="I86" s="220"/>
      <c r="J86" s="247">
        <v>1153596897526.0789</v>
      </c>
      <c r="K86" s="221"/>
      <c r="L86" s="247">
        <v>840320236612.55542</v>
      </c>
      <c r="N86" s="185"/>
      <c r="O86" s="200"/>
      <c r="P86" s="200"/>
    </row>
    <row r="87" spans="2:16" ht="18">
      <c r="B87" s="225" t="s">
        <v>107</v>
      </c>
      <c r="C87" s="220"/>
      <c r="D87" s="248">
        <v>0</v>
      </c>
      <c r="E87" s="248"/>
      <c r="F87" s="248">
        <v>0</v>
      </c>
      <c r="G87" s="246"/>
      <c r="H87" s="225" t="s">
        <v>109</v>
      </c>
      <c r="I87" s="220"/>
      <c r="J87" s="248">
        <v>0</v>
      </c>
      <c r="K87" s="248"/>
      <c r="L87" s="248">
        <v>0</v>
      </c>
      <c r="O87" s="200"/>
      <c r="P87" s="200"/>
    </row>
    <row r="88" spans="2:16" ht="18">
      <c r="B88" s="236"/>
      <c r="C88" s="236"/>
      <c r="D88" s="236"/>
      <c r="E88" s="236"/>
      <c r="F88" s="240"/>
      <c r="G88" s="246"/>
      <c r="H88" s="236"/>
      <c r="I88" s="236"/>
      <c r="J88" s="237"/>
      <c r="K88" s="238"/>
      <c r="L88" s="236"/>
      <c r="O88" s="200"/>
      <c r="P88" s="200"/>
    </row>
    <row r="89" spans="2:16" ht="18">
      <c r="B89" s="236"/>
      <c r="C89" s="236"/>
      <c r="D89" s="236"/>
      <c r="E89" s="236"/>
      <c r="F89" s="240"/>
      <c r="G89" s="246"/>
      <c r="H89" s="236"/>
      <c r="I89" s="236"/>
      <c r="J89" s="237"/>
      <c r="K89" s="238"/>
      <c r="L89" s="236"/>
      <c r="O89" s="200"/>
      <c r="P89" s="200"/>
    </row>
    <row r="90" spans="2:16" ht="18">
      <c r="B90" s="249" t="s">
        <v>353</v>
      </c>
      <c r="C90" s="249"/>
      <c r="D90" s="236"/>
      <c r="E90" s="236"/>
      <c r="F90" s="240"/>
      <c r="G90" s="244"/>
      <c r="H90" s="236"/>
      <c r="I90" s="236"/>
      <c r="J90" s="250"/>
      <c r="K90" s="251"/>
      <c r="L90" s="236"/>
      <c r="O90" s="200"/>
      <c r="P90" s="200"/>
    </row>
    <row r="91" spans="2:16" ht="18">
      <c r="B91" s="249"/>
      <c r="C91" s="249"/>
      <c r="D91" s="236"/>
      <c r="E91" s="236"/>
      <c r="F91" s="240"/>
      <c r="G91" s="244"/>
      <c r="H91" s="236"/>
      <c r="I91" s="236"/>
      <c r="J91" s="250"/>
      <c r="K91" s="251"/>
      <c r="L91" s="236"/>
      <c r="O91" s="200"/>
      <c r="P91" s="200"/>
    </row>
    <row r="92" spans="2:16" ht="18">
      <c r="B92" s="249"/>
      <c r="C92" s="249"/>
      <c r="D92" s="236"/>
      <c r="E92" s="236"/>
      <c r="F92" s="240"/>
      <c r="G92" s="244"/>
      <c r="H92" s="236"/>
      <c r="I92" s="236"/>
      <c r="J92" s="250"/>
      <c r="K92" s="251"/>
      <c r="L92" s="236"/>
      <c r="O92" s="200"/>
      <c r="P92" s="200"/>
    </row>
    <row r="93" spans="2:16" ht="18">
      <c r="B93" s="252"/>
      <c r="C93" s="253"/>
      <c r="D93" s="252"/>
      <c r="E93" s="252"/>
      <c r="F93" s="254"/>
      <c r="G93" s="252"/>
      <c r="H93" s="252"/>
      <c r="I93" s="252"/>
      <c r="J93" s="252"/>
      <c r="K93" s="254"/>
      <c r="L93" s="252"/>
      <c r="O93" s="200"/>
      <c r="P93" s="200"/>
    </row>
    <row r="94" spans="2:16" s="211" customFormat="1" ht="18">
      <c r="B94" s="836" t="s">
        <v>1688</v>
      </c>
      <c r="C94" s="338"/>
      <c r="D94" s="837" t="s">
        <v>337</v>
      </c>
      <c r="E94" s="338"/>
      <c r="F94" s="666"/>
      <c r="H94" s="837" t="s">
        <v>1689</v>
      </c>
      <c r="J94" s="255"/>
      <c r="K94" s="258"/>
      <c r="L94" s="838" t="s">
        <v>593</v>
      </c>
    </row>
    <row r="95" spans="2:16" s="212" customFormat="1" ht="18">
      <c r="B95" s="696" t="s">
        <v>110</v>
      </c>
      <c r="C95" s="338"/>
      <c r="D95" s="839" t="s">
        <v>336</v>
      </c>
      <c r="E95" s="338"/>
      <c r="F95" s="840"/>
      <c r="H95" s="839" t="s">
        <v>55</v>
      </c>
      <c r="J95" s="256"/>
      <c r="K95" s="259"/>
      <c r="L95" s="839" t="s">
        <v>335</v>
      </c>
    </row>
    <row r="96" spans="2:16" ht="4.5" customHeight="1">
      <c r="B96" s="210"/>
      <c r="C96" s="210"/>
      <c r="O96" s="200"/>
      <c r="P96" s="200"/>
    </row>
    <row r="97" spans="2:16">
      <c r="B97" s="210"/>
      <c r="C97" s="210"/>
      <c r="O97" s="200"/>
      <c r="P97" s="200"/>
    </row>
    <row r="98" spans="2:16">
      <c r="B98" s="210"/>
      <c r="C98" s="210"/>
      <c r="O98" s="200"/>
      <c r="P98" s="200"/>
    </row>
    <row r="99" spans="2:16">
      <c r="F99" s="213"/>
      <c r="G99" s="214"/>
      <c r="O99" s="200"/>
      <c r="P99" s="200"/>
    </row>
    <row r="100" spans="2:16">
      <c r="O100" s="200"/>
      <c r="P100" s="200"/>
    </row>
    <row r="101" spans="2:16">
      <c r="O101" s="200"/>
      <c r="P101" s="200"/>
    </row>
    <row r="102" spans="2:16">
      <c r="O102" s="200"/>
      <c r="P102" s="200"/>
    </row>
    <row r="103" spans="2:16">
      <c r="B103" s="927"/>
    </row>
    <row r="104" spans="2:16">
      <c r="B104" s="928" t="s">
        <v>1742</v>
      </c>
    </row>
    <row r="105" spans="2:16">
      <c r="B105" s="929" t="s">
        <v>1743</v>
      </c>
    </row>
    <row r="106" spans="2:16">
      <c r="B106" s="930" t="s">
        <v>1744</v>
      </c>
    </row>
    <row r="107" spans="2:16">
      <c r="B107" s="927"/>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mergeCells count="4">
    <mergeCell ref="B3:L3"/>
    <mergeCell ref="B4:L4"/>
    <mergeCell ref="B5:L5"/>
    <mergeCell ref="B6:L6"/>
  </mergeCells>
  <hyperlinks>
    <hyperlink ref="L10" location="INDICE!A1" display="Índice" xr:uid="{1425BD2F-C851-43E1-A4DA-53FA6017DEB1}"/>
  </hyperlinks>
  <printOptions horizontalCentered="1" verticalCentered="1"/>
  <pageMargins left="0.62992125984251968" right="0.23622047244094491" top="0.74803149606299213" bottom="0.74803149606299213" header="0.31496062992125984" footer="0.31496062992125984"/>
  <pageSetup paperSize="9" scale="40" orientation="portrait" r:id="rId5"/>
  <colBreaks count="1" manualBreakCount="1">
    <brk id="12" max="1048575" man="1"/>
  </colBreaks>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55A1-E1FE-44E0-8AA0-F9D30887CEDF}">
  <sheetPr>
    <tabColor rgb="FF0070C0"/>
    <pageSetUpPr fitToPage="1"/>
  </sheetPr>
  <dimension ref="B1:Q110"/>
  <sheetViews>
    <sheetView showGridLines="0" zoomScale="70" zoomScaleNormal="70" zoomScaleSheetLayoutView="90" workbookViewId="0">
      <pane ySplit="15" topLeftCell="A100" activePane="bottomLeft" state="frozen"/>
      <selection activeCell="G31" sqref="G31"/>
      <selection pane="bottomLeft" activeCell="B106" sqref="B106"/>
    </sheetView>
  </sheetViews>
  <sheetFormatPr baseColWidth="10" defaultColWidth="11.44140625" defaultRowHeight="18"/>
  <cols>
    <col min="1" max="1" width="2.6640625" style="236" customWidth="1"/>
    <col min="2" max="2" width="63.6640625" style="236" customWidth="1"/>
    <col min="3" max="3" width="8.88671875" style="236" customWidth="1"/>
    <col min="4" max="5" width="13.5546875" style="236" customWidth="1"/>
    <col min="6" max="7" width="18.6640625" style="309" customWidth="1"/>
    <col min="8" max="8" width="17.88671875" style="277" bestFit="1" customWidth="1"/>
    <col min="9" max="9" width="15.33203125" style="236" customWidth="1"/>
    <col min="10" max="10" width="14.5546875" style="236" bestFit="1" customWidth="1"/>
    <col min="11" max="11" width="20.6640625" style="236" bestFit="1" customWidth="1"/>
    <col min="12" max="16384" width="11.44140625" style="236"/>
  </cols>
  <sheetData>
    <row r="1" spans="2:17" s="244" customFormat="1" ht="10.199999999999999" customHeight="1">
      <c r="B1" s="275"/>
      <c r="C1" s="275"/>
      <c r="D1" s="275"/>
      <c r="E1" s="275"/>
      <c r="F1" s="275"/>
      <c r="G1" s="275"/>
      <c r="H1" s="275"/>
      <c r="I1" s="275"/>
      <c r="J1" s="275"/>
      <c r="K1" s="275"/>
      <c r="L1" s="275"/>
      <c r="M1" s="275"/>
    </row>
    <row r="2" spans="2:17" s="244" customFormat="1" ht="14.4" customHeight="1">
      <c r="B2" s="841"/>
      <c r="C2" s="841"/>
      <c r="D2" s="841"/>
      <c r="E2" s="841"/>
      <c r="F2" s="841"/>
      <c r="G2" s="841"/>
      <c r="H2" s="841"/>
      <c r="I2" s="841"/>
      <c r="J2" s="841"/>
      <c r="K2" s="841"/>
      <c r="L2" s="841"/>
      <c r="M2" s="841"/>
      <c r="N2" s="841"/>
      <c r="O2" s="841"/>
      <c r="P2" s="841"/>
      <c r="Q2" s="841"/>
    </row>
    <row r="3" spans="2:17" s="244" customFormat="1">
      <c r="B3" s="937"/>
      <c r="C3" s="937"/>
      <c r="D3" s="937"/>
      <c r="E3" s="937"/>
      <c r="F3" s="937"/>
      <c r="G3" s="937"/>
      <c r="H3" s="937"/>
      <c r="I3" s="937"/>
      <c r="J3" s="175"/>
      <c r="K3" s="175"/>
      <c r="L3" s="175"/>
      <c r="M3" s="175"/>
    </row>
    <row r="4" spans="2:17" s="244" customFormat="1">
      <c r="B4" s="937"/>
      <c r="C4" s="937"/>
      <c r="D4" s="937"/>
      <c r="E4" s="937"/>
      <c r="F4" s="937"/>
      <c r="G4" s="937"/>
      <c r="H4" s="937"/>
      <c r="I4" s="937"/>
      <c r="J4" s="175"/>
      <c r="K4" s="175"/>
      <c r="L4" s="175"/>
      <c r="M4" s="175"/>
    </row>
    <row r="5" spans="2:17" s="244" customFormat="1">
      <c r="B5" s="937"/>
      <c r="C5" s="937"/>
      <c r="D5" s="937"/>
      <c r="E5" s="937"/>
      <c r="F5" s="937"/>
      <c r="G5" s="937"/>
      <c r="H5" s="937"/>
      <c r="I5" s="937"/>
      <c r="J5" s="175"/>
      <c r="K5" s="175"/>
      <c r="L5" s="175"/>
      <c r="M5" s="175"/>
    </row>
    <row r="6" spans="2:17" s="244" customFormat="1" ht="18.600000000000001" customHeight="1">
      <c r="B6" s="937"/>
      <c r="C6" s="937"/>
      <c r="D6" s="937"/>
      <c r="E6" s="937"/>
      <c r="F6" s="937"/>
      <c r="G6" s="937"/>
      <c r="H6" s="937"/>
      <c r="I6" s="937"/>
      <c r="J6" s="175"/>
      <c r="K6" s="175"/>
      <c r="L6" s="175"/>
      <c r="M6" s="175"/>
      <c r="N6" s="175"/>
    </row>
    <row r="7" spans="2:17" s="244" customFormat="1" ht="20.399999999999999" customHeight="1">
      <c r="B7" s="183"/>
      <c r="C7" s="183"/>
      <c r="D7" s="183"/>
      <c r="E7" s="183"/>
      <c r="F7" s="183"/>
      <c r="G7" s="183"/>
      <c r="H7" s="183"/>
      <c r="I7" s="183"/>
      <c r="J7" s="183"/>
      <c r="K7" s="183"/>
      <c r="L7" s="183"/>
      <c r="M7" s="183"/>
      <c r="N7" s="183"/>
      <c r="O7" s="183"/>
      <c r="P7" s="183"/>
      <c r="Q7" s="183"/>
    </row>
    <row r="8" spans="2:17" s="244" customFormat="1" ht="18.600000000000001" customHeight="1">
      <c r="B8" s="272"/>
      <c r="C8" s="272"/>
      <c r="D8" s="272"/>
      <c r="E8" s="272"/>
      <c r="F8" s="272"/>
      <c r="G8" s="272"/>
      <c r="H8" s="272"/>
      <c r="I8" s="272"/>
      <c r="J8" s="175"/>
      <c r="K8" s="175"/>
      <c r="L8" s="175"/>
      <c r="M8" s="175"/>
      <c r="N8" s="175"/>
    </row>
    <row r="9" spans="2:17" s="244" customFormat="1">
      <c r="G9" s="275"/>
      <c r="I9" s="276"/>
      <c r="L9" s="275"/>
    </row>
    <row r="10" spans="2:17" s="317" customFormat="1" ht="16.8">
      <c r="B10" s="312" t="s">
        <v>586</v>
      </c>
      <c r="C10" s="312"/>
      <c r="D10" s="312"/>
      <c r="E10" s="312"/>
      <c r="F10" s="313"/>
      <c r="G10" s="313"/>
      <c r="H10" s="314"/>
      <c r="I10" s="315" t="s">
        <v>1300</v>
      </c>
      <c r="J10" s="316"/>
    </row>
    <row r="11" spans="2:17" s="317" customFormat="1" ht="16.8">
      <c r="B11" s="318" t="s">
        <v>592</v>
      </c>
      <c r="C11" s="318"/>
      <c r="D11" s="318"/>
      <c r="E11" s="318"/>
      <c r="F11" s="319"/>
      <c r="G11" s="319"/>
      <c r="H11" s="320"/>
      <c r="I11" s="321"/>
    </row>
    <row r="12" spans="2:17" s="317" customFormat="1" ht="16.8">
      <c r="B12" s="321" t="s">
        <v>1440</v>
      </c>
      <c r="C12" s="321"/>
      <c r="D12" s="321"/>
      <c r="E12" s="321"/>
      <c r="F12" s="321"/>
      <c r="G12" s="321"/>
      <c r="H12" s="321"/>
      <c r="I12" s="321"/>
    </row>
    <row r="13" spans="2:17" ht="15" customHeight="1">
      <c r="B13" s="279" t="s">
        <v>591</v>
      </c>
      <c r="C13" s="280"/>
      <c r="D13" s="280"/>
      <c r="E13" s="280"/>
      <c r="F13" s="281"/>
      <c r="G13" s="282"/>
      <c r="H13" s="283"/>
      <c r="I13" s="278"/>
    </row>
    <row r="14" spans="2:17" ht="15" customHeight="1">
      <c r="B14" s="279"/>
      <c r="C14" s="280"/>
      <c r="D14" s="280"/>
      <c r="E14" s="280"/>
      <c r="F14" s="281"/>
      <c r="G14" s="282"/>
      <c r="H14" s="283"/>
      <c r="I14" s="278"/>
    </row>
    <row r="15" spans="2:17">
      <c r="B15" s="284"/>
      <c r="C15" s="284"/>
      <c r="D15" s="284"/>
      <c r="E15" s="284"/>
      <c r="F15" s="285">
        <v>44561</v>
      </c>
      <c r="G15" s="285">
        <v>44196</v>
      </c>
      <c r="I15" s="257"/>
    </row>
    <row r="16" spans="2:17">
      <c r="B16" s="230"/>
      <c r="C16" s="230"/>
      <c r="D16" s="230"/>
      <c r="E16" s="230"/>
      <c r="F16" s="286"/>
      <c r="G16" s="286"/>
      <c r="I16" s="257"/>
    </row>
    <row r="17" spans="2:10" ht="15" customHeight="1">
      <c r="B17" s="287" t="s">
        <v>34</v>
      </c>
      <c r="C17" s="287"/>
      <c r="D17" s="287"/>
      <c r="E17" s="287"/>
      <c r="F17" s="288">
        <f>+F19+F23+F27+F31+F32+F33+F34+F35+F36+F37+F38+F39</f>
        <v>20353692919</v>
      </c>
      <c r="G17" s="288">
        <f>+G19+G23+G27+G31+G32+G33+G34+G35+G36+G37+G38+G39</f>
        <v>9321273805</v>
      </c>
      <c r="H17" s="289"/>
      <c r="I17" s="237"/>
    </row>
    <row r="18" spans="2:10">
      <c r="B18" s="287"/>
      <c r="C18" s="287"/>
      <c r="D18" s="287"/>
      <c r="E18" s="287"/>
      <c r="F18" s="288"/>
      <c r="G18" s="288"/>
      <c r="H18" s="289"/>
      <c r="I18" s="237"/>
    </row>
    <row r="19" spans="2:10" ht="15" customHeight="1">
      <c r="B19" s="290" t="s">
        <v>111</v>
      </c>
      <c r="C19" s="290"/>
      <c r="D19" s="287"/>
      <c r="E19" s="287"/>
      <c r="F19" s="288">
        <f>+F20+F21</f>
        <v>653471613</v>
      </c>
      <c r="G19" s="288">
        <f>+G20+G21</f>
        <v>721210509</v>
      </c>
      <c r="H19" s="289"/>
      <c r="I19" s="237"/>
      <c r="J19" s="291"/>
    </row>
    <row r="20" spans="2:10" ht="15" customHeight="1">
      <c r="B20" s="292" t="s">
        <v>116</v>
      </c>
      <c r="C20" s="292"/>
      <c r="D20" s="287"/>
      <c r="E20" s="287"/>
      <c r="F20" s="293">
        <f>-SUMIF(Clasificaciones!B:B,EERR!B20,Clasificaciones!G:G)</f>
        <v>47672139</v>
      </c>
      <c r="G20" s="293">
        <f>-SUMIF(Clasificaciones!B:B,EERR!B20,Clasificaciones!K:K)</f>
        <v>400000</v>
      </c>
      <c r="J20" s="291"/>
    </row>
    <row r="21" spans="2:10" ht="15" customHeight="1">
      <c r="B21" s="292" t="s">
        <v>117</v>
      </c>
      <c r="C21" s="292"/>
      <c r="D21" s="287"/>
      <c r="E21" s="287"/>
      <c r="F21" s="293">
        <f>-SUMIF(Clasificaciones!B:B,EERR!B21,Clasificaciones!G:G)</f>
        <v>605799474</v>
      </c>
      <c r="G21" s="293">
        <f>-SUMIF(Clasificaciones!B:B,EERR!B21,Clasificaciones!K:K)</f>
        <v>720810509</v>
      </c>
      <c r="J21" s="291"/>
    </row>
    <row r="22" spans="2:10" ht="15" customHeight="1">
      <c r="B22" s="287"/>
      <c r="C22" s="287"/>
      <c r="D22" s="287"/>
      <c r="E22" s="287"/>
      <c r="F22" s="288"/>
      <c r="G22" s="288"/>
      <c r="J22" s="291"/>
    </row>
    <row r="23" spans="2:10" ht="15" customHeight="1">
      <c r="B23" s="290" t="s">
        <v>112</v>
      </c>
      <c r="C23" s="290"/>
      <c r="D23" s="287"/>
      <c r="E23" s="287"/>
      <c r="F23" s="293">
        <f>+F24+F25</f>
        <v>0</v>
      </c>
      <c r="G23" s="293">
        <f>+G24+G25</f>
        <v>0</v>
      </c>
      <c r="J23" s="291"/>
    </row>
    <row r="24" spans="2:10" ht="15" customHeight="1">
      <c r="B24" s="292" t="s">
        <v>974</v>
      </c>
      <c r="C24" s="292"/>
      <c r="D24" s="287"/>
      <c r="E24" s="287"/>
      <c r="F24" s="293">
        <f>+SUMIF(Clasificaciones!B:B,EERR!B24,Clasificaciones!G:G)</f>
        <v>0</v>
      </c>
      <c r="G24" s="293">
        <f>-SUMIF(Clasificaciones!B:B,EERR!B24,Clasificaciones!K:K)</f>
        <v>0</v>
      </c>
      <c r="J24" s="291"/>
    </row>
    <row r="25" spans="2:10" ht="15" customHeight="1">
      <c r="B25" s="292" t="s">
        <v>316</v>
      </c>
      <c r="C25" s="292"/>
      <c r="D25" s="287"/>
      <c r="E25" s="287"/>
      <c r="F25" s="293">
        <f>+SUMIF(Clasificaciones!B:B,EERR!B25,Clasificaciones!G:G)</f>
        <v>0</v>
      </c>
      <c r="G25" s="293">
        <f>-SUMIF(Clasificaciones!B:B,EERR!B25,Clasificaciones!K:K)</f>
        <v>0</v>
      </c>
      <c r="J25" s="291"/>
    </row>
    <row r="26" spans="2:10" ht="15" customHeight="1">
      <c r="B26" s="292"/>
      <c r="C26" s="292"/>
      <c r="D26" s="294"/>
      <c r="E26" s="287"/>
      <c r="F26" s="288"/>
      <c r="G26" s="288"/>
      <c r="J26" s="291"/>
    </row>
    <row r="27" spans="2:10" ht="15" customHeight="1">
      <c r="B27" s="290" t="s">
        <v>115</v>
      </c>
      <c r="C27" s="290"/>
      <c r="D27" s="295"/>
      <c r="E27" s="296"/>
      <c r="F27" s="288">
        <f>+F28+F29</f>
        <v>1197747725</v>
      </c>
      <c r="G27" s="288">
        <f>+G28+G29</f>
        <v>754199881</v>
      </c>
      <c r="I27" s="291"/>
    </row>
    <row r="28" spans="2:10" ht="15" customHeight="1">
      <c r="B28" s="297" t="s">
        <v>114</v>
      </c>
      <c r="C28" s="297"/>
      <c r="D28" s="298"/>
      <c r="E28" s="299"/>
      <c r="F28" s="293">
        <f>-SUMIF(Clasificaciones!B:B,EERR!B28,Clasificaciones!G:G)</f>
        <v>37500000</v>
      </c>
      <c r="G28" s="293">
        <f>-SUMIF(Clasificaciones!B:B,EERR!B28,Clasificaciones!K:K)</f>
        <v>0</v>
      </c>
      <c r="J28" s="291"/>
    </row>
    <row r="29" spans="2:10" ht="15" customHeight="1">
      <c r="B29" s="297" t="s">
        <v>113</v>
      </c>
      <c r="C29" s="297"/>
      <c r="D29" s="299"/>
      <c r="E29" s="299"/>
      <c r="F29" s="293">
        <f>-SUMIF(Clasificaciones!B:B,EERR!B29,Clasificaciones!G:G)</f>
        <v>1160247725</v>
      </c>
      <c r="G29" s="293">
        <f>-SUMIF(Clasificaciones!B:B,EERR!B29,Clasificaciones!K:K)</f>
        <v>754199881</v>
      </c>
      <c r="J29" s="291"/>
    </row>
    <row r="30" spans="2:10" ht="15" customHeight="1">
      <c r="B30" s="299"/>
      <c r="C30" s="299"/>
      <c r="D30" s="299"/>
      <c r="E30" s="299"/>
      <c r="F30" s="293"/>
      <c r="G30" s="288"/>
      <c r="J30" s="291"/>
    </row>
    <row r="31" spans="2:10" ht="15" customHeight="1">
      <c r="B31" s="299" t="s">
        <v>36</v>
      </c>
      <c r="C31" s="299"/>
      <c r="D31" s="299"/>
      <c r="E31" s="299"/>
      <c r="F31" s="293">
        <f>-SUMIF(Clasificaciones!B:B,EERR!B31,Clasificaciones!G:G)</f>
        <v>0</v>
      </c>
      <c r="G31" s="293">
        <f>-SUMIF(Clasificaciones!B:B,EERR!B31,Clasificaciones!K:K)</f>
        <v>0</v>
      </c>
      <c r="I31" s="291"/>
    </row>
    <row r="32" spans="2:10" ht="15" customHeight="1">
      <c r="B32" s="299" t="s">
        <v>37</v>
      </c>
      <c r="C32" s="299"/>
      <c r="D32" s="299"/>
      <c r="E32" s="299"/>
      <c r="F32" s="293">
        <f>-SUMIF(Clasificaciones!B:B,EERR!B32,Clasificaciones!G:G)</f>
        <v>636364</v>
      </c>
      <c r="G32" s="293">
        <f>-SUMIF(Clasificaciones!B:B,EERR!B32,Clasificaciones!K:K)</f>
        <v>13561518</v>
      </c>
      <c r="I32" s="291"/>
    </row>
    <row r="33" spans="2:11" ht="15" customHeight="1">
      <c r="B33" s="299" t="s">
        <v>118</v>
      </c>
      <c r="C33" s="299"/>
      <c r="D33" s="299"/>
      <c r="E33" s="299"/>
      <c r="F33" s="293">
        <f>-SUMIF(Clasificaciones!B:B,EERR!B33,Clasificaciones!G:G)</f>
        <v>406619130</v>
      </c>
      <c r="G33" s="293">
        <f>-SUMIF(Clasificaciones!B:B,EERR!B33,Clasificaciones!K:K)</f>
        <v>334936935</v>
      </c>
      <c r="I33" s="291"/>
    </row>
    <row r="34" spans="2:11" ht="15" customHeight="1">
      <c r="B34" s="299" t="s">
        <v>119</v>
      </c>
      <c r="C34" s="299"/>
      <c r="D34" s="299"/>
      <c r="E34" s="299"/>
      <c r="F34" s="293">
        <f>-SUMIF(Clasificaciones!B:B,EERR!B34,Clasificaciones!G:G)</f>
        <v>2776519532</v>
      </c>
      <c r="G34" s="293">
        <f>-SUMIF(Clasificaciones!B:B,EERR!B34,Clasificaciones!K:K)</f>
        <v>687932292</v>
      </c>
      <c r="I34" s="291"/>
      <c r="K34" s="300"/>
    </row>
    <row r="35" spans="2:11" ht="15" customHeight="1">
      <c r="B35" s="299" t="s">
        <v>35</v>
      </c>
      <c r="C35" s="299"/>
      <c r="D35" s="299"/>
      <c r="E35" s="299"/>
      <c r="F35" s="293">
        <f>-SUMIF(Clasificaciones!B:B,EERR!B35,Clasificaciones!G:G)</f>
        <v>3593242967</v>
      </c>
      <c r="G35" s="293">
        <f>-SUMIF(Clasificaciones!B:B,EERR!B35,Clasificaciones!K:K)</f>
        <v>2773546910</v>
      </c>
      <c r="I35" s="291"/>
    </row>
    <row r="36" spans="2:11" ht="15" customHeight="1">
      <c r="B36" s="299" t="s">
        <v>120</v>
      </c>
      <c r="C36" s="299"/>
      <c r="D36" s="230" t="s">
        <v>736</v>
      </c>
      <c r="E36" s="299"/>
      <c r="F36" s="293">
        <f>-SUMIF(Clasificaciones!B:B,EERR!B36,Clasificaciones!G:G)</f>
        <v>7451184697</v>
      </c>
      <c r="G36" s="293">
        <f>-SUMIF(Clasificaciones!B:B,EERR!B36,Clasificaciones!K:K)</f>
        <v>0</v>
      </c>
      <c r="I36" s="291"/>
    </row>
    <row r="37" spans="2:11" ht="15" customHeight="1">
      <c r="B37" s="299" t="s">
        <v>270</v>
      </c>
      <c r="C37" s="299"/>
      <c r="D37" s="230" t="s">
        <v>736</v>
      </c>
      <c r="E37" s="230"/>
      <c r="F37" s="293">
        <f>-SUMIF(Clasificaciones!B:B,EERR!B37,Clasificaciones!G:G)</f>
        <v>82584075</v>
      </c>
      <c r="G37" s="293">
        <f>-SUMIF(Clasificaciones!B:B,EERR!B37,Clasificaciones!K:K)</f>
        <v>0</v>
      </c>
      <c r="I37" s="291"/>
    </row>
    <row r="38" spans="2:11" ht="15" customHeight="1">
      <c r="B38" s="299" t="s">
        <v>728</v>
      </c>
      <c r="C38" s="299"/>
      <c r="D38" s="299" t="s">
        <v>1683</v>
      </c>
      <c r="E38" s="299"/>
      <c r="F38" s="293">
        <f>-SUMIF(Clasificaciones!B:B,EERR!B38,Clasificaciones!G:G)</f>
        <v>4071041986</v>
      </c>
      <c r="G38" s="293">
        <f>-SUMIF(Clasificaciones!B:B,EERR!B38,Clasificaciones!K:K)</f>
        <v>3918687347</v>
      </c>
      <c r="I38" s="291"/>
    </row>
    <row r="39" spans="2:11" ht="15" customHeight="1">
      <c r="B39" s="299" t="s">
        <v>233</v>
      </c>
      <c r="C39" s="299"/>
      <c r="D39" s="299" t="s">
        <v>1684</v>
      </c>
      <c r="E39" s="299"/>
      <c r="F39" s="293">
        <f>-SUMIF(Clasificaciones!B:B,EERR!B39,Clasificaciones!G:G)</f>
        <v>120644830</v>
      </c>
      <c r="G39" s="293">
        <f>-SUMIF(Clasificaciones!B:B,EERR!B39,Clasificaciones!K:K)</f>
        <v>117198413</v>
      </c>
      <c r="I39" s="291"/>
    </row>
    <row r="40" spans="2:11" ht="15" customHeight="1">
      <c r="B40" s="230"/>
      <c r="C40" s="230"/>
      <c r="D40" s="230"/>
      <c r="E40" s="230"/>
      <c r="F40" s="288"/>
      <c r="G40" s="293"/>
    </row>
    <row r="41" spans="2:11" ht="15" customHeight="1">
      <c r="B41" s="287" t="s">
        <v>38</v>
      </c>
      <c r="C41" s="287"/>
      <c r="D41" s="287"/>
      <c r="E41" s="287"/>
      <c r="F41" s="288">
        <f>SUM(F42:F44)</f>
        <v>-11891110474</v>
      </c>
      <c r="G41" s="288">
        <f>SUM(G42:G44)</f>
        <v>-1880067313</v>
      </c>
      <c r="I41" s="291"/>
    </row>
    <row r="42" spans="2:11" ht="15" customHeight="1">
      <c r="B42" s="230" t="s">
        <v>40</v>
      </c>
      <c r="C42" s="230"/>
      <c r="D42" s="230"/>
      <c r="E42" s="230"/>
      <c r="F42" s="293">
        <f>-+SUMIF(Clasificaciones!B:B,EERR!B42,Clasificaciones!G:G)</f>
        <v>-160953638</v>
      </c>
      <c r="G42" s="293">
        <f>-+SUMIF(Clasificaciones!B:B,EERR!B42,Clasificaciones!K:K)</f>
        <v>-56638828</v>
      </c>
      <c r="I42" s="291"/>
    </row>
    <row r="43" spans="2:11" ht="14.4" customHeight="1">
      <c r="B43" s="230" t="s">
        <v>39</v>
      </c>
      <c r="C43" s="230"/>
      <c r="D43" s="230"/>
      <c r="E43" s="230"/>
      <c r="F43" s="293">
        <f>-+SUMIF(Clasificaciones!B:B,EERR!B43,Clasificaciones!G:G)</f>
        <v>-345056761</v>
      </c>
      <c r="G43" s="293">
        <f>-+SUMIF(Clasificaciones!B:B,EERR!B43,Clasificaciones!K:K)</f>
        <v>-270663265</v>
      </c>
      <c r="I43" s="291"/>
    </row>
    <row r="44" spans="2:11" ht="14.4" customHeight="1">
      <c r="B44" s="230" t="s">
        <v>729</v>
      </c>
      <c r="C44" s="230"/>
      <c r="D44" s="230" t="s">
        <v>719</v>
      </c>
      <c r="E44" s="230"/>
      <c r="F44" s="293">
        <f>-+SUMIF(Clasificaciones!B:B,EERR!B44,Clasificaciones!G:G)</f>
        <v>-11385100075</v>
      </c>
      <c r="G44" s="293">
        <f>-+SUMIF(Clasificaciones!B:B,EERR!B44,Clasificaciones!K:K)</f>
        <v>-1552765220</v>
      </c>
      <c r="I44" s="291"/>
    </row>
    <row r="45" spans="2:11">
      <c r="B45" s="230"/>
      <c r="C45" s="230"/>
      <c r="D45" s="230"/>
      <c r="E45" s="230"/>
      <c r="F45" s="293"/>
      <c r="G45" s="293"/>
    </row>
    <row r="46" spans="2:11" ht="15" customHeight="1">
      <c r="B46" s="287" t="s">
        <v>41</v>
      </c>
      <c r="C46" s="287"/>
      <c r="D46" s="287"/>
      <c r="E46" s="287"/>
      <c r="F46" s="288">
        <f>+F17+F41</f>
        <v>8462582445</v>
      </c>
      <c r="G46" s="288">
        <f>+G17+G41</f>
        <v>7441206492</v>
      </c>
      <c r="I46" s="291"/>
    </row>
    <row r="47" spans="2:11" ht="15" customHeight="1">
      <c r="B47" s="287"/>
      <c r="C47" s="287"/>
      <c r="D47" s="287"/>
      <c r="E47" s="287"/>
      <c r="F47" s="288"/>
      <c r="G47" s="293"/>
    </row>
    <row r="48" spans="2:11" ht="15" customHeight="1">
      <c r="B48" s="287" t="s">
        <v>42</v>
      </c>
      <c r="C48" s="287"/>
      <c r="D48" s="287"/>
      <c r="E48" s="287"/>
      <c r="F48" s="288">
        <f>SUM(F49:F51)</f>
        <v>-203131748</v>
      </c>
      <c r="G48" s="288">
        <f>SUM(G49:G51)</f>
        <v>-567229239</v>
      </c>
      <c r="I48" s="291"/>
    </row>
    <row r="49" spans="2:11" ht="15" customHeight="1">
      <c r="B49" s="230" t="s">
        <v>43</v>
      </c>
      <c r="C49" s="230"/>
      <c r="D49" s="230"/>
      <c r="E49" s="230"/>
      <c r="F49" s="293">
        <f>-+SUMIF(Clasificaciones!B:B,EERR!B49,Clasificaciones!G:G)</f>
        <v>-159343543</v>
      </c>
      <c r="G49" s="293">
        <f>-+SUMIF(Clasificaciones!B:B,EERR!B49,Clasificaciones!K:K)</f>
        <v>-184892822</v>
      </c>
      <c r="I49" s="291"/>
    </row>
    <row r="50" spans="2:11" ht="15" customHeight="1">
      <c r="B50" s="230" t="s">
        <v>45</v>
      </c>
      <c r="C50" s="230"/>
      <c r="D50" s="230"/>
      <c r="E50" s="230"/>
      <c r="F50" s="293">
        <f>-+SUMIF(Clasificaciones!B:B,EERR!B50,Clasificaciones!G:G)</f>
        <v>0</v>
      </c>
      <c r="G50" s="293">
        <f>-+SUMIF(Clasificaciones!B:B,EERR!B50,Clasificaciones!K:K)</f>
        <v>0</v>
      </c>
      <c r="I50" s="291"/>
    </row>
    <row r="51" spans="2:11" ht="15" customHeight="1">
      <c r="B51" s="230" t="s">
        <v>44</v>
      </c>
      <c r="C51" s="230"/>
      <c r="D51" s="230" t="s">
        <v>719</v>
      </c>
      <c r="E51" s="299"/>
      <c r="F51" s="293">
        <f>-+SUMIF(Clasificaciones!B:B,EERR!B51,Clasificaciones!G:G)</f>
        <v>-43788205</v>
      </c>
      <c r="G51" s="293">
        <f>-+SUMIF(Clasificaciones!B:B,EERR!B51,Clasificaciones!K:K)</f>
        <v>-382336417</v>
      </c>
      <c r="I51" s="291"/>
    </row>
    <row r="52" spans="2:11" ht="15" customHeight="1">
      <c r="B52" s="230"/>
      <c r="C52" s="230"/>
      <c r="D52" s="230"/>
      <c r="E52" s="230"/>
      <c r="F52" s="293"/>
      <c r="G52" s="293"/>
    </row>
    <row r="53" spans="2:11" ht="15" customHeight="1">
      <c r="B53" s="287" t="s">
        <v>46</v>
      </c>
      <c r="C53" s="287"/>
      <c r="D53" s="287"/>
      <c r="E53" s="287"/>
      <c r="F53" s="288">
        <f>SUM(F54:F62)</f>
        <v>-7500367998</v>
      </c>
      <c r="G53" s="288">
        <f>SUM(G54:G62)</f>
        <v>-4521272229</v>
      </c>
      <c r="I53" s="291"/>
    </row>
    <row r="54" spans="2:11" ht="15" customHeight="1">
      <c r="B54" s="230" t="s">
        <v>121</v>
      </c>
      <c r="C54" s="230"/>
      <c r="D54" s="287"/>
      <c r="E54" s="287"/>
      <c r="F54" s="293">
        <f>-+SUMIF(Clasificaciones!B:B,EERR!B54,Clasificaciones!G:G)</f>
        <v>-5419535614</v>
      </c>
      <c r="G54" s="293">
        <f>-+SUMIF(Clasificaciones!B:B,EERR!B54,Clasificaciones!K:K)</f>
        <v>-3237408940</v>
      </c>
      <c r="I54" s="291"/>
    </row>
    <row r="55" spans="2:11" ht="15" customHeight="1">
      <c r="B55" s="230" t="s">
        <v>122</v>
      </c>
      <c r="C55" s="230"/>
      <c r="D55" s="230"/>
      <c r="E55" s="230"/>
      <c r="F55" s="293">
        <f>-+SUMIF(Clasificaciones!B:B,EERR!B55,Clasificaciones!G:G)</f>
        <v>-183086842</v>
      </c>
      <c r="G55" s="293">
        <f>-+SUMIF(Clasificaciones!B:B,EERR!B55,Clasificaciones!K:K)</f>
        <v>-138893294</v>
      </c>
      <c r="I55" s="291"/>
    </row>
    <row r="56" spans="2:11" ht="15" customHeight="1">
      <c r="B56" s="230" t="s">
        <v>50</v>
      </c>
      <c r="C56" s="230"/>
      <c r="D56" s="230"/>
      <c r="E56" s="230"/>
      <c r="F56" s="293">
        <f>-+SUMIF(Clasificaciones!B:B,EERR!B56,Clasificaciones!G:G)</f>
        <v>-130833289</v>
      </c>
      <c r="G56" s="293">
        <f>-+SUMIF(Clasificaciones!B:B,EERR!B56,Clasificaciones!K:K)</f>
        <v>-77765800</v>
      </c>
      <c r="K56" s="301"/>
    </row>
    <row r="57" spans="2:11" ht="15" customHeight="1">
      <c r="B57" s="230" t="s">
        <v>48</v>
      </c>
      <c r="C57" s="230"/>
      <c r="D57" s="230"/>
      <c r="E57" s="230"/>
      <c r="F57" s="293">
        <f>-+SUMIF(Clasificaciones!B:B,EERR!B57,Clasificaciones!G:G)</f>
        <v>-140696507</v>
      </c>
      <c r="G57" s="293">
        <f>-+SUMIF(Clasificaciones!B:B,EERR!B57,Clasificaciones!K:K)</f>
        <v>-83333332</v>
      </c>
      <c r="I57" s="291"/>
    </row>
    <row r="58" spans="2:11" ht="15" customHeight="1">
      <c r="B58" s="230" t="s">
        <v>51</v>
      </c>
      <c r="C58" s="230"/>
      <c r="D58" s="230"/>
      <c r="E58" s="230"/>
      <c r="F58" s="293">
        <f>-+SUMIF(Clasificaciones!B:B,EERR!B58,Clasificaciones!G:G)</f>
        <v>-47813659</v>
      </c>
      <c r="G58" s="293">
        <f>-+SUMIF(Clasificaciones!B:B,EERR!B58,Clasificaciones!K:K)</f>
        <v>-25913279</v>
      </c>
      <c r="I58" s="291"/>
    </row>
    <row r="59" spans="2:11" ht="15" customHeight="1">
      <c r="B59" s="230" t="s">
        <v>49</v>
      </c>
      <c r="C59" s="230"/>
      <c r="D59" s="230"/>
      <c r="E59" s="230"/>
      <c r="F59" s="293">
        <f>-+SUMIF(Clasificaciones!B:B,EERR!B59,Clasificaciones!G:G)</f>
        <v>-7421455</v>
      </c>
      <c r="G59" s="293">
        <f>-+SUMIF(Clasificaciones!B:B,EERR!B59,Clasificaciones!K:K)</f>
        <v>-892657</v>
      </c>
      <c r="I59" s="291"/>
    </row>
    <row r="60" spans="2:11" ht="15" customHeight="1">
      <c r="B60" s="230" t="s">
        <v>123</v>
      </c>
      <c r="C60" s="230"/>
      <c r="D60" s="230"/>
      <c r="E60" s="230"/>
      <c r="F60" s="293">
        <f>-+SUMIF(Clasificaciones!B:B,EERR!B60,Clasificaciones!G:G)</f>
        <v>-5282911</v>
      </c>
      <c r="G60" s="293">
        <f>-+SUMIF(Clasificaciones!B:B,EERR!B60,Clasificaciones!K:K)</f>
        <v>-2367767</v>
      </c>
      <c r="I60" s="291"/>
    </row>
    <row r="61" spans="2:11" ht="15" customHeight="1">
      <c r="B61" s="230" t="s">
        <v>52</v>
      </c>
      <c r="C61" s="230"/>
      <c r="D61" s="230"/>
      <c r="E61" s="230"/>
      <c r="F61" s="293">
        <f>-+SUMIF(Clasificaciones!B:B,EERR!B61,Clasificaciones!G:G)</f>
        <v>-61920334</v>
      </c>
      <c r="G61" s="293">
        <f>-+SUMIF(Clasificaciones!B:B,EERR!B61,Clasificaciones!K:K)</f>
        <v>-100001503</v>
      </c>
      <c r="I61" s="291"/>
    </row>
    <row r="62" spans="2:11" ht="15" customHeight="1">
      <c r="B62" s="230" t="s">
        <v>730</v>
      </c>
      <c r="C62" s="230"/>
      <c r="D62" s="230" t="s">
        <v>719</v>
      </c>
      <c r="E62" s="299"/>
      <c r="F62" s="293">
        <f>-+SUMIF(Clasificaciones!B:B,EERR!B62,Clasificaciones!G:G)</f>
        <v>-1503777387</v>
      </c>
      <c r="G62" s="293">
        <f>-+SUMIF(Clasificaciones!B:B,EERR!B62,Clasificaciones!K:K)</f>
        <v>-854695657</v>
      </c>
      <c r="H62" s="302"/>
      <c r="I62" s="291"/>
    </row>
    <row r="63" spans="2:11" ht="15" customHeight="1">
      <c r="B63" s="230"/>
      <c r="C63" s="230"/>
      <c r="D63" s="230"/>
      <c r="E63" s="230"/>
      <c r="F63" s="288"/>
      <c r="G63" s="293"/>
    </row>
    <row r="64" spans="2:11" ht="15" customHeight="1">
      <c r="B64" s="287" t="s">
        <v>53</v>
      </c>
      <c r="C64" s="287"/>
      <c r="D64" s="287"/>
      <c r="E64" s="287"/>
      <c r="F64" s="288">
        <f>F46+F48+F53</f>
        <v>759082699</v>
      </c>
      <c r="G64" s="288">
        <f>G46+G48+G53</f>
        <v>2352705024</v>
      </c>
      <c r="I64" s="291"/>
    </row>
    <row r="65" spans="2:10" ht="15" customHeight="1">
      <c r="B65" s="287"/>
      <c r="C65" s="287"/>
      <c r="D65" s="287"/>
      <c r="E65" s="287"/>
      <c r="F65" s="288"/>
      <c r="G65" s="288"/>
      <c r="I65" s="291"/>
    </row>
    <row r="66" spans="2:10" ht="15" customHeight="1">
      <c r="B66" s="287" t="s">
        <v>731</v>
      </c>
      <c r="C66" s="287"/>
      <c r="D66" s="287"/>
      <c r="E66" s="287"/>
      <c r="F66" s="288">
        <f>+SUM(F67:F68)</f>
        <v>2145518271</v>
      </c>
      <c r="G66" s="288">
        <f>+SUM(G67:G68)</f>
        <v>103990631</v>
      </c>
      <c r="I66" s="291"/>
    </row>
    <row r="67" spans="2:10" ht="15" customHeight="1">
      <c r="B67" s="230" t="s">
        <v>181</v>
      </c>
      <c r="C67" s="230"/>
      <c r="D67" s="299" t="s">
        <v>720</v>
      </c>
      <c r="E67" s="299"/>
      <c r="F67" s="293">
        <f>-SUMIF(Clasificaciones!B:B,EERR!B67,Clasificaciones!G:G)</f>
        <v>2145530378</v>
      </c>
      <c r="G67" s="293">
        <f>-SUMIF(Clasificaciones!B:B,EERR!B67,Clasificaciones!K:K)</f>
        <v>103990631</v>
      </c>
      <c r="I67" s="291"/>
    </row>
    <row r="68" spans="2:10" ht="15" customHeight="1">
      <c r="B68" s="230" t="s">
        <v>236</v>
      </c>
      <c r="C68" s="230"/>
      <c r="D68" s="299" t="s">
        <v>720</v>
      </c>
      <c r="E68" s="299"/>
      <c r="F68" s="293">
        <f>-+SUMIF(Clasificaciones!B:B,EERR!B68,Clasificaciones!G:G)</f>
        <v>-12107</v>
      </c>
      <c r="G68" s="293">
        <f>-SUMIF(Clasificaciones!B:B,EERR!B68,Clasificaciones!K:K)</f>
        <v>0</v>
      </c>
      <c r="I68" s="291"/>
    </row>
    <row r="69" spans="2:10" ht="15" customHeight="1">
      <c r="B69" s="230"/>
      <c r="C69" s="230"/>
      <c r="D69" s="230"/>
      <c r="E69" s="230"/>
      <c r="F69" s="288"/>
      <c r="G69" s="293"/>
    </row>
    <row r="70" spans="2:10" ht="15" customHeight="1">
      <c r="B70" s="287" t="s">
        <v>732</v>
      </c>
      <c r="C70" s="287"/>
      <c r="D70" s="287"/>
      <c r="E70" s="287"/>
      <c r="F70" s="288">
        <f>+F71+F74</f>
        <v>-304626554</v>
      </c>
      <c r="G70" s="288">
        <f>+G71+G74</f>
        <v>-144515088</v>
      </c>
      <c r="I70" s="291"/>
    </row>
    <row r="71" spans="2:10" ht="15" customHeight="1">
      <c r="B71" s="287" t="s">
        <v>237</v>
      </c>
      <c r="C71" s="230"/>
      <c r="D71" s="299" t="s">
        <v>721</v>
      </c>
      <c r="E71" s="299"/>
      <c r="F71" s="288">
        <f>+SUM(F72:F73)</f>
        <v>-38527250</v>
      </c>
      <c r="G71" s="288">
        <f>+SUM(G72:G73)</f>
        <v>538194333</v>
      </c>
      <c r="I71" s="291"/>
    </row>
    <row r="72" spans="2:10" ht="15" customHeight="1">
      <c r="B72" s="230" t="s">
        <v>124</v>
      </c>
      <c r="C72" s="230"/>
      <c r="D72" s="230"/>
      <c r="E72" s="230"/>
      <c r="F72" s="293">
        <f>-SUMIF(Clasificaciones!B:B,EERR!B72,Clasificaciones!G:G)</f>
        <v>3714440</v>
      </c>
      <c r="G72" s="293">
        <f>-SUMIF(Clasificaciones!B:B,EERR!B72,Clasificaciones!K:K)</f>
        <v>1193634</v>
      </c>
      <c r="I72" s="291"/>
    </row>
    <row r="73" spans="2:10" ht="15" customHeight="1">
      <c r="B73" s="230" t="s">
        <v>1738</v>
      </c>
      <c r="C73" s="230"/>
      <c r="D73" s="299" t="s">
        <v>677</v>
      </c>
      <c r="E73" s="299"/>
      <c r="F73" s="293">
        <f>+(-Clasificaciones!G677-Clasificaciones!G854)</f>
        <v>-42241690</v>
      </c>
      <c r="G73" s="293">
        <f>+(-Clasificaciones!K677-Clasificaciones!K854)</f>
        <v>537000699</v>
      </c>
      <c r="I73" s="291"/>
      <c r="J73" s="291"/>
    </row>
    <row r="74" spans="2:10" ht="15" customHeight="1">
      <c r="B74" s="287" t="s">
        <v>238</v>
      </c>
      <c r="C74" s="230"/>
      <c r="D74" s="299" t="s">
        <v>721</v>
      </c>
      <c r="E74" s="299"/>
      <c r="F74" s="288">
        <f>+SUM(F75:F76)</f>
        <v>-266099304</v>
      </c>
      <c r="G74" s="288">
        <f>+SUM(G75:G76)</f>
        <v>-682709421</v>
      </c>
      <c r="I74" s="291"/>
    </row>
    <row r="75" spans="2:10" ht="15" customHeight="1">
      <c r="B75" s="230" t="s">
        <v>239</v>
      </c>
      <c r="C75" s="230"/>
      <c r="D75" s="230"/>
      <c r="E75" s="230"/>
      <c r="F75" s="293">
        <f>-+SUMIF(Clasificaciones!B:B,EERR!B75,Clasificaciones!G:G)</f>
        <v>-277598004</v>
      </c>
      <c r="G75" s="293">
        <f>-+SUMIF(Clasificaciones!B:B,EERR!B75,Clasificaciones!K:K)</f>
        <v>-196772299</v>
      </c>
      <c r="I75" s="291"/>
    </row>
    <row r="76" spans="2:10" ht="15" customHeight="1">
      <c r="B76" s="230" t="s">
        <v>1738</v>
      </c>
      <c r="C76" s="230"/>
      <c r="D76" s="299" t="s">
        <v>677</v>
      </c>
      <c r="E76" s="299"/>
      <c r="F76" s="293">
        <f>+(-Clasificaciones!G678-Clasificaciones!G855)</f>
        <v>11498700</v>
      </c>
      <c r="G76" s="293">
        <f>+(-Clasificaciones!K678-Clasificaciones!K855)</f>
        <v>-485937122</v>
      </c>
      <c r="H76" s="303"/>
      <c r="I76" s="291"/>
      <c r="J76" s="291"/>
    </row>
    <row r="77" spans="2:10" ht="15" customHeight="1">
      <c r="B77" s="230"/>
      <c r="C77" s="230"/>
      <c r="D77" s="230"/>
      <c r="E77" s="230"/>
      <c r="F77" s="288"/>
      <c r="G77" s="293"/>
    </row>
    <row r="78" spans="2:10" ht="15" customHeight="1">
      <c r="B78" s="287" t="s">
        <v>241</v>
      </c>
      <c r="C78" s="230"/>
      <c r="D78" s="287"/>
      <c r="E78" s="287"/>
      <c r="F78" s="288">
        <f>+F79</f>
        <v>49787771</v>
      </c>
      <c r="G78" s="288">
        <f>+G79</f>
        <v>12973985</v>
      </c>
    </row>
    <row r="79" spans="2:10" ht="15" customHeight="1">
      <c r="B79" s="230" t="s">
        <v>733</v>
      </c>
      <c r="C79" s="230"/>
      <c r="D79" s="299" t="s">
        <v>721</v>
      </c>
      <c r="E79" s="299"/>
      <c r="F79" s="293">
        <f>-SUMIF(Clasificaciones!B:B,EERR!B79,Clasificaciones!G:G)</f>
        <v>49787771</v>
      </c>
      <c r="G79" s="293">
        <f>-SUMIF(Clasificaciones!B:B,EERR!B79,Clasificaciones!K:K)</f>
        <v>12973985</v>
      </c>
    </row>
    <row r="80" spans="2:10" ht="15" customHeight="1">
      <c r="B80" s="230" t="s">
        <v>242</v>
      </c>
      <c r="C80" s="230"/>
      <c r="D80" s="299"/>
      <c r="E80" s="230"/>
      <c r="F80" s="293">
        <f>-+SUMIF(Clasificaciones!B:B,EERR!B80,Clasificaciones!G:G)</f>
        <v>0</v>
      </c>
      <c r="G80" s="293">
        <f>-SUMIF(Clasificaciones!B:B,EERR!B80,Clasificaciones!K:K)</f>
        <v>0</v>
      </c>
    </row>
    <row r="81" spans="2:10" ht="15" customHeight="1">
      <c r="B81" s="230"/>
      <c r="C81" s="230"/>
      <c r="D81" s="230"/>
      <c r="E81" s="230"/>
      <c r="F81" s="288"/>
      <c r="G81" s="293"/>
    </row>
    <row r="82" spans="2:10" ht="15" customHeight="1">
      <c r="B82" s="287" t="s">
        <v>243</v>
      </c>
      <c r="C82" s="287"/>
      <c r="D82" s="230"/>
      <c r="E82" s="230"/>
      <c r="F82" s="288">
        <v>0</v>
      </c>
      <c r="G82" s="288">
        <v>0</v>
      </c>
    </row>
    <row r="83" spans="2:10" ht="15" customHeight="1">
      <c r="B83" s="230" t="s">
        <v>244</v>
      </c>
      <c r="C83" s="230"/>
      <c r="D83" s="231"/>
      <c r="E83" s="230"/>
      <c r="F83" s="293">
        <f>+SUMIF(Clasificaciones!B:B,EERR!B83,Clasificaciones!G:G)</f>
        <v>0</v>
      </c>
      <c r="G83" s="293">
        <f>-SUMIF(Clasificaciones!B:B,EERR!B83,Clasificaciones!K:K)</f>
        <v>0</v>
      </c>
    </row>
    <row r="84" spans="2:10" ht="15" customHeight="1">
      <c r="B84" s="230" t="s">
        <v>245</v>
      </c>
      <c r="C84" s="230"/>
      <c r="D84" s="231"/>
      <c r="E84" s="230"/>
      <c r="F84" s="293">
        <f>-+SUMIF(Clasificaciones!B:B,EERR!B84,Clasificaciones!G:G)</f>
        <v>0</v>
      </c>
      <c r="G84" s="293">
        <f>-SUMIF(Clasificaciones!B:B,EERR!B84,Clasificaciones!K:K)</f>
        <v>0</v>
      </c>
    </row>
    <row r="85" spans="2:10" ht="15" customHeight="1">
      <c r="B85" s="230"/>
      <c r="C85" s="230"/>
      <c r="D85" s="231"/>
      <c r="E85" s="230"/>
      <c r="F85" s="288"/>
      <c r="G85" s="293"/>
    </row>
    <row r="86" spans="2:10" ht="15" customHeight="1">
      <c r="B86" s="287" t="s">
        <v>54</v>
      </c>
      <c r="C86" s="287"/>
      <c r="D86" s="294"/>
      <c r="E86" s="287"/>
      <c r="F86" s="288">
        <f>+F64+F66+F70+F78+F82</f>
        <v>2649762187</v>
      </c>
      <c r="G86" s="288">
        <f>+G64+G66+G70+G78+G82</f>
        <v>2325154552</v>
      </c>
      <c r="I86" s="291"/>
    </row>
    <row r="87" spans="2:10" ht="15" customHeight="1">
      <c r="B87" s="287"/>
      <c r="C87" s="287"/>
      <c r="D87" s="287"/>
      <c r="E87" s="287"/>
      <c r="F87" s="288"/>
      <c r="G87" s="288"/>
      <c r="I87" s="291"/>
    </row>
    <row r="88" spans="2:10" ht="15" customHeight="1">
      <c r="B88" s="287" t="s">
        <v>734</v>
      </c>
      <c r="C88" s="287"/>
      <c r="D88" s="299"/>
      <c r="E88" s="299"/>
      <c r="F88" s="293">
        <f>-+SUMIF(Clasificaciones!B:B,EERR!B88,Clasificaciones!G:G)</f>
        <v>-152286289</v>
      </c>
      <c r="G88" s="293">
        <f>-+SUMIF(Clasificaciones!B:B,EERR!B88,Clasificaciones!K:K)</f>
        <v>-263473906</v>
      </c>
    </row>
    <row r="89" spans="2:10" ht="15" customHeight="1">
      <c r="B89" s="287"/>
      <c r="C89" s="287"/>
      <c r="D89" s="287"/>
      <c r="E89" s="287"/>
      <c r="F89" s="288"/>
      <c r="G89" s="293"/>
    </row>
    <row r="90" spans="2:10" ht="15" customHeight="1" thickBot="1">
      <c r="B90" s="287" t="s">
        <v>13</v>
      </c>
      <c r="C90" s="287"/>
      <c r="D90" s="287"/>
      <c r="E90" s="287"/>
      <c r="F90" s="304">
        <f>F86+F88</f>
        <v>2497475898</v>
      </c>
      <c r="G90" s="304">
        <f>G86+G88</f>
        <v>2061680646</v>
      </c>
      <c r="H90" s="305">
        <f>+F90-'BG 2021'!C237</f>
        <v>0</v>
      </c>
      <c r="I90" s="303">
        <f>+G90-'BG 2020'!D168</f>
        <v>0</v>
      </c>
      <c r="J90" s="306"/>
    </row>
    <row r="91" spans="2:10" ht="15" customHeight="1" thickTop="1">
      <c r="B91" s="307"/>
      <c r="F91" s="308"/>
    </row>
    <row r="92" spans="2:10" ht="15" customHeight="1">
      <c r="F92" s="308"/>
    </row>
    <row r="93" spans="2:10" ht="15" customHeight="1">
      <c r="B93" s="971" t="s">
        <v>666</v>
      </c>
      <c r="C93" s="971"/>
      <c r="D93" s="971"/>
      <c r="E93" s="971"/>
      <c r="F93" s="971"/>
      <c r="G93" s="971"/>
      <c r="J93" s="291"/>
    </row>
    <row r="94" spans="2:10" ht="15" customHeight="1">
      <c r="H94" s="310"/>
      <c r="J94" s="311"/>
    </row>
    <row r="95" spans="2:10" ht="15" customHeight="1">
      <c r="H95" s="310"/>
      <c r="J95" s="311"/>
    </row>
    <row r="96" spans="2:10" ht="15" customHeight="1">
      <c r="H96" s="310"/>
      <c r="J96" s="311"/>
    </row>
    <row r="97" spans="2:11" ht="15" customHeight="1">
      <c r="H97" s="310"/>
      <c r="J97" s="311"/>
    </row>
    <row r="98" spans="2:11" ht="15" customHeight="1">
      <c r="H98" s="310"/>
      <c r="J98" s="311"/>
    </row>
    <row r="99" spans="2:11" s="338" customFormat="1" ht="16.8">
      <c r="B99" s="836" t="s">
        <v>1688</v>
      </c>
      <c r="D99" s="837" t="s">
        <v>337</v>
      </c>
      <c r="F99" s="666"/>
      <c r="G99" s="837" t="s">
        <v>1689</v>
      </c>
      <c r="I99" s="838" t="s">
        <v>593</v>
      </c>
      <c r="J99" s="322"/>
      <c r="K99" s="274"/>
    </row>
    <row r="100" spans="2:11" s="338" customFormat="1" ht="16.8">
      <c r="B100" s="696" t="s">
        <v>110</v>
      </c>
      <c r="D100" s="839" t="s">
        <v>336</v>
      </c>
      <c r="F100" s="840"/>
      <c r="G100" s="839" t="s">
        <v>55</v>
      </c>
      <c r="I100" s="839" t="s">
        <v>335</v>
      </c>
      <c r="J100" s="322"/>
      <c r="K100" s="274"/>
    </row>
    <row r="101" spans="2:11" s="181" customFormat="1" ht="15.6">
      <c r="B101" s="180"/>
    </row>
    <row r="108" spans="2:11">
      <c r="B108" s="928" t="s">
        <v>1742</v>
      </c>
    </row>
    <row r="109" spans="2:11">
      <c r="B109" s="929" t="s">
        <v>1743</v>
      </c>
    </row>
    <row r="110" spans="2:11">
      <c r="B110" s="930" t="s">
        <v>1744</v>
      </c>
    </row>
  </sheetData>
  <mergeCells count="5">
    <mergeCell ref="B93:G93"/>
    <mergeCell ref="B3:I3"/>
    <mergeCell ref="B4:I4"/>
    <mergeCell ref="B5:I5"/>
    <mergeCell ref="B6:I6"/>
  </mergeCells>
  <hyperlinks>
    <hyperlink ref="I10" location="INDICE!A1" display="Índice" xr:uid="{546507BD-ABBE-4E1F-871D-6CF99634EE75}"/>
  </hyperlinks>
  <printOptions horizontalCentered="1"/>
  <pageMargins left="0.48" right="0.39" top="0.74803149606299213" bottom="0.74803149606299213"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Q79"/>
  <sheetViews>
    <sheetView showGridLines="0" topLeftCell="A34" zoomScale="70" zoomScaleNormal="70" zoomScaleSheetLayoutView="80" workbookViewId="0">
      <selection activeCell="B44" sqref="B44:B46"/>
    </sheetView>
  </sheetViews>
  <sheetFormatPr baseColWidth="10" defaultColWidth="11.44140625" defaultRowHeight="15.6"/>
  <cols>
    <col min="1" max="1" width="1.88671875" style="181" customWidth="1"/>
    <col min="2" max="2" width="37.6640625" style="180" customWidth="1"/>
    <col min="3" max="4" width="16.6640625" style="181" customWidth="1"/>
    <col min="5" max="5" width="18.109375" style="181" bestFit="1" customWidth="1"/>
    <col min="6" max="11" width="16.6640625" style="181" customWidth="1"/>
    <col min="12" max="13" width="17.88671875" style="181" bestFit="1" customWidth="1"/>
    <col min="14" max="14" width="18.88671875" style="181" bestFit="1" customWidth="1"/>
    <col min="15" max="15" width="15.109375" style="181" bestFit="1" customWidth="1"/>
    <col min="16" max="16" width="15.44140625" style="181" bestFit="1" customWidth="1"/>
    <col min="17" max="17" width="21.88671875" style="181" bestFit="1" customWidth="1"/>
    <col min="18" max="16384" width="11.44140625" style="181"/>
  </cols>
  <sheetData>
    <row r="1" spans="2:16" s="185" customFormat="1" ht="10.199999999999999" customHeight="1">
      <c r="B1" s="275"/>
      <c r="C1" s="275"/>
      <c r="D1" s="275"/>
      <c r="E1" s="275"/>
      <c r="F1" s="275"/>
      <c r="G1" s="275"/>
      <c r="H1" s="275"/>
      <c r="I1" s="275"/>
      <c r="J1" s="275"/>
      <c r="K1" s="275"/>
      <c r="L1" s="275"/>
      <c r="O1" s="186"/>
      <c r="P1" s="186"/>
    </row>
    <row r="2" spans="2:16" s="185" customFormat="1" ht="18">
      <c r="B2" s="841"/>
      <c r="C2" s="841"/>
      <c r="D2" s="841"/>
      <c r="E2" s="841"/>
      <c r="F2" s="841"/>
      <c r="G2" s="841"/>
      <c r="H2" s="841"/>
      <c r="I2" s="841"/>
      <c r="J2" s="841"/>
      <c r="K2" s="841"/>
      <c r="L2" s="841"/>
      <c r="M2" s="841"/>
      <c r="N2" s="841"/>
      <c r="O2" s="841"/>
      <c r="P2" s="841"/>
    </row>
    <row r="3" spans="2:16" s="185" customFormat="1" ht="18">
      <c r="B3" s="937"/>
      <c r="C3" s="937"/>
      <c r="D3" s="937"/>
      <c r="E3" s="937"/>
      <c r="F3" s="937"/>
      <c r="G3" s="937"/>
      <c r="H3" s="937"/>
      <c r="I3" s="937"/>
      <c r="J3" s="937"/>
      <c r="K3" s="937"/>
      <c r="L3" s="937"/>
      <c r="M3" s="937"/>
      <c r="O3" s="186"/>
      <c r="P3" s="186"/>
    </row>
    <row r="4" spans="2:16" s="185" customFormat="1" ht="18">
      <c r="B4" s="937"/>
      <c r="C4" s="937"/>
      <c r="D4" s="937"/>
      <c r="E4" s="937"/>
      <c r="F4" s="937"/>
      <c r="G4" s="937"/>
      <c r="H4" s="937"/>
      <c r="I4" s="937"/>
      <c r="J4" s="937"/>
      <c r="K4" s="937"/>
      <c r="L4" s="937"/>
      <c r="M4" s="937"/>
      <c r="O4" s="186"/>
      <c r="P4" s="186"/>
    </row>
    <row r="5" spans="2:16" s="185" customFormat="1" ht="18">
      <c r="B5" s="937"/>
      <c r="C5" s="937"/>
      <c r="D5" s="937"/>
      <c r="E5" s="937"/>
      <c r="F5" s="937"/>
      <c r="G5" s="937"/>
      <c r="H5" s="937"/>
      <c r="I5" s="937"/>
      <c r="J5" s="937"/>
      <c r="K5" s="937"/>
      <c r="L5" s="937"/>
      <c r="M5" s="937"/>
      <c r="O5" s="186"/>
      <c r="P5" s="186"/>
    </row>
    <row r="6" spans="2:16" s="185" customFormat="1" ht="18">
      <c r="B6" s="937"/>
      <c r="C6" s="937"/>
      <c r="D6" s="937"/>
      <c r="E6" s="937"/>
      <c r="F6" s="937"/>
      <c r="G6" s="937"/>
      <c r="H6" s="937"/>
      <c r="I6" s="937"/>
      <c r="J6" s="937"/>
      <c r="K6" s="937"/>
      <c r="L6" s="937"/>
      <c r="M6" s="937"/>
      <c r="O6" s="186"/>
      <c r="P6" s="186"/>
    </row>
    <row r="7" spans="2:16" s="185" customFormat="1" ht="20.399999999999999" customHeight="1">
      <c r="B7" s="183"/>
      <c r="C7" s="183"/>
      <c r="D7" s="183"/>
      <c r="E7" s="183"/>
      <c r="F7" s="183"/>
      <c r="G7" s="183"/>
      <c r="H7" s="183"/>
      <c r="I7" s="183"/>
      <c r="J7" s="183"/>
      <c r="K7" s="183"/>
      <c r="L7" s="183"/>
      <c r="M7" s="183"/>
      <c r="N7" s="183"/>
      <c r="O7" s="183"/>
      <c r="P7" s="183"/>
    </row>
    <row r="8" spans="2:16" s="185" customFormat="1" ht="18.600000000000001" customHeight="1">
      <c r="B8" s="174"/>
      <c r="C8" s="174"/>
      <c r="D8" s="174"/>
      <c r="E8" s="174"/>
      <c r="F8" s="174"/>
      <c r="G8" s="174"/>
      <c r="H8" s="174"/>
      <c r="I8" s="174"/>
      <c r="J8" s="174"/>
      <c r="K8" s="174"/>
      <c r="L8" s="174"/>
      <c r="O8" s="186"/>
      <c r="P8" s="186"/>
    </row>
    <row r="9" spans="2:16" s="272" customFormat="1" ht="18">
      <c r="B9" s="975" t="s">
        <v>586</v>
      </c>
      <c r="C9" s="975"/>
      <c r="D9" s="975"/>
      <c r="E9" s="975"/>
      <c r="F9" s="975"/>
      <c r="G9" s="975"/>
      <c r="H9" s="975"/>
      <c r="I9" s="975"/>
      <c r="J9" s="975"/>
      <c r="K9" s="975"/>
      <c r="L9" s="975"/>
      <c r="M9" s="975"/>
      <c r="N9" s="273" t="s">
        <v>1300</v>
      </c>
    </row>
    <row r="10" spans="2:16" s="274" customFormat="1" ht="16.8">
      <c r="B10" s="976" t="s">
        <v>594</v>
      </c>
      <c r="C10" s="976"/>
      <c r="D10" s="976"/>
      <c r="E10" s="976"/>
      <c r="F10" s="976"/>
      <c r="G10" s="976"/>
      <c r="H10" s="976"/>
      <c r="I10" s="976"/>
      <c r="J10" s="976"/>
      <c r="K10" s="976"/>
      <c r="L10" s="976"/>
      <c r="M10" s="976"/>
    </row>
    <row r="11" spans="2:16" s="274" customFormat="1" ht="16.8">
      <c r="B11" s="977" t="s">
        <v>1440</v>
      </c>
      <c r="C11" s="978"/>
      <c r="D11" s="978"/>
      <c r="E11" s="978"/>
      <c r="F11" s="978"/>
      <c r="G11" s="978"/>
      <c r="H11" s="978"/>
      <c r="I11" s="978"/>
      <c r="J11" s="978"/>
      <c r="K11" s="978"/>
      <c r="L11" s="978"/>
      <c r="M11" s="978"/>
    </row>
    <row r="12" spans="2:16" s="179" customFormat="1">
      <c r="B12" s="974" t="s">
        <v>591</v>
      </c>
      <c r="C12" s="974"/>
      <c r="D12" s="974"/>
      <c r="E12" s="974"/>
      <c r="F12" s="974"/>
      <c r="G12" s="974"/>
      <c r="H12" s="974"/>
      <c r="I12" s="974"/>
      <c r="J12" s="974"/>
      <c r="K12" s="974"/>
      <c r="L12" s="974"/>
      <c r="M12" s="974"/>
    </row>
    <row r="13" spans="2:16" s="179" customFormat="1">
      <c r="B13" s="261"/>
      <c r="C13" s="262"/>
      <c r="D13" s="262"/>
      <c r="E13" s="262"/>
      <c r="F13" s="262"/>
      <c r="G13" s="262"/>
      <c r="H13" s="262"/>
      <c r="I13" s="262"/>
      <c r="J13" s="262"/>
      <c r="K13" s="262"/>
      <c r="L13" s="262"/>
      <c r="M13" s="262"/>
    </row>
    <row r="14" spans="2:16" s="182" customFormat="1" ht="31.5" customHeight="1">
      <c r="B14" s="973" t="s">
        <v>56</v>
      </c>
      <c r="C14" s="973" t="s">
        <v>11</v>
      </c>
      <c r="D14" s="973"/>
      <c r="E14" s="973"/>
      <c r="F14" s="973" t="s">
        <v>582</v>
      </c>
      <c r="G14" s="973" t="s">
        <v>12</v>
      </c>
      <c r="H14" s="973"/>
      <c r="I14" s="973"/>
      <c r="J14" s="973" t="s">
        <v>132</v>
      </c>
      <c r="K14" s="973"/>
      <c r="L14" s="979" t="s">
        <v>23</v>
      </c>
      <c r="M14" s="979"/>
      <c r="N14" s="322"/>
    </row>
    <row r="15" spans="2:16" s="182" customFormat="1" ht="30" customHeight="1">
      <c r="B15" s="973"/>
      <c r="C15" s="323" t="s">
        <v>126</v>
      </c>
      <c r="D15" s="323" t="s">
        <v>127</v>
      </c>
      <c r="E15" s="323" t="s">
        <v>128</v>
      </c>
      <c r="F15" s="973"/>
      <c r="G15" s="323" t="s">
        <v>129</v>
      </c>
      <c r="H15" s="323" t="s">
        <v>130</v>
      </c>
      <c r="I15" s="323" t="s">
        <v>131</v>
      </c>
      <c r="J15" s="323" t="s">
        <v>133</v>
      </c>
      <c r="K15" s="323" t="s">
        <v>134</v>
      </c>
      <c r="L15" s="324">
        <v>44561</v>
      </c>
      <c r="M15" s="324">
        <v>44196</v>
      </c>
      <c r="N15" s="322"/>
    </row>
    <row r="16" spans="2:16" s="263" customFormat="1" ht="30" customHeight="1">
      <c r="B16" s="325" t="s">
        <v>585</v>
      </c>
      <c r="C16" s="326">
        <v>30000000000</v>
      </c>
      <c r="D16" s="326">
        <v>-5000000000</v>
      </c>
      <c r="E16" s="327">
        <f>+'BG 2020'!D160+'BG 2020'!D156</f>
        <v>10615000000</v>
      </c>
      <c r="F16" s="327">
        <f>+'BG 2020'!D161</f>
        <v>101000000</v>
      </c>
      <c r="G16" s="327">
        <f>+'BG 2020'!D163</f>
        <v>32519922</v>
      </c>
      <c r="H16" s="327">
        <f>+'BG 2020'!D165</f>
        <v>2818523</v>
      </c>
      <c r="I16" s="327">
        <v>0</v>
      </c>
      <c r="J16" s="327">
        <f>+'BG 2020'!D167</f>
        <v>-16109965</v>
      </c>
      <c r="K16" s="327">
        <f>+'BG 2020'!D168</f>
        <v>2061680646</v>
      </c>
      <c r="L16" s="328">
        <v>0</v>
      </c>
      <c r="M16" s="329">
        <f>+SUM(E16:K16)</f>
        <v>12796909126</v>
      </c>
      <c r="N16" s="330">
        <f>+M16-'BG 2020'!D154</f>
        <v>0</v>
      </c>
      <c r="O16" s="264"/>
    </row>
    <row r="17" spans="2:17" s="263" customFormat="1" ht="30" customHeight="1">
      <c r="B17" s="331" t="s">
        <v>135</v>
      </c>
      <c r="C17" s="326"/>
      <c r="D17" s="326"/>
      <c r="E17" s="326"/>
      <c r="F17" s="326"/>
      <c r="G17" s="326"/>
      <c r="H17" s="326"/>
      <c r="I17" s="326"/>
      <c r="J17" s="326"/>
      <c r="K17" s="326"/>
      <c r="L17" s="328"/>
      <c r="M17" s="329"/>
      <c r="N17" s="332"/>
      <c r="P17" s="265"/>
    </row>
    <row r="18" spans="2:17" s="266" customFormat="1" ht="30" customHeight="1">
      <c r="B18" s="333" t="s">
        <v>587</v>
      </c>
      <c r="C18" s="326">
        <v>0</v>
      </c>
      <c r="D18" s="326">
        <v>0</v>
      </c>
      <c r="E18" s="326">
        <v>15000000000</v>
      </c>
      <c r="F18" s="326">
        <v>0</v>
      </c>
      <c r="G18" s="326">
        <v>0</v>
      </c>
      <c r="H18" s="326">
        <v>0</v>
      </c>
      <c r="I18" s="326">
        <v>0</v>
      </c>
      <c r="J18" s="326">
        <v>0</v>
      </c>
      <c r="K18" s="326">
        <v>0</v>
      </c>
      <c r="L18" s="328">
        <f>+SUM(E18:K18)</f>
        <v>15000000000</v>
      </c>
      <c r="M18" s="329">
        <v>0</v>
      </c>
      <c r="N18" s="334"/>
      <c r="P18" s="267"/>
    </row>
    <row r="19" spans="2:17" s="266" customFormat="1" ht="30" customHeight="1">
      <c r="B19" s="333" t="s">
        <v>582</v>
      </c>
      <c r="C19" s="326">
        <v>0</v>
      </c>
      <c r="D19" s="326">
        <v>0</v>
      </c>
      <c r="E19" s="326">
        <v>0</v>
      </c>
      <c r="F19" s="326">
        <v>49000000</v>
      </c>
      <c r="G19" s="326">
        <v>0</v>
      </c>
      <c r="H19" s="326">
        <v>0</v>
      </c>
      <c r="I19" s="326">
        <v>0</v>
      </c>
      <c r="J19" s="326">
        <v>0</v>
      </c>
      <c r="K19" s="326">
        <v>0</v>
      </c>
      <c r="L19" s="328">
        <f>+SUM(E19:K19)</f>
        <v>49000000</v>
      </c>
      <c r="M19" s="329">
        <v>0</v>
      </c>
      <c r="N19" s="334"/>
      <c r="P19" s="267"/>
    </row>
    <row r="20" spans="2:17" s="266" customFormat="1" ht="30" customHeight="1">
      <c r="B20" s="333" t="s">
        <v>646</v>
      </c>
      <c r="C20" s="326">
        <v>0</v>
      </c>
      <c r="D20" s="326">
        <v>0</v>
      </c>
      <c r="E20" s="326">
        <f>+'BG 2021'!C232-'BG 2020'!D160</f>
        <v>1945000000</v>
      </c>
      <c r="F20" s="326">
        <v>0</v>
      </c>
      <c r="G20" s="326">
        <f>+'BG 2021'!C235-G16</f>
        <v>103084032</v>
      </c>
      <c r="H20" s="326">
        <f>+'BG 2021'!C236-H16</f>
        <v>-2513351</v>
      </c>
      <c r="I20" s="326">
        <v>0</v>
      </c>
      <c r="J20" s="326">
        <f>-K20-2045570681</f>
        <v>16109965</v>
      </c>
      <c r="K20" s="326">
        <f>-K16</f>
        <v>-2061680646</v>
      </c>
      <c r="L20" s="328">
        <f>+SUM(E20:K20)</f>
        <v>0</v>
      </c>
      <c r="M20" s="329">
        <v>0</v>
      </c>
      <c r="N20" s="334"/>
      <c r="P20" s="267"/>
    </row>
    <row r="21" spans="2:17" s="266" customFormat="1" ht="30" customHeight="1">
      <c r="B21" s="325" t="s">
        <v>57</v>
      </c>
      <c r="C21" s="326">
        <v>0</v>
      </c>
      <c r="D21" s="326"/>
      <c r="E21" s="326">
        <v>0</v>
      </c>
      <c r="F21" s="326">
        <v>0</v>
      </c>
      <c r="G21" s="326">
        <v>0</v>
      </c>
      <c r="H21" s="326">
        <v>0</v>
      </c>
      <c r="I21" s="326">
        <v>0</v>
      </c>
      <c r="J21" s="326">
        <v>0</v>
      </c>
      <c r="K21" s="326">
        <f>+'BG 2021'!C237</f>
        <v>2497475898</v>
      </c>
      <c r="L21" s="328">
        <f>+SUM(E21:K21)</f>
        <v>2497475898</v>
      </c>
      <c r="M21" s="329">
        <v>0</v>
      </c>
      <c r="N21" s="335"/>
      <c r="P21" s="267"/>
    </row>
    <row r="22" spans="2:17" s="266" customFormat="1" ht="30" customHeight="1">
      <c r="B22" s="331" t="s">
        <v>1441</v>
      </c>
      <c r="C22" s="327">
        <f>SUM(C16:C21)</f>
        <v>30000000000</v>
      </c>
      <c r="D22" s="327">
        <f t="shared" ref="D22" si="0">SUM(D16:D21)</f>
        <v>-5000000000</v>
      </c>
      <c r="E22" s="327">
        <f>SUM(E16:E21)</f>
        <v>27560000000</v>
      </c>
      <c r="F22" s="327">
        <f t="shared" ref="F22:J22" si="1">SUM(F16:F21)</f>
        <v>150000000</v>
      </c>
      <c r="G22" s="327">
        <f>SUM(G16:G21)</f>
        <v>135603954</v>
      </c>
      <c r="H22" s="327">
        <f>SUM(H16:H21)</f>
        <v>305172</v>
      </c>
      <c r="I22" s="327">
        <f t="shared" si="1"/>
        <v>0</v>
      </c>
      <c r="J22" s="327">
        <f t="shared" si="1"/>
        <v>0</v>
      </c>
      <c r="K22" s="327">
        <f>SUM(K16:K21)</f>
        <v>2497475898</v>
      </c>
      <c r="L22" s="328">
        <f>SUM(E22:K22)</f>
        <v>30343385024</v>
      </c>
      <c r="M22" s="329">
        <v>0</v>
      </c>
      <c r="N22" s="336">
        <f>+L22-'BG 2021'!C226</f>
        <v>0</v>
      </c>
      <c r="O22" s="268"/>
    </row>
    <row r="23" spans="2:17" s="266" customFormat="1" ht="30" customHeight="1">
      <c r="B23" s="331" t="s">
        <v>1282</v>
      </c>
      <c r="C23" s="327">
        <v>0</v>
      </c>
      <c r="D23" s="327">
        <v>0</v>
      </c>
      <c r="E23" s="327">
        <v>10615000000</v>
      </c>
      <c r="F23" s="327">
        <v>101000000</v>
      </c>
      <c r="G23" s="327">
        <v>32519922</v>
      </c>
      <c r="H23" s="327">
        <v>2818523</v>
      </c>
      <c r="I23" s="327">
        <v>0</v>
      </c>
      <c r="J23" s="327">
        <v>-16109965</v>
      </c>
      <c r="K23" s="327">
        <v>2061680646</v>
      </c>
      <c r="L23" s="328">
        <v>0</v>
      </c>
      <c r="M23" s="329">
        <f>+SUM(E23:K23)</f>
        <v>12796909126</v>
      </c>
      <c r="N23" s="330">
        <f>+M23-'BG 2020'!D154</f>
        <v>0</v>
      </c>
      <c r="O23" s="269"/>
    </row>
    <row r="24" spans="2:17" ht="16.8">
      <c r="B24" s="337"/>
      <c r="C24" s="338"/>
      <c r="D24" s="338"/>
      <c r="E24" s="339">
        <f>+E22-'BG 2021'!C227+F22</f>
        <v>0</v>
      </c>
      <c r="F24" s="340"/>
      <c r="G24" s="340">
        <f>+G22-'BG 2021'!C235</f>
        <v>0</v>
      </c>
      <c r="H24" s="340">
        <f>+H22-'BG 2021'!C236</f>
        <v>0</v>
      </c>
      <c r="I24" s="338"/>
      <c r="J24" s="338"/>
      <c r="K24" s="338"/>
      <c r="L24" s="338"/>
      <c r="M24" s="338"/>
      <c r="N24" s="338"/>
      <c r="Q24" s="271"/>
    </row>
    <row r="25" spans="2:17" ht="16.8">
      <c r="B25" s="972" t="s">
        <v>666</v>
      </c>
      <c r="C25" s="972"/>
      <c r="D25" s="972"/>
      <c r="E25" s="972"/>
      <c r="F25" s="972"/>
      <c r="G25" s="972"/>
      <c r="H25" s="972"/>
      <c r="I25" s="972"/>
      <c r="J25" s="972"/>
      <c r="K25" s="972"/>
      <c r="L25" s="972"/>
      <c r="M25" s="972"/>
      <c r="N25" s="338"/>
      <c r="Q25" s="271"/>
    </row>
    <row r="26" spans="2:17" ht="16.8">
      <c r="B26" s="337"/>
      <c r="C26" s="338"/>
      <c r="D26" s="338"/>
      <c r="E26" s="338"/>
      <c r="F26" s="338"/>
      <c r="G26" s="338"/>
      <c r="H26" s="338"/>
      <c r="I26" s="338"/>
      <c r="J26" s="338"/>
      <c r="K26" s="338"/>
      <c r="L26" s="338"/>
      <c r="M26" s="338"/>
      <c r="N26" s="338"/>
      <c r="Q26" s="271"/>
    </row>
    <row r="27" spans="2:17">
      <c r="Q27" s="271"/>
    </row>
    <row r="28" spans="2:17">
      <c r="Q28" s="271"/>
    </row>
    <row r="29" spans="2:17">
      <c r="Q29" s="271"/>
    </row>
    <row r="30" spans="2:17">
      <c r="Q30" s="271"/>
    </row>
    <row r="31" spans="2:17">
      <c r="Q31" s="271"/>
    </row>
    <row r="32" spans="2:17">
      <c r="L32" s="270"/>
      <c r="Q32" s="271"/>
    </row>
    <row r="33" spans="2:17">
      <c r="Q33" s="271"/>
    </row>
    <row r="34" spans="2:17" s="338" customFormat="1" ht="16.8">
      <c r="B34" s="836" t="s">
        <v>1688</v>
      </c>
      <c r="D34" s="837"/>
      <c r="E34" s="837" t="s">
        <v>337</v>
      </c>
      <c r="F34" s="666"/>
      <c r="I34" s="837" t="s">
        <v>1689</v>
      </c>
      <c r="J34" s="322"/>
      <c r="K34" s="274"/>
      <c r="L34" s="838" t="s">
        <v>593</v>
      </c>
    </row>
    <row r="35" spans="2:17" s="338" customFormat="1" ht="16.8">
      <c r="B35" s="696" t="s">
        <v>110</v>
      </c>
      <c r="D35" s="839"/>
      <c r="E35" s="839" t="s">
        <v>336</v>
      </c>
      <c r="F35" s="840"/>
      <c r="I35" s="839" t="s">
        <v>55</v>
      </c>
      <c r="J35" s="322"/>
      <c r="K35" s="274"/>
      <c r="L35" s="839" t="s">
        <v>335</v>
      </c>
    </row>
    <row r="44" spans="2:17">
      <c r="B44" s="928" t="s">
        <v>1742</v>
      </c>
    </row>
    <row r="45" spans="2:17">
      <c r="B45" s="929" t="s">
        <v>1743</v>
      </c>
    </row>
    <row r="46" spans="2:17">
      <c r="B46" s="930" t="s">
        <v>1744</v>
      </c>
    </row>
    <row r="79" spans="4:4">
      <c r="D79" s="181">
        <f>VPN!H9</f>
        <v>0</v>
      </c>
    </row>
  </sheetData>
  <customSheetViews>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1"/>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2"/>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3"/>
      <headerFooter alignWithMargins="0"/>
    </customSheetView>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4"/>
      <headerFooter alignWithMargins="0"/>
    </customSheetView>
  </customSheetViews>
  <mergeCells count="16">
    <mergeCell ref="B3:M3"/>
    <mergeCell ref="B4:M4"/>
    <mergeCell ref="B5:M5"/>
    <mergeCell ref="B6:M6"/>
    <mergeCell ref="B25:M25"/>
    <mergeCell ref="F14:F15"/>
    <mergeCell ref="B12:G12"/>
    <mergeCell ref="H12:M12"/>
    <mergeCell ref="B9:M9"/>
    <mergeCell ref="B10:M10"/>
    <mergeCell ref="B11:M11"/>
    <mergeCell ref="C14:E14"/>
    <mergeCell ref="G14:I14"/>
    <mergeCell ref="J14:K14"/>
    <mergeCell ref="L14:M14"/>
    <mergeCell ref="B14:B15"/>
  </mergeCells>
  <hyperlinks>
    <hyperlink ref="N9" location="INDICE!A1" display="Índice" xr:uid="{83A0A79E-FAA2-4E1D-B7DB-DEF502477F8B}"/>
  </hyperlinks>
  <pageMargins left="0.25" right="0.25" top="0.75" bottom="0.75" header="0.3" footer="0.3"/>
  <pageSetup scale="47" orientation="portrait"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V71"/>
  <sheetViews>
    <sheetView showGridLines="0" topLeftCell="A61" zoomScale="70" zoomScaleNormal="70" zoomScaleSheetLayoutView="90" workbookViewId="0">
      <selection activeCell="B69" sqref="B69:B71"/>
    </sheetView>
  </sheetViews>
  <sheetFormatPr baseColWidth="10" defaultColWidth="11.44140625" defaultRowHeight="18"/>
  <cols>
    <col min="1" max="1" width="1.88671875" style="276" customWidth="1"/>
    <col min="2" max="2" width="52.5546875" style="346" customWidth="1"/>
    <col min="3" max="3" width="17" style="346" bestFit="1" customWidth="1"/>
    <col min="4" max="4" width="10.44140625" style="366" customWidth="1"/>
    <col min="5" max="5" width="23.109375" style="346" bestFit="1" customWidth="1"/>
    <col min="6" max="6" width="2.5546875" style="366" customWidth="1"/>
    <col min="7" max="7" width="19" style="372" customWidth="1"/>
    <col min="8" max="8" width="4.109375" style="276" customWidth="1"/>
    <col min="9" max="9" width="3" style="276" customWidth="1"/>
    <col min="10" max="10" width="17.44140625" style="276" customWidth="1"/>
    <col min="11" max="11" width="5.109375" style="272" customWidth="1"/>
    <col min="12" max="12" width="17.109375" style="272" bestFit="1" customWidth="1"/>
    <col min="13" max="16384" width="11.44140625" style="276"/>
  </cols>
  <sheetData>
    <row r="1" spans="2:22" s="244" customFormat="1" ht="10.199999999999999" customHeight="1">
      <c r="B1" s="275"/>
      <c r="C1" s="275"/>
      <c r="D1" s="275"/>
      <c r="E1" s="275"/>
      <c r="F1" s="275"/>
      <c r="G1" s="275"/>
      <c r="H1" s="275"/>
      <c r="I1" s="275"/>
      <c r="J1" s="275"/>
      <c r="K1" s="275"/>
      <c r="L1" s="275"/>
    </row>
    <row r="2" spans="2:22" s="185" customFormat="1">
      <c r="B2" s="841"/>
      <c r="C2" s="841"/>
      <c r="D2" s="841"/>
      <c r="E2" s="841"/>
      <c r="F2" s="841"/>
      <c r="G2" s="841"/>
      <c r="H2" s="841"/>
      <c r="I2" s="841"/>
      <c r="J2" s="841"/>
      <c r="K2" s="841"/>
      <c r="L2" s="841"/>
      <c r="M2" s="841"/>
      <c r="N2" s="841"/>
      <c r="O2" s="841"/>
      <c r="P2" s="841"/>
      <c r="Q2" s="841"/>
      <c r="R2" s="841"/>
      <c r="S2" s="841"/>
      <c r="T2" s="841"/>
      <c r="U2" s="841"/>
      <c r="V2" s="841"/>
    </row>
    <row r="3" spans="2:22" s="244" customFormat="1">
      <c r="B3" s="937"/>
      <c r="C3" s="937"/>
      <c r="D3" s="937"/>
      <c r="E3" s="937"/>
      <c r="F3" s="937"/>
      <c r="G3" s="937"/>
      <c r="H3" s="937"/>
      <c r="I3" s="937"/>
      <c r="J3" s="937"/>
      <c r="K3" s="937"/>
    </row>
    <row r="4" spans="2:22" s="244" customFormat="1">
      <c r="B4" s="937"/>
      <c r="C4" s="937"/>
      <c r="D4" s="937"/>
      <c r="E4" s="937"/>
      <c r="F4" s="937"/>
      <c r="G4" s="937"/>
      <c r="H4" s="937"/>
      <c r="I4" s="937"/>
      <c r="J4" s="937"/>
      <c r="K4" s="937"/>
      <c r="L4" s="175"/>
    </row>
    <row r="5" spans="2:22" s="244" customFormat="1">
      <c r="B5" s="937"/>
      <c r="C5" s="937"/>
      <c r="D5" s="937"/>
      <c r="E5" s="937"/>
      <c r="F5" s="937"/>
      <c r="G5" s="937"/>
      <c r="H5" s="937"/>
      <c r="I5" s="937"/>
      <c r="J5" s="937"/>
      <c r="K5" s="937"/>
      <c r="L5" s="175"/>
    </row>
    <row r="6" spans="2:22" s="244" customFormat="1">
      <c r="B6" s="937"/>
      <c r="C6" s="937"/>
      <c r="D6" s="937"/>
      <c r="E6" s="937"/>
      <c r="F6" s="937"/>
      <c r="G6" s="937"/>
      <c r="H6" s="937"/>
      <c r="I6" s="937"/>
      <c r="J6" s="937"/>
      <c r="K6" s="937"/>
      <c r="L6" s="175"/>
    </row>
    <row r="7" spans="2:22" s="244" customFormat="1" ht="20.399999999999999" customHeight="1">
      <c r="B7" s="183"/>
      <c r="C7" s="183"/>
      <c r="D7" s="183"/>
      <c r="E7" s="183"/>
      <c r="F7" s="183"/>
      <c r="G7" s="183"/>
      <c r="H7" s="183"/>
      <c r="I7" s="183"/>
      <c r="J7" s="183"/>
      <c r="K7" s="183"/>
      <c r="L7" s="183"/>
      <c r="M7" s="183"/>
      <c r="N7" s="183"/>
      <c r="O7" s="183"/>
      <c r="P7" s="183"/>
      <c r="Q7" s="183"/>
      <c r="R7" s="183"/>
      <c r="S7" s="183"/>
      <c r="T7" s="183"/>
      <c r="U7" s="183"/>
      <c r="V7" s="183"/>
    </row>
    <row r="8" spans="2:22" s="244" customFormat="1">
      <c r="F8" s="275"/>
      <c r="H8" s="276"/>
      <c r="K8" s="275"/>
    </row>
    <row r="9" spans="2:22">
      <c r="B9" s="276"/>
      <c r="C9" s="276"/>
      <c r="D9" s="276"/>
      <c r="E9" s="276"/>
      <c r="F9" s="276"/>
      <c r="G9" s="276"/>
      <c r="J9" s="273" t="s">
        <v>1300</v>
      </c>
    </row>
    <row r="10" spans="2:22" s="272" customFormat="1">
      <c r="B10" s="980" t="s">
        <v>586</v>
      </c>
      <c r="C10" s="980"/>
      <c r="D10" s="980"/>
      <c r="E10" s="980"/>
      <c r="F10" s="980"/>
      <c r="G10" s="980"/>
      <c r="H10" s="980"/>
      <c r="I10" s="341"/>
      <c r="J10" s="341"/>
      <c r="K10" s="341"/>
    </row>
    <row r="11" spans="2:22" s="272" customFormat="1">
      <c r="B11" s="980" t="s">
        <v>328</v>
      </c>
      <c r="C11" s="980"/>
      <c r="D11" s="980"/>
      <c r="E11" s="980"/>
      <c r="F11" s="980"/>
      <c r="G11" s="980"/>
      <c r="H11" s="980"/>
      <c r="I11" s="342"/>
      <c r="J11" s="342"/>
      <c r="K11" s="342"/>
    </row>
    <row r="12" spans="2:22" s="272" customFormat="1">
      <c r="B12" s="343" t="s">
        <v>1440</v>
      </c>
      <c r="C12" s="343"/>
      <c r="D12" s="343"/>
      <c r="E12" s="343"/>
      <c r="F12" s="343"/>
      <c r="G12" s="343"/>
      <c r="H12" s="343"/>
      <c r="I12" s="342"/>
      <c r="J12" s="342"/>
      <c r="K12" s="342"/>
    </row>
    <row r="13" spans="2:22" s="272" customFormat="1">
      <c r="B13" s="981" t="s">
        <v>591</v>
      </c>
      <c r="C13" s="981"/>
      <c r="D13" s="981"/>
      <c r="E13" s="981"/>
      <c r="F13" s="981"/>
      <c r="G13" s="981"/>
      <c r="H13" s="981"/>
      <c r="I13" s="342"/>
      <c r="J13" s="342"/>
      <c r="K13" s="342"/>
    </row>
    <row r="14" spans="2:22">
      <c r="B14" s="344"/>
      <c r="C14" s="344"/>
      <c r="D14" s="344"/>
      <c r="E14" s="344"/>
      <c r="F14" s="344"/>
      <c r="G14" s="345"/>
      <c r="H14" s="346"/>
    </row>
    <row r="15" spans="2:22">
      <c r="B15" s="347"/>
      <c r="C15" s="347"/>
      <c r="D15" s="347"/>
      <c r="E15" s="216"/>
      <c r="F15" s="216"/>
      <c r="G15" s="216">
        <v>44561</v>
      </c>
      <c r="H15" s="216"/>
      <c r="I15" s="216"/>
      <c r="J15" s="216">
        <v>44196</v>
      </c>
      <c r="L15" s="276"/>
      <c r="N15" s="272"/>
    </row>
    <row r="16" spans="2:22" ht="31.5" customHeight="1">
      <c r="B16" s="983" t="s">
        <v>58</v>
      </c>
      <c r="C16" s="983"/>
      <c r="D16" s="983"/>
      <c r="E16" s="348"/>
      <c r="F16" s="348"/>
      <c r="G16" s="348"/>
      <c r="H16" s="348"/>
      <c r="I16" s="348"/>
      <c r="J16" s="349"/>
      <c r="L16" s="276"/>
      <c r="N16" s="272"/>
    </row>
    <row r="17" spans="2:14" s="352" customFormat="1">
      <c r="B17" s="350" t="s">
        <v>136</v>
      </c>
      <c r="C17" s="350"/>
      <c r="D17" s="350"/>
      <c r="E17" s="351"/>
      <c r="F17" s="351"/>
      <c r="G17" s="351">
        <f>+'CA EFE 312021'!I488</f>
        <v>3217721992</v>
      </c>
      <c r="H17" s="351"/>
      <c r="I17" s="351"/>
      <c r="J17" s="351">
        <v>5893753275</v>
      </c>
      <c r="K17" s="353"/>
      <c r="N17" s="353"/>
    </row>
    <row r="18" spans="2:14" s="352" customFormat="1">
      <c r="B18" s="350" t="s">
        <v>59</v>
      </c>
      <c r="C18" s="350"/>
      <c r="D18" s="350"/>
      <c r="E18" s="351"/>
      <c r="F18" s="351"/>
      <c r="G18" s="351">
        <f>+'CA EFE 312021'!J488</f>
        <v>-3721700414</v>
      </c>
      <c r="H18" s="351"/>
      <c r="I18" s="351"/>
      <c r="J18" s="351">
        <v>-1607260151</v>
      </c>
      <c r="K18" s="353"/>
      <c r="N18" s="353"/>
    </row>
    <row r="19" spans="2:14" s="352" customFormat="1" ht="31.5" customHeight="1">
      <c r="B19" s="982" t="s">
        <v>60</v>
      </c>
      <c r="C19" s="982"/>
      <c r="D19" s="982"/>
      <c r="E19" s="354"/>
      <c r="F19" s="354"/>
      <c r="G19" s="354">
        <f>SUM(G17:G18)</f>
        <v>-503978422</v>
      </c>
      <c r="H19" s="354"/>
      <c r="I19" s="354"/>
      <c r="J19" s="354">
        <f>+SUM(J17:J18)</f>
        <v>4286493124</v>
      </c>
      <c r="K19" s="353"/>
      <c r="N19" s="353"/>
    </row>
    <row r="20" spans="2:14" s="352" customFormat="1" ht="36">
      <c r="B20" s="355" t="s">
        <v>138</v>
      </c>
      <c r="C20" s="355"/>
      <c r="D20" s="355"/>
      <c r="E20" s="354"/>
      <c r="F20" s="354"/>
      <c r="G20" s="354">
        <v>0</v>
      </c>
      <c r="H20" s="354"/>
      <c r="I20" s="354"/>
      <c r="J20" s="354">
        <v>0</v>
      </c>
      <c r="K20" s="353"/>
      <c r="N20" s="353"/>
    </row>
    <row r="21" spans="2:14" s="352" customFormat="1">
      <c r="B21" s="350" t="s">
        <v>139</v>
      </c>
      <c r="C21" s="350"/>
      <c r="D21" s="355"/>
      <c r="E21" s="354"/>
      <c r="F21" s="354"/>
      <c r="G21" s="354">
        <f>+'CA EFE 312021'!L488</f>
        <v>0</v>
      </c>
      <c r="H21" s="354"/>
      <c r="I21" s="354"/>
      <c r="J21" s="354">
        <v>0</v>
      </c>
      <c r="K21" s="353"/>
      <c r="N21" s="353"/>
    </row>
    <row r="22" spans="2:14" s="352" customFormat="1">
      <c r="B22" s="355" t="s">
        <v>140</v>
      </c>
      <c r="C22" s="355"/>
      <c r="D22" s="355"/>
      <c r="E22" s="354"/>
      <c r="F22" s="354"/>
      <c r="G22" s="354">
        <f>+G23</f>
        <v>-3665644973</v>
      </c>
      <c r="H22" s="354"/>
      <c r="I22" s="354"/>
      <c r="J22" s="354">
        <f>+J23</f>
        <v>-2846451594</v>
      </c>
      <c r="K22" s="353"/>
      <c r="N22" s="353"/>
    </row>
    <row r="23" spans="2:14" s="352" customFormat="1">
      <c r="B23" s="350" t="s">
        <v>61</v>
      </c>
      <c r="C23" s="350"/>
      <c r="D23" s="355"/>
      <c r="E23" s="351"/>
      <c r="F23" s="351"/>
      <c r="G23" s="351">
        <f>+'CA EFE 312021'!M488</f>
        <v>-3665644973</v>
      </c>
      <c r="H23" s="351"/>
      <c r="I23" s="351"/>
      <c r="J23" s="351">
        <v>-2846451594</v>
      </c>
      <c r="K23" s="373"/>
      <c r="N23" s="353"/>
    </row>
    <row r="24" spans="2:14" s="352" customFormat="1">
      <c r="B24" s="982" t="s">
        <v>141</v>
      </c>
      <c r="C24" s="982"/>
      <c r="D24" s="982"/>
      <c r="E24" s="354"/>
      <c r="F24" s="354"/>
      <c r="G24" s="354">
        <f>+G19+G22</f>
        <v>-4169623395</v>
      </c>
      <c r="H24" s="354"/>
      <c r="I24" s="354"/>
      <c r="J24" s="354">
        <f>+J19+J22</f>
        <v>1440041530</v>
      </c>
      <c r="K24" s="373"/>
      <c r="N24" s="353"/>
    </row>
    <row r="25" spans="2:14" s="352" customFormat="1">
      <c r="B25" s="350" t="s">
        <v>79</v>
      </c>
      <c r="C25" s="350"/>
      <c r="D25" s="355"/>
      <c r="E25" s="351"/>
      <c r="F25" s="351"/>
      <c r="G25" s="351">
        <f>+'CA EFE 312021'!N488</f>
        <v>-421109192</v>
      </c>
      <c r="H25" s="351"/>
      <c r="I25" s="351"/>
      <c r="J25" s="351">
        <v>-163393207</v>
      </c>
      <c r="K25" s="373"/>
      <c r="N25" s="353"/>
    </row>
    <row r="26" spans="2:14" s="352" customFormat="1">
      <c r="B26" s="355" t="s">
        <v>62</v>
      </c>
      <c r="C26" s="355"/>
      <c r="D26" s="355"/>
      <c r="E26" s="354"/>
      <c r="F26" s="354"/>
      <c r="G26" s="354">
        <f>SUM(G24:G25)</f>
        <v>-4590732587</v>
      </c>
      <c r="H26" s="354"/>
      <c r="I26" s="354"/>
      <c r="J26" s="354">
        <f>+J24+J25</f>
        <v>1276648323</v>
      </c>
      <c r="K26" s="373"/>
      <c r="N26" s="353"/>
    </row>
    <row r="27" spans="2:14" s="352" customFormat="1">
      <c r="B27" s="355"/>
      <c r="C27" s="355"/>
      <c r="D27" s="355"/>
      <c r="E27" s="354"/>
      <c r="F27" s="354"/>
      <c r="G27" s="354"/>
      <c r="H27" s="354"/>
      <c r="I27" s="354"/>
      <c r="J27" s="354"/>
      <c r="K27" s="373"/>
      <c r="N27" s="353"/>
    </row>
    <row r="28" spans="2:14" s="352" customFormat="1" ht="31.5" customHeight="1">
      <c r="B28" s="983" t="s">
        <v>63</v>
      </c>
      <c r="C28" s="983"/>
      <c r="D28" s="983"/>
      <c r="E28" s="356"/>
      <c r="F28" s="356"/>
      <c r="G28" s="356"/>
      <c r="H28" s="356"/>
      <c r="I28" s="356"/>
      <c r="J28" s="356"/>
      <c r="K28" s="373"/>
      <c r="N28" s="353"/>
    </row>
    <row r="29" spans="2:14" s="352" customFormat="1">
      <c r="B29" s="357" t="s">
        <v>142</v>
      </c>
      <c r="C29" s="357"/>
      <c r="D29" s="355"/>
      <c r="E29" s="351"/>
      <c r="F29" s="351"/>
      <c r="G29" s="351">
        <f>+'CA EFE 312021'!O488</f>
        <v>-1499000000</v>
      </c>
      <c r="H29" s="351"/>
      <c r="I29" s="351"/>
      <c r="J29" s="351">
        <v>-3500000000</v>
      </c>
      <c r="K29" s="373"/>
      <c r="N29" s="353"/>
    </row>
    <row r="30" spans="2:14" s="352" customFormat="1">
      <c r="B30" s="357" t="s">
        <v>143</v>
      </c>
      <c r="C30" s="357"/>
      <c r="D30" s="355"/>
      <c r="E30" s="351"/>
      <c r="F30" s="351"/>
      <c r="G30" s="351">
        <f>+'CA EFE 312021'!P488</f>
        <v>0</v>
      </c>
      <c r="H30" s="351"/>
      <c r="I30" s="351"/>
      <c r="J30" s="351">
        <v>0</v>
      </c>
      <c r="K30" s="373"/>
      <c r="N30" s="353"/>
    </row>
    <row r="31" spans="2:14" s="352" customFormat="1">
      <c r="B31" s="357" t="s">
        <v>144</v>
      </c>
      <c r="C31" s="357"/>
      <c r="D31" s="355"/>
      <c r="E31" s="351"/>
      <c r="F31" s="351"/>
      <c r="G31" s="351">
        <f>+'CA EFE 312021'!Q488</f>
        <v>0</v>
      </c>
      <c r="H31" s="351"/>
      <c r="I31" s="351"/>
      <c r="J31" s="351">
        <v>0</v>
      </c>
      <c r="K31" s="373"/>
      <c r="N31" s="353"/>
    </row>
    <row r="32" spans="2:14" s="352" customFormat="1">
      <c r="B32" s="350" t="s">
        <v>977</v>
      </c>
      <c r="C32" s="350"/>
      <c r="D32" s="350"/>
      <c r="E32" s="351"/>
      <c r="F32" s="351"/>
      <c r="G32" s="351">
        <f>+'CA EFE 312021'!R488</f>
        <v>-1028033354</v>
      </c>
      <c r="H32" s="351"/>
      <c r="I32" s="351"/>
      <c r="J32" s="351">
        <v>-220799252</v>
      </c>
      <c r="K32" s="373"/>
      <c r="N32" s="353"/>
    </row>
    <row r="33" spans="2:14" s="352" customFormat="1">
      <c r="B33" s="985" t="s">
        <v>145</v>
      </c>
      <c r="C33" s="985"/>
      <c r="D33" s="985"/>
      <c r="E33" s="351"/>
      <c r="F33" s="351"/>
      <c r="G33" s="351">
        <f>+'CA EFE 312021'!S488</f>
        <v>-6188054057</v>
      </c>
      <c r="H33" s="351"/>
      <c r="I33" s="351"/>
      <c r="J33" s="351">
        <v>-3911034293</v>
      </c>
      <c r="K33" s="373"/>
      <c r="N33" s="353"/>
    </row>
    <row r="34" spans="2:14" s="352" customFormat="1">
      <c r="B34" s="350" t="s">
        <v>146</v>
      </c>
      <c r="C34" s="350"/>
      <c r="D34" s="350"/>
      <c r="E34" s="351"/>
      <c r="F34" s="351"/>
      <c r="G34" s="351">
        <f>+'CA EFE 312021'!T488</f>
        <v>34634230</v>
      </c>
      <c r="H34" s="351"/>
      <c r="I34" s="351"/>
      <c r="J34" s="351">
        <v>610603004</v>
      </c>
      <c r="K34" s="353"/>
      <c r="N34" s="353"/>
    </row>
    <row r="35" spans="2:14" s="352" customFormat="1" ht="15.6" customHeight="1">
      <c r="B35" s="350" t="s">
        <v>65</v>
      </c>
      <c r="C35" s="350"/>
      <c r="D35" s="350"/>
      <c r="E35" s="351"/>
      <c r="F35" s="351"/>
      <c r="G35" s="351">
        <v>0</v>
      </c>
      <c r="H35" s="351"/>
      <c r="I35" s="351"/>
      <c r="J35" s="351">
        <v>0</v>
      </c>
      <c r="K35" s="353"/>
      <c r="N35" s="353"/>
    </row>
    <row r="36" spans="2:14" s="352" customFormat="1">
      <c r="B36" s="350" t="s">
        <v>147</v>
      </c>
      <c r="C36" s="350"/>
      <c r="D36" s="350"/>
      <c r="E36" s="351"/>
      <c r="F36" s="351"/>
      <c r="G36" s="351">
        <f>+'CA EFE 312021'!U488</f>
        <v>1369315</v>
      </c>
      <c r="H36" s="351"/>
      <c r="I36" s="351"/>
      <c r="J36" s="351">
        <v>0</v>
      </c>
      <c r="K36" s="353"/>
      <c r="N36" s="353"/>
    </row>
    <row r="37" spans="2:14" s="352" customFormat="1">
      <c r="B37" s="358" t="s">
        <v>148</v>
      </c>
      <c r="C37" s="355"/>
      <c r="D37" s="355"/>
      <c r="E37" s="354"/>
      <c r="F37" s="354"/>
      <c r="G37" s="354">
        <f>SUM(G29:G36)</f>
        <v>-8679083866</v>
      </c>
      <c r="H37" s="354"/>
      <c r="I37" s="354"/>
      <c r="J37" s="354">
        <f>+SUM(J29:J36)</f>
        <v>-7021230541</v>
      </c>
      <c r="K37" s="353"/>
      <c r="N37" s="353"/>
    </row>
    <row r="38" spans="2:14" s="352" customFormat="1" ht="7.5" customHeight="1">
      <c r="B38" s="355"/>
      <c r="C38" s="355"/>
      <c r="D38" s="355"/>
      <c r="E38" s="351"/>
      <c r="F38" s="351"/>
      <c r="G38" s="351"/>
      <c r="H38" s="351"/>
      <c r="I38" s="351"/>
      <c r="J38" s="351"/>
      <c r="K38" s="353"/>
      <c r="N38" s="353"/>
    </row>
    <row r="39" spans="2:14" s="352" customFormat="1" ht="31.5" customHeight="1">
      <c r="B39" s="983" t="s">
        <v>66</v>
      </c>
      <c r="C39" s="983"/>
      <c r="D39" s="983"/>
      <c r="E39" s="351"/>
      <c r="F39" s="351"/>
      <c r="G39" s="351"/>
      <c r="H39" s="351"/>
      <c r="I39" s="351"/>
      <c r="J39" s="351"/>
      <c r="K39" s="353"/>
      <c r="N39" s="353"/>
    </row>
    <row r="40" spans="2:14" s="352" customFormat="1">
      <c r="B40" s="350" t="s">
        <v>149</v>
      </c>
      <c r="C40" s="350"/>
      <c r="D40" s="350"/>
      <c r="E40" s="351"/>
      <c r="F40" s="351"/>
      <c r="G40" s="351">
        <f>+'CA EFE 312021'!V488</f>
        <v>15000000000</v>
      </c>
      <c r="H40" s="351"/>
      <c r="I40" s="351"/>
      <c r="J40" s="351">
        <v>5000000000</v>
      </c>
      <c r="K40" s="353"/>
      <c r="N40" s="353"/>
    </row>
    <row r="41" spans="2:14" s="352" customFormat="1">
      <c r="B41" s="350" t="s">
        <v>67</v>
      </c>
      <c r="C41" s="350"/>
      <c r="D41" s="350"/>
      <c r="E41" s="351"/>
      <c r="F41" s="351"/>
      <c r="G41" s="351">
        <f>+'CA EFE 312021'!W488</f>
        <v>804962553</v>
      </c>
      <c r="H41" s="351"/>
      <c r="I41" s="351"/>
      <c r="J41" s="351">
        <v>-3585339714</v>
      </c>
      <c r="K41" s="353"/>
      <c r="N41" s="353"/>
    </row>
    <row r="42" spans="2:14" s="352" customFormat="1">
      <c r="B42" s="350" t="s">
        <v>150</v>
      </c>
      <c r="C42" s="350"/>
      <c r="D42" s="350"/>
      <c r="E42" s="351"/>
      <c r="F42" s="351"/>
      <c r="G42" s="351">
        <f>+'CA EFE 312021'!X488</f>
        <v>0</v>
      </c>
      <c r="H42" s="351"/>
      <c r="I42" s="351"/>
      <c r="J42" s="351">
        <v>0</v>
      </c>
      <c r="K42" s="374"/>
      <c r="N42" s="353"/>
    </row>
    <row r="43" spans="2:14" s="352" customFormat="1">
      <c r="B43" s="350" t="s">
        <v>78</v>
      </c>
      <c r="C43" s="350"/>
      <c r="D43" s="350"/>
      <c r="E43" s="351"/>
      <c r="F43" s="351"/>
      <c r="G43" s="351">
        <f>+'CA EFE 312021'!Y488</f>
        <v>-277598004</v>
      </c>
      <c r="H43" s="351"/>
      <c r="I43" s="351"/>
      <c r="J43" s="351">
        <v>-196772299</v>
      </c>
      <c r="K43" s="375"/>
      <c r="N43" s="353"/>
    </row>
    <row r="44" spans="2:14" s="352" customFormat="1">
      <c r="B44" s="355" t="s">
        <v>68</v>
      </c>
      <c r="C44" s="355"/>
      <c r="D44" s="355"/>
      <c r="E44" s="354"/>
      <c r="F44" s="354"/>
      <c r="G44" s="354">
        <f>SUM(G40:G43)</f>
        <v>15527364549</v>
      </c>
      <c r="H44" s="354"/>
      <c r="I44" s="354"/>
      <c r="J44" s="354">
        <f>SUM(J40:J43)</f>
        <v>1217887987</v>
      </c>
      <c r="K44" s="375"/>
      <c r="L44" s="359"/>
      <c r="M44" s="359"/>
      <c r="N44" s="360"/>
    </row>
    <row r="45" spans="2:14" s="352" customFormat="1" ht="9.6" customHeight="1">
      <c r="B45" s="355"/>
      <c r="C45" s="355"/>
      <c r="D45" s="355"/>
      <c r="E45" s="354"/>
      <c r="F45" s="354"/>
      <c r="G45" s="354"/>
      <c r="H45" s="354"/>
      <c r="I45" s="354"/>
      <c r="J45" s="356"/>
      <c r="K45" s="375"/>
      <c r="L45" s="359"/>
      <c r="M45" s="359"/>
      <c r="N45" s="360"/>
    </row>
    <row r="46" spans="2:14" s="352" customFormat="1">
      <c r="B46" s="350" t="s">
        <v>356</v>
      </c>
      <c r="C46" s="350"/>
      <c r="D46" s="350"/>
      <c r="E46" s="351"/>
      <c r="F46" s="351"/>
      <c r="G46" s="351">
        <f>+'CA EFE 312021'!Z488</f>
        <v>-30742990</v>
      </c>
      <c r="H46" s="351"/>
      <c r="I46" s="351"/>
      <c r="J46" s="351">
        <f>51063577+2</f>
        <v>51063579</v>
      </c>
      <c r="K46" s="375"/>
      <c r="N46" s="353"/>
    </row>
    <row r="47" spans="2:14" s="352" customFormat="1" ht="9" customHeight="1">
      <c r="B47" s="350"/>
      <c r="C47" s="350"/>
      <c r="D47" s="350"/>
      <c r="E47" s="351"/>
      <c r="F47" s="351"/>
      <c r="G47" s="351"/>
      <c r="H47" s="351"/>
      <c r="I47" s="351"/>
      <c r="J47" s="351"/>
      <c r="K47" s="375"/>
      <c r="N47" s="353"/>
    </row>
    <row r="48" spans="2:14" s="352" customFormat="1">
      <c r="B48" s="982" t="s">
        <v>69</v>
      </c>
      <c r="C48" s="982"/>
      <c r="D48" s="982"/>
      <c r="E48" s="354"/>
      <c r="F48" s="354"/>
      <c r="G48" s="354">
        <f>+G26+G37+G44+G46</f>
        <v>2226805106</v>
      </c>
      <c r="H48" s="354"/>
      <c r="I48" s="354"/>
      <c r="J48" s="354">
        <f>+J26+J37+J44+J46</f>
        <v>-4475630652</v>
      </c>
      <c r="K48" s="353"/>
      <c r="L48" s="359"/>
      <c r="M48" s="359"/>
      <c r="N48" s="360"/>
    </row>
    <row r="49" spans="2:14" s="352" customFormat="1">
      <c r="B49" s="355" t="s">
        <v>70</v>
      </c>
      <c r="C49" s="355"/>
      <c r="D49" s="355"/>
      <c r="E49" s="351"/>
      <c r="F49" s="351"/>
      <c r="G49" s="351">
        <f>+BG!F18</f>
        <v>662968891</v>
      </c>
      <c r="H49" s="351"/>
      <c r="I49" s="351"/>
      <c r="J49" s="351">
        <v>5138599543</v>
      </c>
      <c r="K49" s="353"/>
      <c r="L49" s="359"/>
      <c r="M49" s="359"/>
      <c r="N49" s="360"/>
    </row>
    <row r="50" spans="2:14" s="352" customFormat="1">
      <c r="B50" s="355" t="s">
        <v>722</v>
      </c>
      <c r="C50" s="355"/>
      <c r="D50" s="355"/>
      <c r="E50" s="354"/>
      <c r="F50" s="354"/>
      <c r="G50" s="354">
        <f>+G48+G49</f>
        <v>2889773997</v>
      </c>
      <c r="H50" s="354"/>
      <c r="I50" s="354"/>
      <c r="J50" s="354">
        <f>+J48+J49</f>
        <v>662968891</v>
      </c>
      <c r="K50" s="353"/>
      <c r="L50" s="924">
        <f>+BG!D18-G50</f>
        <v>0</v>
      </c>
      <c r="M50" s="925">
        <f>+J50-BG!F18</f>
        <v>0</v>
      </c>
      <c r="N50" s="360"/>
    </row>
    <row r="51" spans="2:14" s="352" customFormat="1">
      <c r="B51" s="355"/>
      <c r="C51" s="355"/>
      <c r="D51" s="355"/>
      <c r="E51" s="361"/>
      <c r="F51" s="361"/>
      <c r="G51" s="361"/>
      <c r="H51" s="361"/>
      <c r="I51" s="361"/>
      <c r="J51" s="361"/>
      <c r="K51" s="353"/>
      <c r="L51" s="362"/>
      <c r="N51" s="360"/>
    </row>
    <row r="52" spans="2:14" s="352" customFormat="1">
      <c r="B52" s="363"/>
      <c r="J52" s="362"/>
      <c r="K52" s="353"/>
      <c r="L52" s="360"/>
    </row>
    <row r="53" spans="2:14" s="352" customFormat="1" ht="9" customHeight="1">
      <c r="B53" s="363"/>
      <c r="J53" s="362"/>
      <c r="K53" s="353"/>
      <c r="L53" s="360"/>
    </row>
    <row r="54" spans="2:14" s="352" customFormat="1">
      <c r="B54" s="984" t="s">
        <v>666</v>
      </c>
      <c r="C54" s="984"/>
      <c r="D54" s="984"/>
      <c r="E54" s="984"/>
      <c r="F54" s="984"/>
      <c r="G54" s="984"/>
      <c r="J54" s="364"/>
      <c r="K54" s="376"/>
      <c r="L54" s="360"/>
    </row>
    <row r="55" spans="2:14" s="352" customFormat="1">
      <c r="B55" s="365"/>
      <c r="C55" s="365"/>
      <c r="D55" s="365"/>
      <c r="E55" s="365"/>
      <c r="F55" s="365"/>
      <c r="G55" s="365"/>
      <c r="J55" s="364"/>
      <c r="K55" s="376"/>
      <c r="L55" s="360"/>
    </row>
    <row r="56" spans="2:14" s="352" customFormat="1">
      <c r="B56" s="365"/>
      <c r="C56" s="365"/>
      <c r="D56" s="365"/>
      <c r="E56" s="365"/>
      <c r="F56" s="365"/>
      <c r="G56" s="365"/>
      <c r="J56" s="364"/>
      <c r="K56" s="376"/>
      <c r="L56" s="360"/>
    </row>
    <row r="57" spans="2:14">
      <c r="E57" s="276"/>
      <c r="F57" s="367"/>
      <c r="G57" s="276"/>
      <c r="J57" s="368"/>
      <c r="K57" s="369"/>
      <c r="L57" s="369"/>
    </row>
    <row r="58" spans="2:14">
      <c r="E58" s="370"/>
      <c r="F58" s="371"/>
      <c r="G58" s="276"/>
      <c r="H58" s="346"/>
      <c r="J58" s="352"/>
    </row>
    <row r="59" spans="2:14">
      <c r="E59" s="276"/>
      <c r="F59" s="367"/>
      <c r="G59" s="276"/>
      <c r="H59" s="346"/>
      <c r="J59" s="352"/>
    </row>
    <row r="60" spans="2:14" s="338" customFormat="1" ht="16.8">
      <c r="B60" s="836" t="s">
        <v>1688</v>
      </c>
      <c r="C60" s="837" t="s">
        <v>337</v>
      </c>
      <c r="D60" s="837"/>
      <c r="E60" s="837" t="s">
        <v>1689</v>
      </c>
      <c r="F60" s="666"/>
      <c r="H60" s="838" t="s">
        <v>593</v>
      </c>
      <c r="J60" s="322"/>
      <c r="K60" s="274"/>
      <c r="L60" s="274"/>
    </row>
    <row r="61" spans="2:14" s="338" customFormat="1" ht="16.8">
      <c r="B61" s="696" t="s">
        <v>110</v>
      </c>
      <c r="C61" s="839" t="s">
        <v>336</v>
      </c>
      <c r="D61" s="839"/>
      <c r="E61" s="839" t="s">
        <v>55</v>
      </c>
      <c r="F61" s="840"/>
      <c r="H61" s="839" t="s">
        <v>335</v>
      </c>
      <c r="J61" s="322"/>
      <c r="K61" s="274"/>
      <c r="L61" s="274"/>
    </row>
    <row r="62" spans="2:14">
      <c r="B62" s="366"/>
    </row>
    <row r="69" spans="2:2">
      <c r="B69" s="928" t="s">
        <v>1742</v>
      </c>
    </row>
    <row r="70" spans="2:2">
      <c r="B70" s="929" t="s">
        <v>1743</v>
      </c>
    </row>
    <row r="71" spans="2:2">
      <c r="B71" s="930" t="s">
        <v>1744</v>
      </c>
    </row>
  </sheetData>
  <customSheetViews>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1"/>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2"/>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3"/>
    </customSheetView>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5">
    <mergeCell ref="B13:H13"/>
    <mergeCell ref="B11:H11"/>
    <mergeCell ref="B48:D48"/>
    <mergeCell ref="B16:D16"/>
    <mergeCell ref="B54:G54"/>
    <mergeCell ref="B19:D19"/>
    <mergeCell ref="B24:D24"/>
    <mergeCell ref="B33:D33"/>
    <mergeCell ref="B39:D39"/>
    <mergeCell ref="B28:D28"/>
    <mergeCell ref="B3:K3"/>
    <mergeCell ref="B4:K4"/>
    <mergeCell ref="B5:K5"/>
    <mergeCell ref="B6:K6"/>
    <mergeCell ref="B10:H10"/>
  </mergeCells>
  <hyperlinks>
    <hyperlink ref="J9" location="INDICE!A1" display="Índice" xr:uid="{2923E5CC-2033-4C69-824A-361139E57F5F}"/>
  </hyperlinks>
  <pageMargins left="0.7" right="0.7" top="0.75" bottom="0.75" header="0.3" footer="0.3"/>
  <pageSetup paperSize="9" scale="30" fitToHeight="0"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T333"/>
  <sheetViews>
    <sheetView showGridLines="0" topLeftCell="A100" zoomScale="80" zoomScaleNormal="80" zoomScaleSheetLayoutView="90" workbookViewId="0">
      <selection activeCell="B115" sqref="B115"/>
    </sheetView>
  </sheetViews>
  <sheetFormatPr baseColWidth="10" defaultColWidth="11.44140625" defaultRowHeight="18"/>
  <cols>
    <col min="1" max="1" width="3.5546875" style="367" customWidth="1"/>
    <col min="2" max="3" width="11.44140625" style="276"/>
    <col min="4" max="4" width="13.5546875" style="276" bestFit="1" customWidth="1"/>
    <col min="5" max="5" width="15" style="276" customWidth="1"/>
    <col min="6" max="6" width="19.6640625" style="276" customWidth="1"/>
    <col min="7" max="7" width="18" style="276" customWidth="1"/>
    <col min="8" max="8" width="13.109375" style="276" customWidth="1"/>
    <col min="9" max="10" width="11.44140625" style="276"/>
    <col min="11" max="11" width="12.5546875" style="276" customWidth="1"/>
    <col min="12" max="12" width="4.44140625" style="276" customWidth="1"/>
    <col min="13" max="15" width="11.44140625" style="276"/>
    <col min="16" max="16" width="29.5546875" style="378" customWidth="1"/>
    <col min="17" max="16384" width="11.44140625" style="276"/>
  </cols>
  <sheetData>
    <row r="1" spans="1:20" s="244" customFormat="1" ht="10.199999999999999" customHeight="1">
      <c r="B1" s="275"/>
      <c r="C1" s="275"/>
      <c r="D1" s="275"/>
      <c r="E1" s="275"/>
      <c r="F1" s="275"/>
      <c r="G1" s="275"/>
      <c r="H1" s="275"/>
      <c r="I1" s="275"/>
      <c r="J1" s="275"/>
      <c r="K1" s="275"/>
      <c r="L1" s="275"/>
    </row>
    <row r="2" spans="1:20" s="244" customFormat="1">
      <c r="B2" s="841"/>
      <c r="C2" s="841"/>
      <c r="D2" s="841"/>
      <c r="E2" s="841"/>
      <c r="F2" s="841"/>
      <c r="G2" s="841"/>
      <c r="H2" s="841"/>
      <c r="I2" s="841"/>
      <c r="J2" s="841"/>
      <c r="K2" s="841"/>
      <c r="L2" s="841"/>
      <c r="M2" s="841"/>
      <c r="N2" s="841"/>
      <c r="O2" s="841"/>
      <c r="P2" s="841"/>
      <c r="Q2" s="841"/>
      <c r="R2" s="841"/>
      <c r="S2" s="841"/>
      <c r="T2" s="841"/>
    </row>
    <row r="3" spans="1:20" s="244" customFormat="1">
      <c r="B3" s="991"/>
      <c r="C3" s="991"/>
      <c r="D3" s="991"/>
      <c r="E3" s="991"/>
      <c r="F3" s="991"/>
      <c r="G3" s="991"/>
      <c r="H3" s="991"/>
      <c r="I3" s="991"/>
      <c r="J3" s="991"/>
      <c r="K3" s="991"/>
      <c r="L3" s="991"/>
      <c r="M3" s="991"/>
      <c r="N3" s="991"/>
      <c r="O3" s="991"/>
      <c r="P3" s="991"/>
      <c r="Q3" s="991"/>
      <c r="R3" s="991"/>
      <c r="S3" s="991"/>
      <c r="T3" s="991"/>
    </row>
    <row r="4" spans="1:20" s="244" customFormat="1">
      <c r="B4" s="991"/>
      <c r="C4" s="991"/>
      <c r="D4" s="991"/>
      <c r="E4" s="991"/>
      <c r="F4" s="991"/>
      <c r="G4" s="991"/>
      <c r="H4" s="991"/>
      <c r="I4" s="991"/>
      <c r="J4" s="991"/>
      <c r="K4" s="991"/>
      <c r="L4" s="991"/>
      <c r="M4" s="991"/>
    </row>
    <row r="5" spans="1:20" s="244" customFormat="1">
      <c r="B5" s="991"/>
      <c r="C5" s="991"/>
      <c r="D5" s="991"/>
      <c r="E5" s="991"/>
      <c r="F5" s="991"/>
      <c r="G5" s="991"/>
      <c r="H5" s="991"/>
      <c r="I5" s="991"/>
      <c r="J5" s="991"/>
      <c r="K5" s="991"/>
      <c r="L5" s="991"/>
      <c r="M5" s="991"/>
    </row>
    <row r="6" spans="1:20" s="244" customFormat="1">
      <c r="B6" s="991"/>
      <c r="C6" s="991"/>
      <c r="D6" s="991"/>
      <c r="E6" s="991"/>
      <c r="F6" s="991"/>
      <c r="G6" s="991"/>
      <c r="H6" s="991"/>
      <c r="I6" s="991"/>
      <c r="J6" s="991"/>
      <c r="K6" s="991"/>
      <c r="L6" s="991"/>
      <c r="M6" s="991"/>
    </row>
    <row r="7" spans="1:20" s="244" customFormat="1" ht="20.399999999999999" customHeight="1">
      <c r="B7" s="183"/>
      <c r="C7" s="183"/>
      <c r="D7" s="183"/>
      <c r="E7" s="183"/>
      <c r="F7" s="183"/>
      <c r="G7" s="183"/>
      <c r="H7" s="183"/>
      <c r="I7" s="183"/>
      <c r="J7" s="183"/>
      <c r="K7" s="183"/>
      <c r="L7" s="183"/>
      <c r="M7" s="183"/>
      <c r="N7" s="183"/>
      <c r="O7" s="183"/>
      <c r="P7" s="183"/>
      <c r="Q7" s="183"/>
      <c r="R7" s="183"/>
      <c r="S7" s="183"/>
      <c r="T7" s="183"/>
    </row>
    <row r="9" spans="1:20">
      <c r="M9" s="273" t="s">
        <v>1300</v>
      </c>
    </row>
    <row r="10" spans="1:20">
      <c r="B10" s="993" t="s">
        <v>586</v>
      </c>
      <c r="C10" s="993"/>
      <c r="D10" s="993"/>
      <c r="E10" s="993"/>
      <c r="F10" s="993"/>
      <c r="G10" s="993"/>
      <c r="H10" s="993"/>
      <c r="I10" s="993"/>
      <c r="J10" s="993"/>
      <c r="K10" s="993"/>
      <c r="L10" s="993"/>
      <c r="M10" s="993"/>
    </row>
    <row r="11" spans="1:20">
      <c r="B11" s="993" t="s">
        <v>1452</v>
      </c>
      <c r="C11" s="993"/>
      <c r="D11" s="993"/>
      <c r="E11" s="993"/>
      <c r="F11" s="993"/>
      <c r="G11" s="993"/>
      <c r="H11" s="993"/>
      <c r="I11" s="993"/>
      <c r="J11" s="993"/>
      <c r="K11" s="993"/>
      <c r="L11" s="993"/>
      <c r="M11" s="993"/>
    </row>
    <row r="12" spans="1:20">
      <c r="B12" s="994" t="s">
        <v>591</v>
      </c>
      <c r="C12" s="994"/>
      <c r="D12" s="994"/>
      <c r="E12" s="994"/>
      <c r="F12" s="994"/>
      <c r="G12" s="994"/>
      <c r="H12" s="994"/>
      <c r="I12" s="994"/>
      <c r="J12" s="994"/>
      <c r="K12" s="994"/>
      <c r="L12" s="994"/>
      <c r="M12" s="994"/>
    </row>
    <row r="13" spans="1:20">
      <c r="B13" s="367"/>
      <c r="C13" s="367"/>
      <c r="D13" s="367"/>
      <c r="E13" s="367"/>
      <c r="F13" s="367"/>
      <c r="G13" s="367"/>
      <c r="H13" s="367"/>
      <c r="I13" s="367"/>
      <c r="J13" s="367"/>
      <c r="K13" s="367"/>
      <c r="L13" s="367"/>
    </row>
    <row r="14" spans="1:20">
      <c r="B14" s="382" t="s">
        <v>604</v>
      </c>
      <c r="C14" s="383"/>
      <c r="D14" s="383"/>
      <c r="E14" s="383"/>
      <c r="F14" s="383"/>
      <c r="G14" s="383"/>
      <c r="H14" s="383"/>
      <c r="I14" s="383"/>
      <c r="J14" s="383"/>
      <c r="K14" s="383"/>
      <c r="L14" s="383"/>
      <c r="M14" s="338"/>
      <c r="N14" s="338"/>
      <c r="O14" s="338"/>
    </row>
    <row r="15" spans="1:20" s="380" customFormat="1" ht="59.4" customHeight="1">
      <c r="A15" s="379"/>
      <c r="B15" s="986" t="s">
        <v>1711</v>
      </c>
      <c r="C15" s="986"/>
      <c r="D15" s="986"/>
      <c r="E15" s="986"/>
      <c r="F15" s="986"/>
      <c r="G15" s="986"/>
      <c r="H15" s="986"/>
      <c r="I15" s="986"/>
      <c r="J15" s="986"/>
      <c r="K15" s="986"/>
      <c r="L15" s="986"/>
      <c r="M15" s="986"/>
      <c r="N15" s="384"/>
      <c r="O15" s="384"/>
      <c r="P15" s="381"/>
    </row>
    <row r="16" spans="1:20" s="380" customFormat="1" ht="43.2" customHeight="1">
      <c r="A16" s="379"/>
      <c r="B16" s="986" t="s">
        <v>1259</v>
      </c>
      <c r="C16" s="986"/>
      <c r="D16" s="986"/>
      <c r="E16" s="986"/>
      <c r="F16" s="986"/>
      <c r="G16" s="986"/>
      <c r="H16" s="986"/>
      <c r="I16" s="986"/>
      <c r="J16" s="986"/>
      <c r="K16" s="986"/>
      <c r="L16" s="986"/>
      <c r="M16" s="986"/>
      <c r="N16" s="384"/>
      <c r="O16" s="384"/>
      <c r="P16" s="381"/>
    </row>
    <row r="17" spans="1:16">
      <c r="B17" s="385"/>
      <c r="C17" s="385"/>
      <c r="D17" s="385"/>
      <c r="E17" s="385"/>
      <c r="F17" s="385"/>
      <c r="G17" s="385"/>
      <c r="H17" s="385"/>
      <c r="I17" s="385"/>
      <c r="J17" s="385"/>
      <c r="K17" s="385"/>
      <c r="L17" s="383"/>
      <c r="M17" s="338"/>
      <c r="N17" s="338"/>
      <c r="O17" s="338"/>
    </row>
    <row r="18" spans="1:16">
      <c r="B18" s="382" t="s">
        <v>605</v>
      </c>
      <c r="C18" s="383"/>
      <c r="D18" s="383"/>
      <c r="E18" s="383"/>
      <c r="F18" s="383"/>
      <c r="G18" s="383"/>
      <c r="H18" s="383"/>
      <c r="I18" s="383"/>
      <c r="J18" s="383"/>
      <c r="K18" s="383"/>
      <c r="L18" s="383"/>
      <c r="M18" s="338"/>
      <c r="N18" s="338"/>
      <c r="O18" s="338"/>
    </row>
    <row r="19" spans="1:16">
      <c r="B19" s="383"/>
      <c r="C19" s="383"/>
      <c r="D19" s="383"/>
      <c r="E19" s="383"/>
      <c r="F19" s="383"/>
      <c r="G19" s="383"/>
      <c r="H19" s="383"/>
      <c r="I19" s="383"/>
      <c r="J19" s="383"/>
      <c r="K19" s="383"/>
      <c r="L19" s="383"/>
      <c r="M19" s="338"/>
      <c r="N19" s="338"/>
      <c r="O19" s="338"/>
    </row>
    <row r="20" spans="1:16">
      <c r="B20" s="382" t="s">
        <v>354</v>
      </c>
      <c r="C20" s="383"/>
      <c r="D20" s="383"/>
      <c r="E20" s="383"/>
      <c r="F20" s="383"/>
      <c r="G20" s="383"/>
      <c r="H20" s="383"/>
      <c r="I20" s="383"/>
      <c r="J20" s="383"/>
      <c r="K20" s="383"/>
      <c r="L20" s="383"/>
      <c r="M20" s="338"/>
      <c r="N20" s="338"/>
      <c r="O20" s="338"/>
    </row>
    <row r="21" spans="1:16">
      <c r="B21" s="383"/>
      <c r="C21" s="383"/>
      <c r="D21" s="383"/>
      <c r="E21" s="383"/>
      <c r="F21" s="383"/>
      <c r="G21" s="383"/>
      <c r="H21" s="383"/>
      <c r="I21" s="383"/>
      <c r="J21" s="383"/>
      <c r="K21" s="383"/>
      <c r="L21" s="383"/>
      <c r="M21" s="338"/>
      <c r="N21" s="338"/>
      <c r="O21" s="338"/>
    </row>
    <row r="22" spans="1:16" s="380" customFormat="1" ht="75" customHeight="1">
      <c r="A22" s="379"/>
      <c r="B22" s="986" t="s">
        <v>398</v>
      </c>
      <c r="C22" s="986"/>
      <c r="D22" s="986"/>
      <c r="E22" s="986"/>
      <c r="F22" s="986"/>
      <c r="G22" s="986"/>
      <c r="H22" s="986"/>
      <c r="I22" s="986"/>
      <c r="J22" s="986"/>
      <c r="K22" s="986"/>
      <c r="L22" s="986"/>
      <c r="M22" s="986"/>
      <c r="N22" s="384"/>
      <c r="O22" s="384"/>
      <c r="P22" s="381"/>
    </row>
    <row r="23" spans="1:16" s="380" customFormat="1" ht="53.4" customHeight="1">
      <c r="A23" s="379"/>
      <c r="B23" s="986" t="s">
        <v>399</v>
      </c>
      <c r="C23" s="986"/>
      <c r="D23" s="986"/>
      <c r="E23" s="986"/>
      <c r="F23" s="986"/>
      <c r="G23" s="986"/>
      <c r="H23" s="986"/>
      <c r="I23" s="986"/>
      <c r="J23" s="986"/>
      <c r="K23" s="986"/>
      <c r="L23" s="986"/>
      <c r="M23" s="986"/>
      <c r="N23" s="384"/>
      <c r="O23" s="384"/>
      <c r="P23" s="381"/>
    </row>
    <row r="24" spans="1:16" ht="11.4" customHeight="1">
      <c r="B24" s="383"/>
      <c r="C24" s="383"/>
      <c r="D24" s="383"/>
      <c r="E24" s="383"/>
      <c r="F24" s="383"/>
      <c r="G24" s="383"/>
      <c r="H24" s="383"/>
      <c r="I24" s="383"/>
      <c r="J24" s="383"/>
      <c r="K24" s="383"/>
      <c r="L24" s="383"/>
      <c r="M24" s="338"/>
      <c r="N24" s="338"/>
      <c r="O24" s="338"/>
    </row>
    <row r="25" spans="1:16">
      <c r="B25" s="383" t="s">
        <v>400</v>
      </c>
      <c r="C25" s="383"/>
      <c r="D25" s="383"/>
      <c r="E25" s="383"/>
      <c r="F25" s="383"/>
      <c r="G25" s="383"/>
      <c r="H25" s="383"/>
      <c r="I25" s="383"/>
      <c r="J25" s="383"/>
      <c r="K25" s="383"/>
      <c r="L25" s="383"/>
      <c r="M25" s="338"/>
      <c r="N25" s="338"/>
      <c r="O25" s="338"/>
    </row>
    <row r="26" spans="1:16">
      <c r="B26" s="383" t="s">
        <v>262</v>
      </c>
      <c r="C26" s="383"/>
      <c r="D26" s="383"/>
      <c r="E26" s="383"/>
      <c r="F26" s="383"/>
      <c r="G26" s="383"/>
      <c r="H26" s="383"/>
      <c r="I26" s="383"/>
      <c r="J26" s="383"/>
      <c r="K26" s="383"/>
      <c r="L26" s="383"/>
      <c r="M26" s="338"/>
      <c r="N26" s="338"/>
      <c r="O26" s="338"/>
    </row>
    <row r="27" spans="1:16">
      <c r="B27" s="992" t="s">
        <v>401</v>
      </c>
      <c r="C27" s="992"/>
      <c r="D27" s="992"/>
      <c r="E27" s="992"/>
      <c r="F27" s="992"/>
      <c r="G27" s="992"/>
      <c r="H27" s="992"/>
      <c r="I27" s="992"/>
      <c r="J27" s="992"/>
      <c r="K27" s="992"/>
      <c r="L27" s="383"/>
      <c r="M27" s="338"/>
      <c r="N27" s="338"/>
      <c r="O27" s="338"/>
    </row>
    <row r="28" spans="1:16">
      <c r="B28" s="383" t="s">
        <v>402</v>
      </c>
      <c r="C28" s="383"/>
      <c r="D28" s="383"/>
      <c r="E28" s="383"/>
      <c r="F28" s="383"/>
      <c r="G28" s="383"/>
      <c r="H28" s="383"/>
      <c r="I28" s="383"/>
      <c r="J28" s="383"/>
      <c r="K28" s="383"/>
      <c r="L28" s="383"/>
      <c r="M28" s="338"/>
      <c r="N28" s="338"/>
      <c r="O28" s="338"/>
    </row>
    <row r="29" spans="1:16">
      <c r="B29" s="383" t="s">
        <v>403</v>
      </c>
      <c r="C29" s="383"/>
      <c r="D29" s="383"/>
      <c r="E29" s="383"/>
      <c r="F29" s="383"/>
      <c r="G29" s="383"/>
      <c r="H29" s="383"/>
      <c r="I29" s="383"/>
      <c r="J29" s="383"/>
      <c r="K29" s="383"/>
      <c r="L29" s="383"/>
      <c r="M29" s="338"/>
      <c r="N29" s="338"/>
      <c r="O29" s="338"/>
    </row>
    <row r="30" spans="1:16">
      <c r="B30" s="383" t="s">
        <v>263</v>
      </c>
      <c r="C30" s="383"/>
      <c r="D30" s="383"/>
      <c r="E30" s="383"/>
      <c r="F30" s="383"/>
      <c r="G30" s="383"/>
      <c r="H30" s="383"/>
      <c r="I30" s="383"/>
      <c r="J30" s="383"/>
      <c r="K30" s="383"/>
      <c r="L30" s="383"/>
      <c r="M30" s="338"/>
      <c r="N30" s="338"/>
      <c r="O30" s="338"/>
    </row>
    <row r="31" spans="1:16">
      <c r="B31" s="383" t="s">
        <v>404</v>
      </c>
      <c r="C31" s="383"/>
      <c r="D31" s="383"/>
      <c r="E31" s="383"/>
      <c r="F31" s="383"/>
      <c r="G31" s="383"/>
      <c r="H31" s="383"/>
      <c r="I31" s="383"/>
      <c r="J31" s="383"/>
      <c r="K31" s="383"/>
      <c r="L31" s="383"/>
      <c r="M31" s="338"/>
      <c r="N31" s="338"/>
      <c r="O31" s="338"/>
    </row>
    <row r="32" spans="1:16" s="380" customFormat="1" ht="40.799999999999997" customHeight="1">
      <c r="A32" s="379"/>
      <c r="B32" s="986" t="s">
        <v>405</v>
      </c>
      <c r="C32" s="986"/>
      <c r="D32" s="986"/>
      <c r="E32" s="986"/>
      <c r="F32" s="986"/>
      <c r="G32" s="986"/>
      <c r="H32" s="986"/>
      <c r="I32" s="986"/>
      <c r="J32" s="986"/>
      <c r="K32" s="986"/>
      <c r="L32" s="986"/>
      <c r="M32" s="986"/>
      <c r="N32" s="384"/>
      <c r="O32" s="384"/>
      <c r="P32" s="381"/>
    </row>
    <row r="33" spans="1:16" s="380" customFormat="1" ht="37.799999999999997" customHeight="1">
      <c r="A33" s="379"/>
      <c r="B33" s="986" t="s">
        <v>406</v>
      </c>
      <c r="C33" s="986"/>
      <c r="D33" s="986"/>
      <c r="E33" s="986"/>
      <c r="F33" s="986"/>
      <c r="G33" s="986"/>
      <c r="H33" s="986"/>
      <c r="I33" s="986"/>
      <c r="J33" s="986"/>
      <c r="K33" s="986"/>
      <c r="L33" s="986"/>
      <c r="M33" s="986"/>
      <c r="N33" s="384"/>
      <c r="O33" s="384"/>
      <c r="P33" s="381"/>
    </row>
    <row r="34" spans="1:16">
      <c r="B34" s="383" t="s">
        <v>407</v>
      </c>
      <c r="C34" s="383"/>
      <c r="D34" s="383"/>
      <c r="E34" s="383"/>
      <c r="F34" s="383"/>
      <c r="G34" s="383"/>
      <c r="H34" s="383"/>
      <c r="I34" s="383"/>
      <c r="J34" s="383"/>
      <c r="K34" s="383"/>
      <c r="L34" s="383"/>
      <c r="M34" s="338"/>
      <c r="N34" s="338"/>
      <c r="O34" s="338"/>
    </row>
    <row r="35" spans="1:16" s="380" customFormat="1" ht="58.8" customHeight="1">
      <c r="A35" s="379"/>
      <c r="B35" s="986" t="s">
        <v>408</v>
      </c>
      <c r="C35" s="986"/>
      <c r="D35" s="986"/>
      <c r="E35" s="986"/>
      <c r="F35" s="986"/>
      <c r="G35" s="986"/>
      <c r="H35" s="986"/>
      <c r="I35" s="986"/>
      <c r="J35" s="986"/>
      <c r="K35" s="986"/>
      <c r="L35" s="986"/>
      <c r="M35" s="986"/>
      <c r="N35" s="384"/>
      <c r="O35" s="384"/>
      <c r="P35" s="381"/>
    </row>
    <row r="36" spans="1:16" ht="12.75" customHeight="1">
      <c r="B36" s="383"/>
      <c r="C36" s="383"/>
      <c r="D36" s="383"/>
      <c r="E36" s="383"/>
      <c r="F36" s="383"/>
      <c r="G36" s="383"/>
      <c r="H36" s="383"/>
      <c r="I36" s="383"/>
      <c r="J36" s="383"/>
      <c r="K36" s="383"/>
      <c r="L36" s="383"/>
      <c r="M36" s="338"/>
      <c r="N36" s="338"/>
      <c r="O36" s="338"/>
    </row>
    <row r="37" spans="1:16">
      <c r="B37" s="386" t="s">
        <v>409</v>
      </c>
      <c r="C37" s="383"/>
      <c r="D37" s="383"/>
      <c r="E37" s="383"/>
      <c r="F37" s="383"/>
      <c r="G37" s="383"/>
      <c r="H37" s="383"/>
      <c r="I37" s="383"/>
      <c r="J37" s="383"/>
      <c r="K37" s="383"/>
      <c r="L37" s="383"/>
      <c r="M37" s="338"/>
      <c r="N37" s="338"/>
      <c r="O37" s="338"/>
    </row>
    <row r="38" spans="1:16" s="380" customFormat="1" ht="53.4" customHeight="1">
      <c r="A38" s="379"/>
      <c r="B38" s="986" t="s">
        <v>1446</v>
      </c>
      <c r="C38" s="986"/>
      <c r="D38" s="986"/>
      <c r="E38" s="986"/>
      <c r="F38" s="986"/>
      <c r="G38" s="986"/>
      <c r="H38" s="986"/>
      <c r="I38" s="986"/>
      <c r="J38" s="986"/>
      <c r="K38" s="986"/>
      <c r="L38" s="986"/>
      <c r="M38" s="986"/>
      <c r="N38" s="384"/>
      <c r="O38" s="384"/>
      <c r="P38" s="381"/>
    </row>
    <row r="39" spans="1:16" s="380" customFormat="1" ht="33.6" customHeight="1">
      <c r="A39" s="379"/>
      <c r="B39" s="986" t="s">
        <v>602</v>
      </c>
      <c r="C39" s="986"/>
      <c r="D39" s="986"/>
      <c r="E39" s="986"/>
      <c r="F39" s="986"/>
      <c r="G39" s="986"/>
      <c r="H39" s="986"/>
      <c r="I39" s="986"/>
      <c r="J39" s="986"/>
      <c r="K39" s="986"/>
      <c r="L39" s="986"/>
      <c r="M39" s="986"/>
      <c r="N39" s="384"/>
      <c r="O39" s="384"/>
      <c r="P39" s="381"/>
    </row>
    <row r="40" spans="1:16" s="380" customFormat="1" ht="72.599999999999994" customHeight="1">
      <c r="A40" s="379"/>
      <c r="B40" s="988" t="s">
        <v>595</v>
      </c>
      <c r="C40" s="988"/>
      <c r="D40" s="988"/>
      <c r="E40" s="388" t="s">
        <v>596</v>
      </c>
      <c r="F40" s="388" t="s">
        <v>597</v>
      </c>
      <c r="G40" s="388" t="s">
        <v>598</v>
      </c>
      <c r="H40" s="388" t="s">
        <v>599</v>
      </c>
      <c r="I40" s="387"/>
      <c r="J40" s="387"/>
      <c r="K40" s="387"/>
      <c r="L40" s="387"/>
      <c r="M40" s="384"/>
      <c r="N40" s="384"/>
      <c r="O40" s="384"/>
      <c r="P40" s="381"/>
    </row>
    <row r="41" spans="1:16" s="380" customFormat="1" ht="36" customHeight="1">
      <c r="A41" s="379"/>
      <c r="B41" s="989" t="s">
        <v>601</v>
      </c>
      <c r="C41" s="989"/>
      <c r="D41" s="989"/>
      <c r="E41" s="389">
        <v>4999000000</v>
      </c>
      <c r="F41" s="390">
        <v>0.99980000000000002</v>
      </c>
      <c r="G41" s="390">
        <f>+E41/25000000000</f>
        <v>0.19996</v>
      </c>
      <c r="H41" s="391" t="s">
        <v>600</v>
      </c>
      <c r="I41" s="387"/>
      <c r="J41" s="387"/>
      <c r="K41" s="387"/>
      <c r="L41" s="387"/>
      <c r="M41" s="384"/>
      <c r="N41" s="384"/>
      <c r="O41" s="384"/>
      <c r="P41" s="381"/>
    </row>
    <row r="42" spans="1:16" s="380" customFormat="1">
      <c r="A42" s="379"/>
      <c r="B42" s="387"/>
      <c r="C42" s="387"/>
      <c r="D42" s="387"/>
      <c r="E42" s="387"/>
      <c r="F42" s="387"/>
      <c r="G42" s="387"/>
      <c r="H42" s="387"/>
      <c r="I42" s="387"/>
      <c r="J42" s="387"/>
      <c r="K42" s="387"/>
      <c r="L42" s="387"/>
      <c r="M42" s="384"/>
      <c r="N42" s="384"/>
      <c r="O42" s="384"/>
      <c r="P42" s="381"/>
    </row>
    <row r="43" spans="1:16" s="380" customFormat="1">
      <c r="A43" s="379"/>
      <c r="B43" s="387"/>
      <c r="C43" s="387"/>
      <c r="D43" s="387"/>
      <c r="E43" s="387"/>
      <c r="F43" s="387"/>
      <c r="G43" s="387"/>
      <c r="H43" s="387"/>
      <c r="I43" s="387"/>
      <c r="J43" s="387"/>
      <c r="K43" s="387"/>
      <c r="L43" s="387"/>
      <c r="M43" s="384"/>
      <c r="N43" s="384"/>
      <c r="O43" s="384"/>
      <c r="P43" s="381"/>
    </row>
    <row r="44" spans="1:16">
      <c r="B44" s="382" t="s">
        <v>606</v>
      </c>
      <c r="C44" s="383"/>
      <c r="D44" s="383"/>
      <c r="E44" s="383"/>
      <c r="F44" s="383"/>
      <c r="G44" s="383"/>
      <c r="H44" s="383"/>
      <c r="I44" s="383"/>
      <c r="J44" s="383"/>
      <c r="K44" s="383"/>
      <c r="L44" s="383"/>
      <c r="M44" s="338"/>
      <c r="N44" s="338"/>
      <c r="O44" s="338"/>
    </row>
    <row r="45" spans="1:16">
      <c r="B45" s="383"/>
      <c r="C45" s="383"/>
      <c r="D45" s="383"/>
      <c r="E45" s="383"/>
      <c r="F45" s="383"/>
      <c r="G45" s="383"/>
      <c r="H45" s="383"/>
      <c r="I45" s="383"/>
      <c r="J45" s="383"/>
      <c r="K45" s="383"/>
      <c r="L45" s="383"/>
      <c r="M45" s="338"/>
      <c r="N45" s="338"/>
      <c r="O45" s="338"/>
    </row>
    <row r="46" spans="1:16">
      <c r="B46" s="382" t="s">
        <v>410</v>
      </c>
      <c r="C46" s="383"/>
      <c r="D46" s="383"/>
      <c r="E46" s="383"/>
      <c r="F46" s="383"/>
      <c r="G46" s="383"/>
      <c r="H46" s="383"/>
      <c r="I46" s="383"/>
      <c r="J46" s="383"/>
      <c r="K46" s="383"/>
      <c r="L46" s="383"/>
      <c r="M46" s="338"/>
      <c r="N46" s="338"/>
      <c r="O46" s="338"/>
    </row>
    <row r="47" spans="1:16" s="380" customFormat="1" ht="53.4" customHeight="1">
      <c r="A47" s="379"/>
      <c r="B47" s="986" t="s">
        <v>660</v>
      </c>
      <c r="C47" s="986"/>
      <c r="D47" s="986"/>
      <c r="E47" s="986"/>
      <c r="F47" s="986"/>
      <c r="G47" s="986"/>
      <c r="H47" s="986"/>
      <c r="I47" s="986"/>
      <c r="J47" s="986"/>
      <c r="K47" s="986"/>
      <c r="L47" s="986"/>
      <c r="M47" s="986"/>
      <c r="N47" s="384"/>
      <c r="O47" s="384"/>
      <c r="P47" s="381"/>
    </row>
    <row r="48" spans="1:16" s="380" customFormat="1" ht="24" customHeight="1">
      <c r="A48" s="379"/>
      <c r="B48" s="987" t="s">
        <v>411</v>
      </c>
      <c r="C48" s="987"/>
      <c r="D48" s="987"/>
      <c r="E48" s="987"/>
      <c r="F48" s="987"/>
      <c r="G48" s="987"/>
      <c r="H48" s="987"/>
      <c r="I48" s="987"/>
      <c r="J48" s="987"/>
      <c r="K48" s="987"/>
      <c r="L48" s="987"/>
      <c r="M48" s="987"/>
      <c r="N48" s="384"/>
      <c r="O48" s="384"/>
      <c r="P48" s="381"/>
    </row>
    <row r="49" spans="1:16" ht="12" customHeight="1">
      <c r="B49" s="383"/>
      <c r="C49" s="383"/>
      <c r="D49" s="383"/>
      <c r="E49" s="383"/>
      <c r="F49" s="383"/>
      <c r="G49" s="383"/>
      <c r="H49" s="383"/>
      <c r="I49" s="383"/>
      <c r="J49" s="383"/>
      <c r="K49" s="383"/>
      <c r="L49" s="383"/>
      <c r="M49" s="338"/>
      <c r="N49" s="338"/>
      <c r="O49" s="338"/>
    </row>
    <row r="50" spans="1:16">
      <c r="B50" s="382" t="s">
        <v>412</v>
      </c>
      <c r="C50" s="383"/>
      <c r="D50" s="383"/>
      <c r="E50" s="383"/>
      <c r="F50" s="383"/>
      <c r="G50" s="383"/>
      <c r="H50" s="383"/>
      <c r="I50" s="383"/>
      <c r="J50" s="383"/>
      <c r="K50" s="383"/>
      <c r="L50" s="383"/>
      <c r="M50" s="338"/>
      <c r="N50" s="338"/>
      <c r="O50" s="338"/>
    </row>
    <row r="51" spans="1:16" s="380" customFormat="1" ht="83.4" customHeight="1">
      <c r="A51" s="379"/>
      <c r="B51" s="986" t="s">
        <v>661</v>
      </c>
      <c r="C51" s="986"/>
      <c r="D51" s="986"/>
      <c r="E51" s="986"/>
      <c r="F51" s="986"/>
      <c r="G51" s="986"/>
      <c r="H51" s="986"/>
      <c r="I51" s="986"/>
      <c r="J51" s="986"/>
      <c r="K51" s="986"/>
      <c r="L51" s="986"/>
      <c r="M51" s="986"/>
      <c r="N51" s="384"/>
      <c r="O51" s="384"/>
      <c r="P51" s="381"/>
    </row>
    <row r="52" spans="1:16" s="380" customFormat="1" ht="53.4" customHeight="1">
      <c r="A52" s="379"/>
      <c r="B52" s="986" t="s">
        <v>1449</v>
      </c>
      <c r="C52" s="986"/>
      <c r="D52" s="986"/>
      <c r="E52" s="986"/>
      <c r="F52" s="986"/>
      <c r="G52" s="986"/>
      <c r="H52" s="986"/>
      <c r="I52" s="986"/>
      <c r="J52" s="986"/>
      <c r="K52" s="986"/>
      <c r="L52" s="986"/>
      <c r="M52" s="986"/>
      <c r="N52" s="384"/>
      <c r="O52" s="384"/>
      <c r="P52" s="381"/>
    </row>
    <row r="53" spans="1:16">
      <c r="B53" s="392"/>
      <c r="C53" s="392"/>
      <c r="D53" s="392"/>
      <c r="E53" s="392"/>
      <c r="F53" s="392"/>
      <c r="G53" s="392"/>
      <c r="H53" s="392"/>
      <c r="I53" s="392"/>
      <c r="J53" s="392"/>
      <c r="K53" s="392"/>
      <c r="L53" s="383"/>
      <c r="M53" s="338"/>
      <c r="N53" s="338"/>
      <c r="O53" s="338"/>
    </row>
    <row r="54" spans="1:16">
      <c r="B54" s="393" t="s">
        <v>413</v>
      </c>
      <c r="C54" s="392"/>
      <c r="D54" s="392"/>
      <c r="E54" s="392"/>
      <c r="F54" s="392"/>
      <c r="G54" s="392"/>
      <c r="H54" s="392"/>
      <c r="I54" s="392"/>
      <c r="J54" s="392"/>
      <c r="K54" s="392"/>
      <c r="L54" s="383"/>
      <c r="M54" s="338"/>
      <c r="N54" s="338"/>
      <c r="O54" s="338"/>
    </row>
    <row r="55" spans="1:16" s="380" customFormat="1" ht="42" customHeight="1">
      <c r="A55" s="379"/>
      <c r="B55" s="986" t="s">
        <v>1450</v>
      </c>
      <c r="C55" s="986"/>
      <c r="D55" s="986"/>
      <c r="E55" s="986"/>
      <c r="F55" s="986"/>
      <c r="G55" s="986"/>
      <c r="H55" s="986"/>
      <c r="I55" s="986"/>
      <c r="J55" s="986"/>
      <c r="K55" s="986"/>
      <c r="L55" s="986"/>
      <c r="M55" s="986"/>
      <c r="N55" s="384"/>
      <c r="O55" s="384"/>
      <c r="P55" s="381"/>
    </row>
    <row r="56" spans="1:16" s="380" customFormat="1" ht="42" customHeight="1">
      <c r="A56" s="379"/>
      <c r="B56" s="986" t="s">
        <v>1710</v>
      </c>
      <c r="C56" s="986"/>
      <c r="D56" s="986"/>
      <c r="E56" s="986"/>
      <c r="F56" s="986"/>
      <c r="G56" s="986"/>
      <c r="H56" s="986"/>
      <c r="I56" s="986"/>
      <c r="J56" s="986"/>
      <c r="K56" s="986"/>
      <c r="L56" s="986"/>
      <c r="M56" s="986"/>
      <c r="N56" s="384"/>
      <c r="O56" s="384"/>
      <c r="P56" s="381"/>
    </row>
    <row r="57" spans="1:16">
      <c r="B57" s="393"/>
      <c r="C57" s="392"/>
      <c r="D57" s="392"/>
      <c r="E57" s="392"/>
      <c r="F57" s="392"/>
      <c r="G57" s="392"/>
      <c r="H57" s="392"/>
      <c r="I57" s="392"/>
      <c r="J57" s="392"/>
      <c r="K57" s="392"/>
      <c r="L57" s="383"/>
      <c r="M57" s="338"/>
      <c r="N57" s="338"/>
      <c r="O57" s="338"/>
    </row>
    <row r="58" spans="1:16">
      <c r="B58" s="393" t="s">
        <v>414</v>
      </c>
      <c r="C58" s="392"/>
      <c r="D58" s="392"/>
      <c r="E58" s="392"/>
      <c r="F58" s="392"/>
      <c r="G58" s="392"/>
      <c r="H58" s="392"/>
      <c r="I58" s="392"/>
      <c r="J58" s="392"/>
      <c r="K58" s="392"/>
      <c r="L58" s="383"/>
      <c r="M58" s="338"/>
      <c r="N58" s="338"/>
      <c r="O58" s="338"/>
    </row>
    <row r="59" spans="1:16" s="380" customFormat="1" ht="53.4" customHeight="1">
      <c r="A59" s="379"/>
      <c r="B59" s="986" t="s">
        <v>662</v>
      </c>
      <c r="C59" s="986"/>
      <c r="D59" s="986"/>
      <c r="E59" s="986"/>
      <c r="F59" s="986"/>
      <c r="G59" s="986"/>
      <c r="H59" s="986"/>
      <c r="I59" s="986"/>
      <c r="J59" s="986"/>
      <c r="K59" s="986"/>
      <c r="L59" s="986"/>
      <c r="M59" s="986"/>
      <c r="N59" s="384"/>
      <c r="O59" s="384"/>
      <c r="P59" s="381"/>
    </row>
    <row r="60" spans="1:16">
      <c r="B60" s="392"/>
      <c r="C60" s="392"/>
      <c r="D60" s="392"/>
      <c r="E60" s="392"/>
      <c r="F60" s="392"/>
      <c r="G60" s="392"/>
      <c r="H60" s="392"/>
      <c r="I60" s="392"/>
      <c r="J60" s="392"/>
      <c r="K60" s="392"/>
      <c r="L60" s="383"/>
      <c r="M60" s="338"/>
      <c r="N60" s="338"/>
      <c r="O60" s="338"/>
    </row>
    <row r="61" spans="1:16">
      <c r="B61" s="393" t="s">
        <v>415</v>
      </c>
      <c r="C61" s="392"/>
      <c r="D61" s="392"/>
      <c r="E61" s="392"/>
      <c r="F61" s="392"/>
      <c r="G61" s="392"/>
      <c r="H61" s="392"/>
      <c r="I61" s="392"/>
      <c r="J61" s="392"/>
      <c r="K61" s="392"/>
      <c r="L61" s="383"/>
      <c r="M61" s="338"/>
      <c r="N61" s="338"/>
      <c r="O61" s="338"/>
    </row>
    <row r="62" spans="1:16" ht="14.4" customHeight="1">
      <c r="B62" s="393"/>
      <c r="C62" s="392"/>
      <c r="D62" s="392"/>
      <c r="E62" s="392"/>
      <c r="F62" s="392"/>
      <c r="G62" s="392"/>
      <c r="H62" s="392"/>
      <c r="I62" s="392"/>
      <c r="J62" s="392"/>
      <c r="K62" s="392"/>
      <c r="L62" s="383"/>
      <c r="M62" s="338"/>
      <c r="N62" s="338"/>
      <c r="O62" s="338"/>
    </row>
    <row r="63" spans="1:16">
      <c r="B63" s="393" t="s">
        <v>670</v>
      </c>
      <c r="C63" s="392"/>
      <c r="D63" s="392"/>
      <c r="E63" s="392"/>
      <c r="F63" s="392"/>
      <c r="G63" s="392"/>
      <c r="H63" s="392"/>
      <c r="I63" s="392"/>
      <c r="J63" s="392"/>
      <c r="K63" s="392"/>
      <c r="L63" s="383"/>
      <c r="M63" s="338"/>
      <c r="N63" s="338"/>
      <c r="O63" s="338"/>
    </row>
    <row r="64" spans="1:16">
      <c r="B64" s="990" t="s">
        <v>1727</v>
      </c>
      <c r="C64" s="990"/>
      <c r="D64" s="990"/>
      <c r="E64" s="990"/>
      <c r="F64" s="990"/>
      <c r="G64" s="990"/>
      <c r="H64" s="990"/>
      <c r="I64" s="990"/>
      <c r="J64" s="990"/>
      <c r="K64" s="990"/>
      <c r="L64" s="383"/>
      <c r="M64" s="338"/>
      <c r="N64" s="338"/>
      <c r="O64" s="338"/>
    </row>
    <row r="65" spans="1:16">
      <c r="B65" s="392"/>
      <c r="C65" s="392"/>
      <c r="D65" s="392"/>
      <c r="E65" s="392"/>
      <c r="F65" s="392"/>
      <c r="G65" s="392"/>
      <c r="H65" s="392"/>
      <c r="I65" s="392"/>
      <c r="J65" s="392"/>
      <c r="K65" s="392"/>
      <c r="L65" s="383"/>
      <c r="M65" s="338"/>
      <c r="N65" s="338"/>
      <c r="O65" s="338"/>
    </row>
    <row r="66" spans="1:16">
      <c r="B66" s="995" t="s">
        <v>1260</v>
      </c>
      <c r="C66" s="995"/>
      <c r="D66" s="995"/>
      <c r="E66" s="995"/>
      <c r="F66" s="995"/>
      <c r="G66" s="995"/>
      <c r="H66" s="995"/>
      <c r="I66" s="995"/>
      <c r="J66" s="995"/>
      <c r="K66" s="995"/>
      <c r="L66" s="383"/>
      <c r="M66" s="338"/>
      <c r="N66" s="338"/>
      <c r="O66" s="338"/>
    </row>
    <row r="67" spans="1:16">
      <c r="B67" s="394" t="s">
        <v>671</v>
      </c>
      <c r="C67" s="395"/>
      <c r="D67" s="395"/>
      <c r="E67" s="395"/>
      <c r="F67" s="395"/>
      <c r="G67" s="395"/>
      <c r="H67" s="395"/>
      <c r="I67" s="395"/>
      <c r="J67" s="395"/>
      <c r="K67" s="395"/>
      <c r="L67" s="383"/>
      <c r="M67" s="338"/>
      <c r="N67" s="338"/>
      <c r="O67" s="338"/>
    </row>
    <row r="68" spans="1:16" s="380" customFormat="1" ht="53.4" customHeight="1">
      <c r="A68" s="379"/>
      <c r="B68" s="986" t="s">
        <v>672</v>
      </c>
      <c r="C68" s="986"/>
      <c r="D68" s="986"/>
      <c r="E68" s="986"/>
      <c r="F68" s="986"/>
      <c r="G68" s="986"/>
      <c r="H68" s="986"/>
      <c r="I68" s="986"/>
      <c r="J68" s="986"/>
      <c r="K68" s="986"/>
      <c r="L68" s="986"/>
      <c r="M68" s="986"/>
      <c r="N68" s="384"/>
      <c r="O68" s="384"/>
      <c r="P68" s="381"/>
    </row>
    <row r="69" spans="1:16" ht="24.6" customHeight="1">
      <c r="B69" s="394" t="s">
        <v>673</v>
      </c>
      <c r="C69" s="396"/>
      <c r="D69" s="396"/>
      <c r="E69" s="396"/>
      <c r="F69" s="396"/>
      <c r="G69" s="396"/>
      <c r="H69" s="396"/>
      <c r="I69" s="396"/>
      <c r="J69" s="396"/>
      <c r="K69" s="396"/>
      <c r="L69" s="383"/>
      <c r="M69" s="338"/>
      <c r="N69" s="338"/>
      <c r="O69" s="338"/>
    </row>
    <row r="70" spans="1:16" s="380" customFormat="1" ht="33" customHeight="1">
      <c r="A70" s="379"/>
      <c r="B70" s="986" t="s">
        <v>674</v>
      </c>
      <c r="C70" s="986"/>
      <c r="D70" s="986"/>
      <c r="E70" s="986"/>
      <c r="F70" s="986"/>
      <c r="G70" s="986"/>
      <c r="H70" s="986"/>
      <c r="I70" s="986"/>
      <c r="J70" s="986"/>
      <c r="K70" s="986"/>
      <c r="L70" s="986"/>
      <c r="M70" s="986"/>
      <c r="N70" s="384"/>
      <c r="O70" s="384"/>
      <c r="P70" s="381"/>
    </row>
    <row r="71" spans="1:16" ht="30.6" customHeight="1">
      <c r="B71" s="397" t="s">
        <v>675</v>
      </c>
      <c r="C71" s="398"/>
      <c r="D71" s="398"/>
      <c r="E71" s="398"/>
      <c r="F71" s="398"/>
      <c r="G71" s="398"/>
      <c r="H71" s="398"/>
      <c r="I71" s="398"/>
      <c r="J71" s="398"/>
      <c r="K71" s="398"/>
      <c r="L71" s="383"/>
      <c r="M71" s="338"/>
      <c r="N71" s="338"/>
      <c r="O71" s="338"/>
    </row>
    <row r="72" spans="1:16" s="380" customFormat="1" ht="37.799999999999997" customHeight="1">
      <c r="A72" s="379"/>
      <c r="B72" s="986" t="s">
        <v>1451</v>
      </c>
      <c r="C72" s="986"/>
      <c r="D72" s="986"/>
      <c r="E72" s="986"/>
      <c r="F72" s="986"/>
      <c r="G72" s="986"/>
      <c r="H72" s="986"/>
      <c r="I72" s="986"/>
      <c r="J72" s="986"/>
      <c r="K72" s="986"/>
      <c r="L72" s="986"/>
      <c r="M72" s="986"/>
      <c r="N72" s="384"/>
      <c r="O72" s="384"/>
      <c r="P72" s="381"/>
    </row>
    <row r="73" spans="1:16">
      <c r="B73" s="399"/>
      <c r="C73" s="399"/>
      <c r="D73" s="399"/>
      <c r="E73" s="399"/>
      <c r="F73" s="399"/>
      <c r="G73" s="399"/>
      <c r="H73" s="399"/>
      <c r="I73" s="399"/>
      <c r="J73" s="399"/>
      <c r="K73" s="399"/>
      <c r="L73" s="383"/>
      <c r="M73" s="338"/>
      <c r="N73" s="338"/>
      <c r="O73" s="338"/>
    </row>
    <row r="74" spans="1:16" ht="16.5" customHeight="1">
      <c r="B74" s="400" t="s">
        <v>1447</v>
      </c>
      <c r="C74" s="392"/>
      <c r="D74" s="392"/>
      <c r="E74" s="392"/>
      <c r="F74" s="392"/>
      <c r="G74" s="392"/>
      <c r="H74" s="392"/>
      <c r="I74" s="392"/>
      <c r="J74" s="392"/>
      <c r="K74" s="392"/>
      <c r="L74" s="383"/>
      <c r="M74" s="338"/>
      <c r="N74" s="338"/>
      <c r="O74" s="338"/>
    </row>
    <row r="75" spans="1:16" s="380" customFormat="1" ht="40.799999999999997" customHeight="1">
      <c r="A75" s="379"/>
      <c r="B75" s="986" t="s">
        <v>663</v>
      </c>
      <c r="C75" s="986"/>
      <c r="D75" s="986"/>
      <c r="E75" s="986"/>
      <c r="F75" s="986"/>
      <c r="G75" s="986"/>
      <c r="H75" s="986"/>
      <c r="I75" s="986"/>
      <c r="J75" s="986"/>
      <c r="K75" s="986"/>
      <c r="L75" s="986"/>
      <c r="M75" s="986"/>
      <c r="N75" s="384"/>
      <c r="O75" s="384"/>
      <c r="P75" s="381"/>
    </row>
    <row r="76" spans="1:16" s="380" customFormat="1" ht="39.6" customHeight="1">
      <c r="A76" s="379"/>
      <c r="B76" s="986" t="s">
        <v>603</v>
      </c>
      <c r="C76" s="986"/>
      <c r="D76" s="986"/>
      <c r="E76" s="986"/>
      <c r="F76" s="986"/>
      <c r="G76" s="986"/>
      <c r="H76" s="986"/>
      <c r="I76" s="986"/>
      <c r="J76" s="986"/>
      <c r="K76" s="986"/>
      <c r="L76" s="986"/>
      <c r="M76" s="986"/>
      <c r="N76" s="384"/>
      <c r="O76" s="384"/>
      <c r="P76" s="381"/>
    </row>
    <row r="77" spans="1:16" ht="6" customHeight="1">
      <c r="B77" s="990"/>
      <c r="C77" s="990"/>
      <c r="D77" s="990"/>
      <c r="E77" s="990"/>
      <c r="F77" s="990"/>
      <c r="G77" s="990"/>
      <c r="H77" s="990"/>
      <c r="I77" s="990"/>
      <c r="J77" s="990"/>
      <c r="K77" s="990"/>
      <c r="L77" s="383"/>
      <c r="M77" s="314"/>
      <c r="N77" s="338"/>
      <c r="O77" s="338"/>
      <c r="P77" s="276"/>
    </row>
    <row r="78" spans="1:16" s="380" customFormat="1" ht="39" customHeight="1">
      <c r="A78" s="379"/>
      <c r="B78" s="986" t="s">
        <v>1726</v>
      </c>
      <c r="C78" s="986"/>
      <c r="D78" s="986"/>
      <c r="E78" s="986"/>
      <c r="F78" s="986"/>
      <c r="G78" s="986"/>
      <c r="H78" s="986"/>
      <c r="I78" s="986"/>
      <c r="J78" s="986"/>
      <c r="K78" s="986"/>
      <c r="L78" s="986"/>
      <c r="M78" s="986"/>
      <c r="N78" s="384"/>
      <c r="O78" s="384"/>
      <c r="P78" s="381"/>
    </row>
    <row r="79" spans="1:16">
      <c r="B79" s="392"/>
      <c r="C79" s="392"/>
      <c r="D79" s="392"/>
      <c r="E79" s="392"/>
      <c r="F79" s="392"/>
      <c r="G79" s="392"/>
      <c r="H79" s="392"/>
      <c r="I79" s="392"/>
      <c r="J79" s="392"/>
      <c r="K79" s="392"/>
      <c r="L79" s="383"/>
      <c r="M79" s="314"/>
      <c r="N79" s="338"/>
      <c r="O79" s="338"/>
      <c r="P79" s="276"/>
    </row>
    <row r="80" spans="1:16" ht="20.7" customHeight="1">
      <c r="B80" s="995" t="s">
        <v>1448</v>
      </c>
      <c r="C80" s="995"/>
      <c r="D80" s="995"/>
      <c r="E80" s="995"/>
      <c r="F80" s="995"/>
      <c r="G80" s="995"/>
      <c r="H80" s="995"/>
      <c r="I80" s="995"/>
      <c r="J80" s="995"/>
      <c r="K80" s="995"/>
      <c r="L80" s="383"/>
      <c r="M80" s="338"/>
      <c r="N80" s="338"/>
      <c r="O80" s="338"/>
    </row>
    <row r="81" spans="1:16" s="380" customFormat="1" ht="53.4" customHeight="1">
      <c r="A81" s="379"/>
      <c r="B81" s="986" t="s">
        <v>1728</v>
      </c>
      <c r="C81" s="986"/>
      <c r="D81" s="986"/>
      <c r="E81" s="986"/>
      <c r="F81" s="986"/>
      <c r="G81" s="986"/>
      <c r="H81" s="986"/>
      <c r="I81" s="986"/>
      <c r="J81" s="986"/>
      <c r="K81" s="986"/>
      <c r="L81" s="986"/>
      <c r="M81" s="986"/>
      <c r="N81" s="384"/>
      <c r="O81" s="384"/>
      <c r="P81" s="381"/>
    </row>
    <row r="82" spans="1:16" ht="10.5" customHeight="1">
      <c r="B82" s="392"/>
      <c r="C82" s="392"/>
      <c r="D82" s="392"/>
      <c r="E82" s="392"/>
      <c r="F82" s="392"/>
      <c r="G82" s="392"/>
      <c r="H82" s="392"/>
      <c r="I82" s="392"/>
      <c r="J82" s="392"/>
      <c r="K82" s="392"/>
      <c r="L82" s="383"/>
      <c r="M82" s="338"/>
      <c r="N82" s="338"/>
      <c r="O82" s="338"/>
    </row>
    <row r="83" spans="1:16">
      <c r="B83" s="382" t="s">
        <v>416</v>
      </c>
      <c r="C83" s="383"/>
      <c r="D83" s="383"/>
      <c r="E83" s="383"/>
      <c r="F83" s="383"/>
      <c r="G83" s="383"/>
      <c r="H83" s="383"/>
      <c r="I83" s="383"/>
      <c r="J83" s="383"/>
      <c r="K83" s="383"/>
      <c r="L83" s="383"/>
      <c r="M83" s="338"/>
      <c r="N83" s="338"/>
      <c r="O83" s="338"/>
    </row>
    <row r="84" spans="1:16" s="380" customFormat="1" ht="37.200000000000003" customHeight="1">
      <c r="A84" s="379"/>
      <c r="B84" s="986" t="s">
        <v>417</v>
      </c>
      <c r="C84" s="986"/>
      <c r="D84" s="986"/>
      <c r="E84" s="986"/>
      <c r="F84" s="986"/>
      <c r="G84" s="986"/>
      <c r="H84" s="986"/>
      <c r="I84" s="986"/>
      <c r="J84" s="986"/>
      <c r="K84" s="986"/>
      <c r="L84" s="986"/>
      <c r="M84" s="986"/>
      <c r="N84" s="384"/>
      <c r="O84" s="384"/>
      <c r="P84" s="381"/>
    </row>
    <row r="85" spans="1:16">
      <c r="B85" s="383" t="s">
        <v>353</v>
      </c>
      <c r="C85" s="383"/>
      <c r="D85" s="383"/>
      <c r="E85" s="383"/>
      <c r="F85" s="383"/>
      <c r="G85" s="383"/>
      <c r="H85" s="383"/>
      <c r="I85" s="383"/>
      <c r="J85" s="383"/>
      <c r="K85" s="383"/>
      <c r="L85" s="383"/>
      <c r="M85" s="338"/>
      <c r="N85" s="338"/>
      <c r="O85" s="338"/>
    </row>
    <row r="86" spans="1:16">
      <c r="B86" s="382" t="s">
        <v>418</v>
      </c>
      <c r="C86" s="383"/>
      <c r="D86" s="383"/>
      <c r="E86" s="383"/>
      <c r="F86" s="383"/>
      <c r="G86" s="383"/>
      <c r="H86" s="383"/>
      <c r="I86" s="383"/>
      <c r="J86" s="383"/>
      <c r="K86" s="383"/>
      <c r="L86" s="383"/>
      <c r="M86" s="338"/>
      <c r="N86" s="338"/>
      <c r="O86" s="338"/>
    </row>
    <row r="87" spans="1:16" s="380" customFormat="1" ht="53.4" customHeight="1">
      <c r="A87" s="379"/>
      <c r="B87" s="986" t="s">
        <v>664</v>
      </c>
      <c r="C87" s="986"/>
      <c r="D87" s="986"/>
      <c r="E87" s="986"/>
      <c r="F87" s="986"/>
      <c r="G87" s="986"/>
      <c r="H87" s="986"/>
      <c r="I87" s="986"/>
      <c r="J87" s="986"/>
      <c r="K87" s="986"/>
      <c r="L87" s="986"/>
      <c r="M87" s="986"/>
      <c r="N87" s="384"/>
      <c r="O87" s="384"/>
      <c r="P87" s="381"/>
    </row>
    <row r="88" spans="1:16" s="380" customFormat="1" ht="53.4" customHeight="1">
      <c r="A88" s="379"/>
      <c r="B88" s="986" t="s">
        <v>665</v>
      </c>
      <c r="C88" s="986"/>
      <c r="D88" s="986"/>
      <c r="E88" s="986"/>
      <c r="F88" s="986"/>
      <c r="G88" s="986"/>
      <c r="H88" s="986"/>
      <c r="I88" s="986"/>
      <c r="J88" s="986"/>
      <c r="K88" s="986"/>
      <c r="L88" s="986"/>
      <c r="M88" s="986"/>
      <c r="N88" s="384"/>
      <c r="O88" s="384"/>
      <c r="P88" s="381"/>
    </row>
    <row r="89" spans="1:16">
      <c r="B89" s="383"/>
      <c r="C89" s="383"/>
      <c r="D89" s="383"/>
      <c r="E89" s="383"/>
      <c r="F89" s="383"/>
      <c r="G89" s="383"/>
      <c r="H89" s="383"/>
      <c r="I89" s="383"/>
      <c r="J89" s="383"/>
      <c r="K89" s="383"/>
      <c r="L89" s="383"/>
      <c r="M89" s="338"/>
      <c r="N89" s="338"/>
      <c r="O89" s="338"/>
    </row>
    <row r="90" spans="1:16">
      <c r="B90" s="382" t="s">
        <v>419</v>
      </c>
      <c r="C90" s="383"/>
      <c r="D90" s="383"/>
      <c r="E90" s="383"/>
      <c r="F90" s="383"/>
      <c r="G90" s="383"/>
      <c r="H90" s="383"/>
      <c r="I90" s="383"/>
      <c r="J90" s="383"/>
      <c r="K90" s="383"/>
      <c r="L90" s="383"/>
      <c r="M90" s="338"/>
      <c r="N90" s="338"/>
      <c r="O90" s="338"/>
    </row>
    <row r="91" spans="1:16" s="380" customFormat="1" ht="36" customHeight="1">
      <c r="A91" s="379"/>
      <c r="B91" s="986" t="s">
        <v>1453</v>
      </c>
      <c r="C91" s="986"/>
      <c r="D91" s="986"/>
      <c r="E91" s="986"/>
      <c r="F91" s="986"/>
      <c r="G91" s="986"/>
      <c r="H91" s="986"/>
      <c r="I91" s="986"/>
      <c r="J91" s="986"/>
      <c r="K91" s="986"/>
      <c r="L91" s="986"/>
      <c r="M91" s="986"/>
      <c r="N91" s="384"/>
      <c r="O91" s="384"/>
      <c r="P91" s="381"/>
    </row>
    <row r="92" spans="1:16" s="380" customFormat="1" ht="27.6" customHeight="1">
      <c r="A92" s="379"/>
      <c r="B92" s="986" t="s">
        <v>420</v>
      </c>
      <c r="C92" s="986"/>
      <c r="D92" s="986"/>
      <c r="E92" s="986"/>
      <c r="F92" s="986"/>
      <c r="G92" s="986"/>
      <c r="H92" s="986"/>
      <c r="I92" s="986"/>
      <c r="J92" s="986"/>
      <c r="K92" s="986"/>
      <c r="L92" s="986"/>
      <c r="M92" s="986"/>
      <c r="N92" s="384"/>
      <c r="O92" s="384"/>
      <c r="P92" s="381"/>
    </row>
    <row r="93" spans="1:16" ht="13.5" customHeight="1">
      <c r="B93" s="392"/>
      <c r="C93" s="392"/>
      <c r="D93" s="392"/>
      <c r="E93" s="392"/>
      <c r="F93" s="392"/>
      <c r="G93" s="392"/>
      <c r="H93" s="392"/>
      <c r="I93" s="392"/>
      <c r="J93" s="392"/>
      <c r="K93" s="392"/>
      <c r="L93" s="383"/>
      <c r="M93" s="338"/>
      <c r="N93" s="338"/>
      <c r="O93" s="338"/>
    </row>
    <row r="94" spans="1:16">
      <c r="B94" s="382" t="s">
        <v>421</v>
      </c>
      <c r="C94" s="383"/>
      <c r="D94" s="383"/>
      <c r="E94" s="383"/>
      <c r="F94" s="383"/>
      <c r="G94" s="383"/>
      <c r="H94" s="383"/>
      <c r="I94" s="383"/>
      <c r="J94" s="383"/>
      <c r="K94" s="383"/>
      <c r="L94" s="383"/>
      <c r="M94" s="338"/>
      <c r="N94" s="338"/>
      <c r="O94" s="338"/>
    </row>
    <row r="95" spans="1:16" s="380" customFormat="1" ht="50.4" customHeight="1">
      <c r="A95" s="379"/>
      <c r="B95" s="986" t="s">
        <v>422</v>
      </c>
      <c r="C95" s="986"/>
      <c r="D95" s="986"/>
      <c r="E95" s="986"/>
      <c r="F95" s="986"/>
      <c r="G95" s="986"/>
      <c r="H95" s="986"/>
      <c r="I95" s="986"/>
      <c r="J95" s="986"/>
      <c r="K95" s="986"/>
      <c r="L95" s="986"/>
      <c r="M95" s="986"/>
      <c r="N95" s="384"/>
      <c r="O95" s="384"/>
      <c r="P95" s="381"/>
    </row>
    <row r="96" spans="1:16" s="380" customFormat="1" ht="42" customHeight="1">
      <c r="A96" s="379"/>
      <c r="B96" s="986" t="s">
        <v>423</v>
      </c>
      <c r="C96" s="986"/>
      <c r="D96" s="986"/>
      <c r="E96" s="986"/>
      <c r="F96" s="986"/>
      <c r="G96" s="986"/>
      <c r="H96" s="986"/>
      <c r="I96" s="986"/>
      <c r="J96" s="986"/>
      <c r="K96" s="986"/>
      <c r="L96" s="986"/>
      <c r="M96" s="986"/>
      <c r="N96" s="384"/>
      <c r="O96" s="384"/>
      <c r="P96" s="381"/>
    </row>
    <row r="97" spans="1:16">
      <c r="B97" s="387"/>
      <c r="C97" s="387"/>
      <c r="D97" s="387"/>
      <c r="E97" s="387"/>
      <c r="F97" s="387"/>
      <c r="G97" s="387"/>
      <c r="H97" s="387"/>
      <c r="I97" s="387"/>
      <c r="J97" s="387"/>
      <c r="K97" s="387"/>
      <c r="L97" s="383"/>
      <c r="M97" s="338"/>
      <c r="N97" s="338"/>
      <c r="O97" s="338"/>
    </row>
    <row r="98" spans="1:16">
      <c r="B98" s="382" t="s">
        <v>424</v>
      </c>
      <c r="C98" s="387"/>
      <c r="D98" s="387"/>
      <c r="E98" s="387"/>
      <c r="F98" s="387"/>
      <c r="G98" s="387"/>
      <c r="H98" s="387"/>
      <c r="I98" s="387"/>
      <c r="J98" s="387"/>
      <c r="K98" s="387"/>
      <c r="L98" s="383"/>
      <c r="M98" s="338"/>
      <c r="N98" s="338"/>
      <c r="O98" s="338"/>
    </row>
    <row r="99" spans="1:16" s="380" customFormat="1" ht="37.799999999999997" customHeight="1">
      <c r="A99" s="379"/>
      <c r="B99" s="986" t="s">
        <v>425</v>
      </c>
      <c r="C99" s="986"/>
      <c r="D99" s="986"/>
      <c r="E99" s="986"/>
      <c r="F99" s="986"/>
      <c r="G99" s="986"/>
      <c r="H99" s="986"/>
      <c r="I99" s="986"/>
      <c r="J99" s="986"/>
      <c r="K99" s="986"/>
      <c r="L99" s="986"/>
      <c r="M99" s="986"/>
      <c r="N99" s="384"/>
      <c r="O99" s="384"/>
      <c r="P99" s="381"/>
    </row>
    <row r="100" spans="1:16" s="380" customFormat="1" ht="37.799999999999997" customHeight="1">
      <c r="A100" s="379"/>
      <c r="B100" s="382" t="s">
        <v>1740</v>
      </c>
      <c r="C100" s="923"/>
      <c r="D100" s="923"/>
      <c r="E100" s="923"/>
      <c r="F100" s="923"/>
      <c r="G100" s="923"/>
      <c r="H100" s="923"/>
      <c r="I100" s="923"/>
      <c r="J100" s="923"/>
      <c r="K100" s="923"/>
      <c r="L100" s="383"/>
      <c r="M100" s="338"/>
      <c r="N100" s="384"/>
      <c r="O100" s="384"/>
      <c r="P100" s="381"/>
    </row>
    <row r="101" spans="1:16" s="380" customFormat="1" ht="45.45" customHeight="1">
      <c r="A101" s="379"/>
      <c r="B101" s="986" t="s">
        <v>1741</v>
      </c>
      <c r="C101" s="986"/>
      <c r="D101" s="986"/>
      <c r="E101" s="986"/>
      <c r="F101" s="986"/>
      <c r="G101" s="986"/>
      <c r="H101" s="986"/>
      <c r="I101" s="986"/>
      <c r="J101" s="986"/>
      <c r="K101" s="986"/>
      <c r="L101" s="986"/>
      <c r="M101" s="986"/>
      <c r="N101" s="384"/>
      <c r="O101" s="384"/>
      <c r="P101" s="381"/>
    </row>
    <row r="102" spans="1:16" s="380" customFormat="1" ht="18" customHeight="1">
      <c r="A102" s="379"/>
      <c r="B102" s="922"/>
      <c r="C102" s="922"/>
      <c r="D102" s="922"/>
      <c r="E102" s="922"/>
      <c r="F102" s="922"/>
      <c r="G102" s="922"/>
      <c r="H102" s="922"/>
      <c r="I102" s="922"/>
      <c r="J102" s="922"/>
      <c r="K102" s="922"/>
      <c r="L102" s="922"/>
      <c r="M102" s="922"/>
      <c r="N102" s="384"/>
      <c r="O102" s="384"/>
      <c r="P102" s="381"/>
    </row>
    <row r="103" spans="1:16">
      <c r="B103" s="383"/>
      <c r="C103" s="383"/>
      <c r="D103" s="383"/>
      <c r="E103" s="383"/>
      <c r="F103" s="383"/>
      <c r="G103" s="383"/>
      <c r="H103" s="383"/>
      <c r="I103" s="383"/>
      <c r="J103" s="383"/>
      <c r="K103" s="383"/>
      <c r="L103" s="383"/>
      <c r="M103" s="338"/>
      <c r="N103" s="338"/>
      <c r="O103" s="338"/>
    </row>
    <row r="104" spans="1:16">
      <c r="B104" s="382" t="s">
        <v>607</v>
      </c>
      <c r="C104" s="383"/>
      <c r="D104" s="383"/>
      <c r="E104" s="383"/>
      <c r="F104" s="383"/>
      <c r="G104" s="383"/>
      <c r="H104" s="383"/>
      <c r="I104" s="383"/>
      <c r="J104" s="383"/>
      <c r="K104" s="383"/>
      <c r="L104" s="383"/>
      <c r="M104" s="338"/>
      <c r="N104" s="338"/>
      <c r="O104" s="338"/>
    </row>
    <row r="105" spans="1:16" s="380" customFormat="1" ht="36.6" customHeight="1">
      <c r="A105" s="379"/>
      <c r="B105" s="986" t="s">
        <v>1258</v>
      </c>
      <c r="C105" s="986"/>
      <c r="D105" s="986"/>
      <c r="E105" s="986"/>
      <c r="F105" s="986"/>
      <c r="G105" s="986"/>
      <c r="H105" s="986"/>
      <c r="I105" s="986"/>
      <c r="J105" s="986"/>
      <c r="K105" s="986"/>
      <c r="L105" s="986"/>
      <c r="M105" s="986"/>
      <c r="N105" s="384"/>
      <c r="O105" s="384"/>
      <c r="P105" s="381"/>
    </row>
    <row r="106" spans="1:16" ht="34.950000000000003" customHeight="1">
      <c r="B106" s="338"/>
      <c r="C106" s="338"/>
      <c r="D106" s="338"/>
      <c r="E106" s="338"/>
      <c r="F106" s="338"/>
      <c r="G106" s="338"/>
      <c r="H106" s="338"/>
      <c r="I106" s="338"/>
      <c r="J106" s="338"/>
      <c r="K106" s="338"/>
      <c r="L106" s="383"/>
      <c r="M106" s="338"/>
      <c r="N106" s="338"/>
      <c r="O106" s="338"/>
    </row>
    <row r="107" spans="1:16">
      <c r="B107" s="383"/>
      <c r="C107" s="383"/>
      <c r="D107" s="383"/>
      <c r="E107" s="383"/>
      <c r="F107" s="383"/>
      <c r="G107" s="383"/>
      <c r="H107" s="383"/>
      <c r="I107" s="383"/>
      <c r="J107" s="383"/>
      <c r="K107" s="383"/>
      <c r="L107" s="383"/>
      <c r="M107" s="338"/>
      <c r="N107" s="338"/>
      <c r="O107" s="338"/>
    </row>
    <row r="108" spans="1:16">
      <c r="B108" s="338"/>
      <c r="C108" s="338"/>
      <c r="D108" s="338"/>
      <c r="E108" s="338"/>
      <c r="F108" s="338"/>
      <c r="G108" s="338"/>
      <c r="H108" s="338"/>
      <c r="I108" s="338"/>
      <c r="J108" s="338"/>
      <c r="K108" s="338"/>
      <c r="L108" s="338"/>
      <c r="M108" s="338"/>
      <c r="N108" s="338"/>
      <c r="O108" s="338"/>
    </row>
    <row r="109" spans="1:16">
      <c r="B109" s="338"/>
      <c r="C109" s="338"/>
      <c r="D109" s="338"/>
      <c r="E109" s="338"/>
      <c r="F109" s="338"/>
      <c r="G109" s="338"/>
      <c r="H109" s="338"/>
      <c r="I109" s="338"/>
      <c r="J109" s="338"/>
      <c r="K109" s="338"/>
      <c r="L109" s="338"/>
      <c r="M109" s="338"/>
      <c r="N109" s="338"/>
      <c r="O109" s="338"/>
    </row>
    <row r="110" spans="1:16">
      <c r="B110" s="338"/>
      <c r="C110" s="338"/>
      <c r="D110" s="338"/>
      <c r="E110" s="338"/>
      <c r="F110" s="338"/>
      <c r="G110" s="338"/>
      <c r="H110" s="338"/>
      <c r="I110" s="338"/>
      <c r="J110" s="338"/>
      <c r="K110" s="338"/>
      <c r="L110" s="338"/>
      <c r="M110" s="338"/>
      <c r="N110" s="338"/>
      <c r="O110" s="338"/>
    </row>
    <row r="111" spans="1:16">
      <c r="B111" s="338"/>
      <c r="C111" s="338"/>
      <c r="D111" s="338"/>
      <c r="E111" s="338"/>
      <c r="F111" s="338"/>
      <c r="G111" s="338"/>
      <c r="H111" s="338"/>
      <c r="I111" s="338"/>
      <c r="J111" s="338"/>
      <c r="K111" s="338"/>
      <c r="L111" s="338"/>
      <c r="M111" s="338"/>
      <c r="N111" s="338"/>
      <c r="O111" s="338"/>
    </row>
    <row r="112" spans="1:16">
      <c r="B112" s="338"/>
      <c r="C112" s="338"/>
      <c r="D112" s="338"/>
      <c r="E112" s="338"/>
      <c r="F112" s="338"/>
      <c r="G112" s="338"/>
      <c r="H112" s="338"/>
      <c r="I112" s="338"/>
      <c r="J112" s="338"/>
      <c r="K112" s="338"/>
      <c r="L112" s="338"/>
      <c r="M112" s="338"/>
      <c r="N112" s="338"/>
      <c r="O112" s="338"/>
    </row>
    <row r="113" spans="2:15">
      <c r="B113" s="338"/>
      <c r="C113" s="338"/>
      <c r="D113" s="338"/>
      <c r="E113" s="338"/>
      <c r="F113" s="338"/>
      <c r="G113" s="338"/>
      <c r="H113" s="338"/>
      <c r="I113" s="338"/>
      <c r="J113" s="338"/>
      <c r="K113" s="338"/>
      <c r="L113" s="338"/>
      <c r="M113" s="338"/>
      <c r="N113" s="338"/>
      <c r="O113" s="338"/>
    </row>
    <row r="114" spans="2:15">
      <c r="B114" s="338"/>
      <c r="C114" s="338"/>
      <c r="D114" s="338"/>
      <c r="E114" s="338"/>
      <c r="F114" s="338"/>
      <c r="G114" s="338"/>
      <c r="H114" s="338"/>
      <c r="I114" s="338"/>
      <c r="J114" s="338"/>
      <c r="K114" s="338"/>
      <c r="L114" s="338"/>
      <c r="M114" s="338"/>
      <c r="N114" s="338"/>
      <c r="O114" s="338"/>
    </row>
    <row r="115" spans="2:15">
      <c r="B115" s="338"/>
      <c r="C115" s="338"/>
      <c r="D115" s="338"/>
      <c r="E115" s="338"/>
      <c r="F115" s="338"/>
      <c r="G115" s="338"/>
      <c r="H115" s="338"/>
      <c r="I115" s="338"/>
      <c r="J115" s="338"/>
      <c r="K115" s="338"/>
      <c r="L115" s="338"/>
      <c r="M115" s="338"/>
      <c r="N115" s="338"/>
      <c r="O115" s="338"/>
    </row>
    <row r="116" spans="2:15">
      <c r="B116" s="338"/>
      <c r="C116" s="338"/>
      <c r="D116" s="338"/>
      <c r="E116" s="338"/>
      <c r="F116" s="338"/>
      <c r="G116" s="338"/>
      <c r="H116" s="338"/>
      <c r="I116" s="338"/>
      <c r="J116" s="338"/>
      <c r="K116" s="338"/>
      <c r="L116" s="338"/>
      <c r="M116" s="338"/>
      <c r="N116" s="338"/>
      <c r="O116" s="338"/>
    </row>
    <row r="117" spans="2:15">
      <c r="B117" s="338"/>
      <c r="C117" s="338"/>
      <c r="D117" s="338"/>
      <c r="E117" s="338"/>
      <c r="F117" s="338"/>
      <c r="G117" s="338"/>
      <c r="H117" s="338"/>
      <c r="I117" s="338"/>
      <c r="J117" s="338"/>
      <c r="K117" s="338"/>
      <c r="L117" s="338"/>
      <c r="M117" s="338"/>
      <c r="N117" s="338"/>
      <c r="O117" s="338"/>
    </row>
    <row r="118" spans="2:15">
      <c r="B118" s="338"/>
      <c r="C118" s="338"/>
      <c r="D118" s="338"/>
      <c r="E118" s="338"/>
      <c r="F118" s="338"/>
      <c r="G118" s="338"/>
      <c r="H118" s="338"/>
      <c r="I118" s="338"/>
      <c r="J118" s="338"/>
      <c r="K118" s="338"/>
      <c r="L118" s="338"/>
      <c r="M118" s="338"/>
      <c r="N118" s="338"/>
      <c r="O118" s="338"/>
    </row>
    <row r="119" spans="2:15">
      <c r="B119" s="338"/>
      <c r="C119" s="338"/>
      <c r="D119" s="338"/>
      <c r="E119" s="338"/>
      <c r="F119" s="338"/>
      <c r="G119" s="338"/>
      <c r="H119" s="338"/>
      <c r="I119" s="338"/>
      <c r="J119" s="338"/>
      <c r="K119" s="338"/>
      <c r="L119" s="338"/>
      <c r="M119" s="338"/>
      <c r="N119" s="338"/>
      <c r="O119" s="338"/>
    </row>
    <row r="120" spans="2:15">
      <c r="B120" s="338"/>
      <c r="C120" s="338"/>
      <c r="D120" s="338"/>
      <c r="E120" s="338"/>
      <c r="F120" s="338"/>
      <c r="G120" s="338"/>
      <c r="H120" s="338"/>
      <c r="I120" s="338"/>
      <c r="J120" s="338"/>
      <c r="K120" s="338"/>
      <c r="L120" s="338"/>
      <c r="M120" s="338"/>
      <c r="N120" s="338"/>
      <c r="O120" s="338"/>
    </row>
    <row r="121" spans="2:15">
      <c r="B121" s="338"/>
      <c r="C121" s="338"/>
      <c r="D121" s="338"/>
      <c r="E121" s="338"/>
      <c r="F121" s="338"/>
      <c r="G121" s="338"/>
      <c r="H121" s="338"/>
      <c r="I121" s="338"/>
      <c r="J121" s="338"/>
      <c r="K121" s="338"/>
      <c r="L121" s="338"/>
      <c r="M121" s="338"/>
      <c r="N121" s="338"/>
      <c r="O121" s="338"/>
    </row>
    <row r="122" spans="2:15">
      <c r="B122" s="338"/>
      <c r="C122" s="338"/>
      <c r="D122" s="338"/>
      <c r="E122" s="338"/>
      <c r="F122" s="338"/>
      <c r="G122" s="338"/>
      <c r="H122" s="338"/>
      <c r="I122" s="338"/>
      <c r="J122" s="338"/>
      <c r="K122" s="338"/>
      <c r="L122" s="338"/>
      <c r="M122" s="338"/>
      <c r="N122" s="338"/>
      <c r="O122" s="338"/>
    </row>
    <row r="123" spans="2:15">
      <c r="B123" s="338"/>
      <c r="C123" s="338"/>
      <c r="D123" s="338"/>
      <c r="E123" s="338"/>
      <c r="F123" s="338"/>
      <c r="G123" s="338"/>
      <c r="H123" s="338"/>
      <c r="I123" s="338"/>
      <c r="J123" s="338"/>
      <c r="K123" s="338"/>
      <c r="L123" s="338"/>
      <c r="M123" s="338"/>
      <c r="N123" s="338"/>
      <c r="O123" s="338"/>
    </row>
    <row r="124" spans="2:15">
      <c r="B124" s="338"/>
      <c r="C124" s="338"/>
      <c r="D124" s="338"/>
      <c r="E124" s="338"/>
      <c r="F124" s="338"/>
      <c r="G124" s="338"/>
      <c r="H124" s="338"/>
      <c r="I124" s="338"/>
      <c r="J124" s="338"/>
      <c r="K124" s="338"/>
      <c r="L124" s="338"/>
      <c r="M124" s="338"/>
      <c r="N124" s="338"/>
      <c r="O124" s="338"/>
    </row>
    <row r="125" spans="2:15">
      <c r="B125" s="338"/>
      <c r="C125" s="338"/>
      <c r="D125" s="338"/>
      <c r="E125" s="338"/>
      <c r="F125" s="338"/>
      <c r="G125" s="338"/>
      <c r="H125" s="338"/>
      <c r="I125" s="338"/>
      <c r="J125" s="338"/>
      <c r="K125" s="338"/>
      <c r="L125" s="338"/>
      <c r="M125" s="338"/>
      <c r="N125" s="338"/>
      <c r="O125" s="338"/>
    </row>
    <row r="126" spans="2:15">
      <c r="B126" s="338"/>
      <c r="C126" s="338"/>
      <c r="D126" s="338"/>
      <c r="E126" s="338"/>
      <c r="F126" s="338"/>
      <c r="G126" s="338"/>
      <c r="H126" s="338"/>
      <c r="I126" s="338"/>
      <c r="J126" s="338"/>
      <c r="K126" s="338"/>
      <c r="L126" s="338"/>
      <c r="M126" s="338"/>
      <c r="N126" s="338"/>
      <c r="O126" s="338"/>
    </row>
    <row r="127" spans="2:15">
      <c r="B127" s="338"/>
      <c r="C127" s="338"/>
      <c r="D127" s="338"/>
      <c r="E127" s="338"/>
      <c r="F127" s="338"/>
      <c r="G127" s="338"/>
      <c r="H127" s="338"/>
      <c r="I127" s="338"/>
      <c r="J127" s="338"/>
      <c r="K127" s="338"/>
      <c r="L127" s="338"/>
      <c r="M127" s="338"/>
      <c r="N127" s="338"/>
      <c r="O127" s="338"/>
    </row>
    <row r="128" spans="2:15">
      <c r="B128" s="338"/>
      <c r="C128" s="338"/>
      <c r="D128" s="338"/>
      <c r="E128" s="338"/>
      <c r="F128" s="338"/>
      <c r="G128" s="338"/>
      <c r="H128" s="338"/>
      <c r="I128" s="338"/>
      <c r="J128" s="338"/>
      <c r="K128" s="338"/>
      <c r="L128" s="338"/>
      <c r="M128" s="338"/>
      <c r="N128" s="338"/>
      <c r="O128" s="338"/>
    </row>
    <row r="129" spans="2:15">
      <c r="B129" s="338"/>
      <c r="C129" s="338"/>
      <c r="D129" s="338"/>
      <c r="E129" s="338"/>
      <c r="F129" s="338"/>
      <c r="G129" s="338"/>
      <c r="H129" s="338"/>
      <c r="I129" s="338"/>
      <c r="J129" s="338"/>
      <c r="K129" s="338"/>
      <c r="L129" s="338"/>
      <c r="M129" s="338"/>
      <c r="N129" s="338"/>
      <c r="O129" s="338"/>
    </row>
    <row r="130" spans="2:15">
      <c r="B130" s="338"/>
      <c r="C130" s="338"/>
      <c r="D130" s="338"/>
      <c r="E130" s="338"/>
      <c r="F130" s="338"/>
      <c r="G130" s="338"/>
      <c r="H130" s="338"/>
      <c r="I130" s="338"/>
      <c r="J130" s="338"/>
      <c r="K130" s="338"/>
      <c r="L130" s="338"/>
      <c r="M130" s="338"/>
      <c r="N130" s="338"/>
      <c r="O130" s="338"/>
    </row>
    <row r="131" spans="2:15">
      <c r="B131" s="338"/>
      <c r="C131" s="338"/>
      <c r="D131" s="338"/>
      <c r="E131" s="338"/>
      <c r="F131" s="338"/>
      <c r="G131" s="338"/>
      <c r="H131" s="338"/>
      <c r="I131" s="338"/>
      <c r="J131" s="338"/>
      <c r="K131" s="338"/>
      <c r="L131" s="338"/>
      <c r="M131" s="338"/>
      <c r="N131" s="338"/>
      <c r="O131" s="338"/>
    </row>
    <row r="132" spans="2:15">
      <c r="B132" s="338"/>
      <c r="C132" s="338"/>
      <c r="D132" s="338"/>
      <c r="E132" s="338"/>
      <c r="F132" s="338"/>
      <c r="G132" s="338"/>
      <c r="H132" s="338"/>
      <c r="I132" s="338"/>
      <c r="J132" s="338"/>
      <c r="K132" s="338"/>
      <c r="L132" s="338"/>
      <c r="M132" s="338"/>
      <c r="N132" s="338"/>
      <c r="O132" s="338"/>
    </row>
    <row r="133" spans="2:15">
      <c r="B133" s="338"/>
      <c r="C133" s="338"/>
      <c r="D133" s="338"/>
      <c r="E133" s="338"/>
      <c r="F133" s="338"/>
      <c r="G133" s="338"/>
      <c r="H133" s="338"/>
      <c r="I133" s="338"/>
      <c r="J133" s="338"/>
      <c r="K133" s="338"/>
      <c r="L133" s="338"/>
      <c r="M133" s="338"/>
      <c r="N133" s="338"/>
      <c r="O133" s="338"/>
    </row>
    <row r="134" spans="2:15">
      <c r="B134" s="338"/>
      <c r="C134" s="338"/>
      <c r="D134" s="338"/>
      <c r="E134" s="338"/>
      <c r="F134" s="338"/>
      <c r="G134" s="338"/>
      <c r="H134" s="338"/>
      <c r="I134" s="338"/>
      <c r="J134" s="338"/>
      <c r="K134" s="338"/>
      <c r="L134" s="338"/>
      <c r="M134" s="338"/>
      <c r="N134" s="338"/>
      <c r="O134" s="338"/>
    </row>
    <row r="135" spans="2:15">
      <c r="B135" s="338"/>
      <c r="C135" s="338"/>
      <c r="D135" s="338"/>
      <c r="E135" s="338"/>
      <c r="F135" s="338"/>
      <c r="G135" s="338"/>
      <c r="H135" s="338"/>
      <c r="I135" s="338"/>
      <c r="J135" s="338"/>
      <c r="K135" s="338"/>
      <c r="L135" s="338"/>
      <c r="M135" s="338"/>
      <c r="N135" s="338"/>
      <c r="O135" s="338"/>
    </row>
    <row r="136" spans="2:15">
      <c r="B136" s="338"/>
      <c r="C136" s="338"/>
      <c r="D136" s="338"/>
      <c r="E136" s="338"/>
      <c r="F136" s="338"/>
      <c r="G136" s="338"/>
      <c r="H136" s="338"/>
      <c r="I136" s="338"/>
      <c r="J136" s="338"/>
      <c r="K136" s="338"/>
      <c r="L136" s="338"/>
      <c r="M136" s="338"/>
      <c r="N136" s="338"/>
      <c r="O136" s="338"/>
    </row>
    <row r="137" spans="2:15">
      <c r="B137" s="338"/>
      <c r="C137" s="338"/>
      <c r="D137" s="338"/>
      <c r="E137" s="338"/>
      <c r="F137" s="338"/>
      <c r="G137" s="338"/>
      <c r="H137" s="338"/>
      <c r="I137" s="338"/>
      <c r="J137" s="338"/>
      <c r="K137" s="338"/>
      <c r="L137" s="338"/>
      <c r="M137" s="338"/>
      <c r="N137" s="338"/>
      <c r="O137" s="338"/>
    </row>
    <row r="138" spans="2:15">
      <c r="B138" s="338"/>
      <c r="C138" s="338"/>
      <c r="D138" s="338"/>
      <c r="E138" s="338"/>
      <c r="F138" s="338"/>
      <c r="G138" s="338"/>
      <c r="H138" s="338"/>
      <c r="I138" s="338"/>
      <c r="J138" s="338"/>
      <c r="K138" s="338"/>
      <c r="L138" s="338"/>
      <c r="M138" s="338"/>
      <c r="N138" s="338"/>
      <c r="O138" s="338"/>
    </row>
    <row r="139" spans="2:15">
      <c r="B139" s="338"/>
      <c r="C139" s="338"/>
      <c r="D139" s="338"/>
      <c r="E139" s="338"/>
      <c r="F139" s="338"/>
      <c r="G139" s="338"/>
      <c r="H139" s="338"/>
      <c r="I139" s="338"/>
      <c r="J139" s="338"/>
      <c r="K139" s="338"/>
      <c r="L139" s="338"/>
      <c r="M139" s="338"/>
      <c r="N139" s="338"/>
      <c r="O139" s="338"/>
    </row>
    <row r="140" spans="2:15">
      <c r="B140" s="338"/>
      <c r="C140" s="338"/>
      <c r="D140" s="338"/>
      <c r="E140" s="338"/>
      <c r="F140" s="338"/>
      <c r="G140" s="338"/>
      <c r="H140" s="338"/>
      <c r="I140" s="338"/>
      <c r="J140" s="338"/>
      <c r="K140" s="338"/>
      <c r="L140" s="338"/>
      <c r="M140" s="338"/>
      <c r="N140" s="338"/>
      <c r="O140" s="338"/>
    </row>
    <row r="141" spans="2:15">
      <c r="B141" s="338"/>
      <c r="C141" s="338"/>
      <c r="D141" s="338"/>
      <c r="E141" s="338"/>
      <c r="F141" s="338"/>
      <c r="G141" s="338"/>
      <c r="H141" s="338"/>
      <c r="I141" s="338"/>
      <c r="J141" s="338"/>
      <c r="K141" s="338"/>
      <c r="L141" s="338"/>
      <c r="M141" s="338"/>
      <c r="N141" s="338"/>
      <c r="O141" s="338"/>
    </row>
    <row r="142" spans="2:15">
      <c r="B142" s="338"/>
      <c r="C142" s="338"/>
      <c r="D142" s="338"/>
      <c r="E142" s="338"/>
      <c r="F142" s="338"/>
      <c r="G142" s="338"/>
      <c r="H142" s="338"/>
      <c r="I142" s="338"/>
      <c r="J142" s="338"/>
      <c r="K142" s="338"/>
      <c r="L142" s="338"/>
      <c r="M142" s="338"/>
      <c r="N142" s="338"/>
      <c r="O142" s="338"/>
    </row>
    <row r="143" spans="2:15">
      <c r="B143" s="338"/>
      <c r="C143" s="338"/>
      <c r="D143" s="338"/>
      <c r="E143" s="338"/>
      <c r="F143" s="338"/>
      <c r="G143" s="338"/>
      <c r="H143" s="338"/>
      <c r="I143" s="338"/>
      <c r="J143" s="338"/>
      <c r="K143" s="338"/>
      <c r="L143" s="338"/>
      <c r="M143" s="338"/>
      <c r="N143" s="338"/>
      <c r="O143" s="338"/>
    </row>
    <row r="144" spans="2:15">
      <c r="B144" s="338"/>
      <c r="C144" s="338"/>
      <c r="D144" s="338"/>
      <c r="E144" s="338"/>
      <c r="F144" s="338"/>
      <c r="G144" s="338"/>
      <c r="H144" s="338"/>
      <c r="I144" s="338"/>
      <c r="J144" s="338"/>
      <c r="K144" s="338"/>
      <c r="L144" s="338"/>
      <c r="M144" s="338"/>
      <c r="N144" s="338"/>
      <c r="O144" s="338"/>
    </row>
    <row r="145" spans="2:15">
      <c r="B145" s="338"/>
      <c r="C145" s="338"/>
      <c r="D145" s="338"/>
      <c r="E145" s="338"/>
      <c r="F145" s="338"/>
      <c r="G145" s="338"/>
      <c r="H145" s="338"/>
      <c r="I145" s="338"/>
      <c r="J145" s="338"/>
      <c r="K145" s="338"/>
      <c r="L145" s="338"/>
      <c r="M145" s="338"/>
      <c r="N145" s="338"/>
      <c r="O145" s="338"/>
    </row>
    <row r="146" spans="2:15">
      <c r="B146" s="338"/>
      <c r="C146" s="338"/>
      <c r="D146" s="338"/>
      <c r="E146" s="338"/>
      <c r="F146" s="338"/>
      <c r="G146" s="338"/>
      <c r="H146" s="338"/>
      <c r="I146" s="338"/>
      <c r="J146" s="338"/>
      <c r="K146" s="338"/>
      <c r="L146" s="338"/>
      <c r="M146" s="338"/>
      <c r="N146" s="338"/>
      <c r="O146" s="338"/>
    </row>
    <row r="147" spans="2:15">
      <c r="B147" s="338"/>
      <c r="C147" s="338"/>
      <c r="D147" s="338"/>
      <c r="E147" s="338"/>
      <c r="F147" s="338"/>
      <c r="G147" s="338"/>
      <c r="H147" s="338"/>
      <c r="I147" s="338"/>
      <c r="J147" s="338"/>
      <c r="K147" s="338"/>
      <c r="L147" s="338"/>
      <c r="M147" s="338"/>
      <c r="N147" s="338"/>
      <c r="O147" s="338"/>
    </row>
    <row r="148" spans="2:15">
      <c r="B148" s="338"/>
      <c r="C148" s="338"/>
      <c r="D148" s="338"/>
      <c r="E148" s="338"/>
      <c r="F148" s="338"/>
      <c r="G148" s="338"/>
      <c r="H148" s="338"/>
      <c r="I148" s="338"/>
      <c r="J148" s="338"/>
      <c r="K148" s="338"/>
      <c r="L148" s="338"/>
      <c r="M148" s="338"/>
      <c r="N148" s="338"/>
      <c r="O148" s="338"/>
    </row>
    <row r="149" spans="2:15">
      <c r="B149" s="338"/>
      <c r="C149" s="338"/>
      <c r="D149" s="338"/>
      <c r="E149" s="338"/>
      <c r="F149" s="338"/>
      <c r="G149" s="338"/>
      <c r="H149" s="338"/>
      <c r="I149" s="338"/>
      <c r="J149" s="338"/>
      <c r="K149" s="338"/>
      <c r="L149" s="338"/>
      <c r="M149" s="338"/>
      <c r="N149" s="338"/>
      <c r="O149" s="338"/>
    </row>
    <row r="150" spans="2:15">
      <c r="B150" s="338"/>
      <c r="C150" s="338"/>
      <c r="D150" s="338"/>
      <c r="E150" s="338"/>
      <c r="F150" s="338"/>
      <c r="G150" s="338"/>
      <c r="H150" s="338"/>
      <c r="I150" s="338"/>
      <c r="J150" s="338"/>
      <c r="K150" s="338"/>
      <c r="L150" s="338"/>
      <c r="M150" s="338"/>
      <c r="N150" s="338"/>
      <c r="O150" s="338"/>
    </row>
    <row r="151" spans="2:15">
      <c r="B151" s="338"/>
      <c r="C151" s="338"/>
      <c r="D151" s="338"/>
      <c r="E151" s="338"/>
      <c r="F151" s="338"/>
      <c r="G151" s="338"/>
      <c r="H151" s="338"/>
      <c r="I151" s="338"/>
      <c r="J151" s="338"/>
      <c r="K151" s="338"/>
      <c r="L151" s="338"/>
      <c r="M151" s="338"/>
      <c r="N151" s="338"/>
      <c r="O151" s="338"/>
    </row>
    <row r="152" spans="2:15">
      <c r="B152" s="338"/>
      <c r="C152" s="338"/>
      <c r="D152" s="338"/>
      <c r="E152" s="338"/>
      <c r="F152" s="338"/>
      <c r="G152" s="338"/>
      <c r="H152" s="338"/>
      <c r="I152" s="338"/>
      <c r="J152" s="338"/>
      <c r="K152" s="338"/>
      <c r="L152" s="338"/>
      <c r="M152" s="338"/>
      <c r="N152" s="338"/>
      <c r="O152" s="338"/>
    </row>
    <row r="153" spans="2:15">
      <c r="B153" s="338"/>
      <c r="C153" s="338"/>
      <c r="D153" s="338"/>
      <c r="E153" s="338"/>
      <c r="F153" s="338"/>
      <c r="G153" s="338"/>
      <c r="H153" s="338"/>
      <c r="I153" s="338"/>
      <c r="J153" s="338"/>
      <c r="K153" s="338"/>
      <c r="L153" s="338"/>
      <c r="M153" s="338"/>
      <c r="N153" s="338"/>
      <c r="O153" s="338"/>
    </row>
    <row r="154" spans="2:15">
      <c r="B154" s="338"/>
      <c r="C154" s="338"/>
      <c r="D154" s="338"/>
      <c r="E154" s="338"/>
      <c r="F154" s="338"/>
      <c r="G154" s="338"/>
      <c r="H154" s="338"/>
      <c r="I154" s="338"/>
      <c r="J154" s="338"/>
      <c r="K154" s="338"/>
      <c r="L154" s="338"/>
      <c r="M154" s="338"/>
      <c r="N154" s="338"/>
      <c r="O154" s="338"/>
    </row>
    <row r="155" spans="2:15">
      <c r="B155" s="338"/>
      <c r="C155" s="338"/>
      <c r="D155" s="338"/>
      <c r="E155" s="338"/>
      <c r="F155" s="338"/>
      <c r="G155" s="338"/>
      <c r="H155" s="338"/>
      <c r="I155" s="338"/>
      <c r="J155" s="338"/>
      <c r="K155" s="338"/>
      <c r="L155" s="338"/>
      <c r="M155" s="338"/>
      <c r="N155" s="338"/>
      <c r="O155" s="338"/>
    </row>
    <row r="156" spans="2:15">
      <c r="B156" s="338"/>
      <c r="C156" s="338"/>
      <c r="D156" s="338"/>
      <c r="E156" s="338"/>
      <c r="F156" s="338"/>
      <c r="G156" s="338"/>
      <c r="H156" s="338"/>
      <c r="I156" s="338"/>
      <c r="J156" s="338"/>
      <c r="K156" s="338"/>
      <c r="L156" s="338"/>
      <c r="M156" s="338"/>
      <c r="N156" s="338"/>
      <c r="O156" s="338"/>
    </row>
    <row r="157" spans="2:15">
      <c r="B157" s="338"/>
      <c r="C157" s="338"/>
      <c r="D157" s="338"/>
      <c r="E157" s="338"/>
      <c r="F157" s="338"/>
      <c r="G157" s="338"/>
      <c r="H157" s="338"/>
      <c r="I157" s="338"/>
      <c r="J157" s="338"/>
      <c r="K157" s="338"/>
      <c r="L157" s="338"/>
      <c r="M157" s="338"/>
      <c r="N157" s="338"/>
      <c r="O157" s="338"/>
    </row>
    <row r="158" spans="2:15">
      <c r="B158" s="338"/>
      <c r="C158" s="338"/>
      <c r="D158" s="338"/>
      <c r="E158" s="338"/>
      <c r="F158" s="338"/>
      <c r="G158" s="338"/>
      <c r="H158" s="338"/>
      <c r="I158" s="338"/>
      <c r="J158" s="338"/>
      <c r="K158" s="338"/>
      <c r="L158" s="338"/>
      <c r="M158" s="338"/>
      <c r="N158" s="338"/>
      <c r="O158" s="338"/>
    </row>
    <row r="159" spans="2:15">
      <c r="B159" s="338"/>
      <c r="C159" s="338"/>
      <c r="D159" s="338"/>
      <c r="E159" s="338"/>
      <c r="F159" s="338"/>
      <c r="G159" s="338"/>
      <c r="H159" s="338"/>
      <c r="I159" s="338"/>
      <c r="J159" s="338"/>
      <c r="K159" s="338"/>
      <c r="L159" s="338"/>
      <c r="M159" s="338"/>
      <c r="N159" s="338"/>
      <c r="O159" s="338"/>
    </row>
    <row r="160" spans="2:15">
      <c r="B160" s="338"/>
      <c r="C160" s="338"/>
      <c r="D160" s="338"/>
      <c r="E160" s="338"/>
      <c r="F160" s="338"/>
      <c r="G160" s="338"/>
      <c r="H160" s="338"/>
      <c r="I160" s="338"/>
      <c r="J160" s="338"/>
      <c r="K160" s="338"/>
      <c r="L160" s="338"/>
      <c r="M160" s="338"/>
      <c r="N160" s="338"/>
      <c r="O160" s="338"/>
    </row>
    <row r="161" spans="2:15">
      <c r="B161" s="338"/>
      <c r="C161" s="338"/>
      <c r="D161" s="338"/>
      <c r="E161" s="338"/>
      <c r="F161" s="338"/>
      <c r="G161" s="338"/>
      <c r="H161" s="338"/>
      <c r="I161" s="338"/>
      <c r="J161" s="338"/>
      <c r="K161" s="338"/>
      <c r="L161" s="338"/>
      <c r="M161" s="338"/>
      <c r="N161" s="338"/>
      <c r="O161" s="338"/>
    </row>
    <row r="162" spans="2:15">
      <c r="B162" s="338"/>
      <c r="C162" s="338"/>
      <c r="D162" s="338"/>
      <c r="E162" s="338"/>
      <c r="F162" s="338"/>
      <c r="G162" s="338"/>
      <c r="H162" s="338"/>
      <c r="I162" s="338"/>
      <c r="J162" s="338"/>
      <c r="K162" s="338"/>
      <c r="L162" s="338"/>
      <c r="M162" s="338"/>
      <c r="N162" s="338"/>
      <c r="O162" s="338"/>
    </row>
    <row r="163" spans="2:15">
      <c r="B163" s="338"/>
      <c r="C163" s="338"/>
      <c r="D163" s="338"/>
      <c r="E163" s="338"/>
      <c r="F163" s="338"/>
      <c r="G163" s="338"/>
      <c r="H163" s="338"/>
      <c r="I163" s="338"/>
      <c r="J163" s="338"/>
      <c r="K163" s="338"/>
      <c r="L163" s="338"/>
      <c r="M163" s="338"/>
      <c r="N163" s="338"/>
      <c r="O163" s="338"/>
    </row>
    <row r="164" spans="2:15">
      <c r="B164" s="338"/>
      <c r="C164" s="338"/>
      <c r="D164" s="338"/>
      <c r="E164" s="338"/>
      <c r="F164" s="338"/>
      <c r="G164" s="338"/>
      <c r="H164" s="338"/>
      <c r="I164" s="338"/>
      <c r="J164" s="338"/>
      <c r="K164" s="338"/>
      <c r="L164" s="338"/>
      <c r="M164" s="338"/>
      <c r="N164" s="338"/>
      <c r="O164" s="338"/>
    </row>
    <row r="165" spans="2:15">
      <c r="B165" s="338"/>
      <c r="C165" s="338"/>
      <c r="D165" s="338"/>
      <c r="E165" s="338"/>
      <c r="F165" s="338"/>
      <c r="G165" s="338"/>
      <c r="H165" s="338"/>
      <c r="I165" s="338"/>
      <c r="J165" s="338"/>
      <c r="K165" s="338"/>
      <c r="L165" s="338"/>
      <c r="M165" s="338"/>
      <c r="N165" s="338"/>
      <c r="O165" s="338"/>
    </row>
    <row r="166" spans="2:15">
      <c r="B166" s="338"/>
      <c r="C166" s="338"/>
      <c r="D166" s="338"/>
      <c r="E166" s="338"/>
      <c r="F166" s="338"/>
      <c r="G166" s="338"/>
      <c r="H166" s="338"/>
      <c r="I166" s="338"/>
      <c r="J166" s="338"/>
      <c r="K166" s="338"/>
      <c r="L166" s="338"/>
      <c r="M166" s="338"/>
      <c r="N166" s="338"/>
      <c r="O166" s="338"/>
    </row>
    <row r="167" spans="2:15">
      <c r="B167" s="338"/>
      <c r="C167" s="338"/>
      <c r="D167" s="338"/>
      <c r="E167" s="338"/>
      <c r="F167" s="338"/>
      <c r="G167" s="338"/>
      <c r="H167" s="338"/>
      <c r="I167" s="338"/>
      <c r="J167" s="338"/>
      <c r="K167" s="338"/>
      <c r="L167" s="338"/>
      <c r="M167" s="338"/>
      <c r="N167" s="338"/>
      <c r="O167" s="338"/>
    </row>
    <row r="168" spans="2:15">
      <c r="B168" s="338"/>
      <c r="C168" s="338"/>
      <c r="D168" s="338"/>
      <c r="E168" s="338"/>
      <c r="F168" s="338"/>
      <c r="G168" s="338"/>
      <c r="H168" s="338"/>
      <c r="I168" s="338"/>
      <c r="J168" s="338"/>
      <c r="K168" s="338"/>
      <c r="L168" s="338"/>
      <c r="M168" s="338"/>
      <c r="N168" s="338"/>
      <c r="O168" s="338"/>
    </row>
    <row r="169" spans="2:15">
      <c r="B169" s="338"/>
      <c r="C169" s="338"/>
      <c r="D169" s="338"/>
      <c r="E169" s="338"/>
      <c r="F169" s="338"/>
      <c r="G169" s="338"/>
      <c r="H169" s="338"/>
      <c r="I169" s="338"/>
      <c r="J169" s="338"/>
      <c r="K169" s="338"/>
      <c r="L169" s="338"/>
      <c r="M169" s="338"/>
      <c r="N169" s="338"/>
      <c r="O169" s="338"/>
    </row>
    <row r="170" spans="2:15">
      <c r="B170" s="338"/>
      <c r="C170" s="338"/>
      <c r="D170" s="338"/>
      <c r="E170" s="338"/>
      <c r="F170" s="338"/>
      <c r="G170" s="338"/>
      <c r="H170" s="338"/>
      <c r="I170" s="338"/>
      <c r="J170" s="338"/>
      <c r="K170" s="338"/>
      <c r="L170" s="338"/>
      <c r="M170" s="338"/>
      <c r="N170" s="338"/>
      <c r="O170" s="338"/>
    </row>
    <row r="171" spans="2:15">
      <c r="B171" s="338"/>
      <c r="C171" s="338"/>
      <c r="D171" s="338"/>
      <c r="E171" s="338"/>
      <c r="F171" s="338"/>
      <c r="G171" s="338"/>
      <c r="H171" s="338"/>
      <c r="I171" s="338"/>
      <c r="J171" s="338"/>
      <c r="K171" s="338"/>
      <c r="L171" s="338"/>
      <c r="M171" s="338"/>
      <c r="N171" s="338"/>
      <c r="O171" s="338"/>
    </row>
    <row r="172" spans="2:15">
      <c r="B172" s="338"/>
      <c r="C172" s="338"/>
      <c r="D172" s="338"/>
      <c r="E172" s="338"/>
      <c r="F172" s="338"/>
      <c r="G172" s="338"/>
      <c r="H172" s="338"/>
      <c r="I172" s="338"/>
      <c r="J172" s="338"/>
      <c r="K172" s="338"/>
      <c r="L172" s="338"/>
      <c r="M172" s="338"/>
      <c r="N172" s="338"/>
      <c r="O172" s="338"/>
    </row>
    <row r="173" spans="2:15">
      <c r="B173" s="338"/>
      <c r="C173" s="338"/>
      <c r="D173" s="338"/>
      <c r="E173" s="338"/>
      <c r="F173" s="338"/>
      <c r="G173" s="338"/>
      <c r="H173" s="338"/>
      <c r="I173" s="338"/>
      <c r="J173" s="338"/>
      <c r="K173" s="338"/>
      <c r="L173" s="338"/>
      <c r="M173" s="338"/>
      <c r="N173" s="338"/>
      <c r="O173" s="338"/>
    </row>
    <row r="174" spans="2:15">
      <c r="B174" s="338"/>
      <c r="C174" s="338"/>
      <c r="D174" s="338"/>
      <c r="E174" s="338"/>
      <c r="F174" s="338"/>
      <c r="G174" s="338"/>
      <c r="H174" s="338"/>
      <c r="I174" s="338"/>
      <c r="J174" s="338"/>
      <c r="K174" s="338"/>
      <c r="L174" s="338"/>
      <c r="M174" s="338"/>
      <c r="N174" s="338"/>
      <c r="O174" s="338"/>
    </row>
    <row r="175" spans="2:15">
      <c r="B175" s="338"/>
      <c r="C175" s="338"/>
      <c r="D175" s="338"/>
      <c r="E175" s="338"/>
      <c r="F175" s="338"/>
      <c r="G175" s="338"/>
      <c r="H175" s="338"/>
      <c r="I175" s="338"/>
      <c r="J175" s="338"/>
      <c r="K175" s="338"/>
      <c r="L175" s="338"/>
      <c r="M175" s="338"/>
      <c r="N175" s="338"/>
      <c r="O175" s="338"/>
    </row>
    <row r="176" spans="2:15">
      <c r="B176" s="338"/>
      <c r="C176" s="338"/>
      <c r="D176" s="338"/>
      <c r="E176" s="338"/>
      <c r="F176" s="338"/>
      <c r="G176" s="338"/>
      <c r="H176" s="338"/>
      <c r="I176" s="338"/>
      <c r="J176" s="338"/>
      <c r="K176" s="338"/>
      <c r="L176" s="338"/>
      <c r="M176" s="338"/>
      <c r="N176" s="338"/>
      <c r="O176" s="338"/>
    </row>
    <row r="177" spans="2:15">
      <c r="B177" s="338"/>
      <c r="C177" s="338"/>
      <c r="D177" s="338"/>
      <c r="E177" s="338"/>
      <c r="F177" s="338"/>
      <c r="G177" s="338"/>
      <c r="H177" s="338"/>
      <c r="I177" s="338"/>
      <c r="J177" s="338"/>
      <c r="K177" s="338"/>
      <c r="L177" s="338"/>
      <c r="M177" s="338"/>
      <c r="N177" s="338"/>
      <c r="O177" s="338"/>
    </row>
    <row r="178" spans="2:15">
      <c r="B178" s="338"/>
      <c r="C178" s="338"/>
      <c r="D178" s="338"/>
      <c r="E178" s="338"/>
      <c r="F178" s="338"/>
      <c r="G178" s="338"/>
      <c r="H178" s="338"/>
      <c r="I178" s="338"/>
      <c r="J178" s="338"/>
      <c r="K178" s="338"/>
      <c r="L178" s="338"/>
      <c r="M178" s="338"/>
      <c r="N178" s="338"/>
      <c r="O178" s="338"/>
    </row>
    <row r="179" spans="2:15">
      <c r="B179" s="338"/>
      <c r="C179" s="338"/>
      <c r="D179" s="338"/>
      <c r="E179" s="338"/>
      <c r="F179" s="338"/>
      <c r="G179" s="338"/>
      <c r="H179" s="338"/>
      <c r="I179" s="338"/>
      <c r="J179" s="338"/>
      <c r="K179" s="338"/>
      <c r="L179" s="338"/>
      <c r="M179" s="338"/>
      <c r="N179" s="338"/>
      <c r="O179" s="338"/>
    </row>
    <row r="180" spans="2:15">
      <c r="B180" s="338"/>
      <c r="C180" s="338"/>
      <c r="D180" s="338"/>
      <c r="E180" s="338"/>
      <c r="F180" s="338"/>
      <c r="G180" s="338"/>
      <c r="H180" s="338"/>
      <c r="I180" s="338"/>
      <c r="J180" s="338"/>
      <c r="K180" s="338"/>
      <c r="L180" s="338"/>
      <c r="M180" s="338"/>
      <c r="N180" s="338"/>
      <c r="O180" s="338"/>
    </row>
    <row r="181" spans="2:15">
      <c r="B181" s="338"/>
      <c r="C181" s="338"/>
      <c r="D181" s="338"/>
      <c r="E181" s="338"/>
      <c r="F181" s="338"/>
      <c r="G181" s="338"/>
      <c r="H181" s="338"/>
      <c r="I181" s="338"/>
      <c r="J181" s="338"/>
      <c r="K181" s="338"/>
      <c r="L181" s="338"/>
      <c r="M181" s="338"/>
      <c r="N181" s="338"/>
      <c r="O181" s="338"/>
    </row>
    <row r="182" spans="2:15">
      <c r="B182" s="338"/>
      <c r="C182" s="338"/>
      <c r="D182" s="338"/>
      <c r="E182" s="338"/>
      <c r="F182" s="338"/>
      <c r="G182" s="338"/>
      <c r="H182" s="338"/>
      <c r="I182" s="338"/>
      <c r="J182" s="338"/>
      <c r="K182" s="338"/>
      <c r="L182" s="338"/>
      <c r="M182" s="338"/>
      <c r="N182" s="338"/>
      <c r="O182" s="338"/>
    </row>
    <row r="183" spans="2:15">
      <c r="B183" s="338"/>
      <c r="C183" s="338"/>
      <c r="D183" s="338"/>
      <c r="E183" s="338"/>
      <c r="F183" s="338"/>
      <c r="G183" s="338"/>
      <c r="H183" s="338"/>
      <c r="I183" s="338"/>
      <c r="J183" s="338"/>
      <c r="K183" s="338"/>
      <c r="L183" s="338"/>
      <c r="M183" s="338"/>
      <c r="N183" s="338"/>
      <c r="O183" s="338"/>
    </row>
    <row r="184" spans="2:15">
      <c r="B184" s="338"/>
      <c r="C184" s="338"/>
      <c r="D184" s="338"/>
      <c r="E184" s="338"/>
      <c r="F184" s="338"/>
      <c r="G184" s="338"/>
      <c r="H184" s="338"/>
      <c r="I184" s="338"/>
      <c r="J184" s="338"/>
      <c r="K184" s="338"/>
      <c r="L184" s="338"/>
      <c r="M184" s="338"/>
      <c r="N184" s="338"/>
      <c r="O184" s="338"/>
    </row>
    <row r="185" spans="2:15">
      <c r="B185" s="338"/>
      <c r="C185" s="338"/>
      <c r="D185" s="338"/>
      <c r="E185" s="338"/>
      <c r="F185" s="338"/>
      <c r="G185" s="338"/>
      <c r="H185" s="338"/>
      <c r="I185" s="338"/>
      <c r="J185" s="338"/>
      <c r="K185" s="338"/>
      <c r="L185" s="338"/>
      <c r="M185" s="338"/>
      <c r="N185" s="338"/>
      <c r="O185" s="338"/>
    </row>
    <row r="186" spans="2:15">
      <c r="B186" s="338"/>
      <c r="C186" s="338"/>
      <c r="D186" s="338"/>
      <c r="E186" s="338"/>
      <c r="F186" s="338"/>
      <c r="G186" s="338"/>
      <c r="H186" s="338"/>
      <c r="I186" s="338"/>
      <c r="J186" s="338"/>
      <c r="K186" s="338"/>
      <c r="L186" s="338"/>
      <c r="M186" s="338"/>
      <c r="N186" s="338"/>
      <c r="O186" s="338"/>
    </row>
    <row r="187" spans="2:15">
      <c r="B187" s="338"/>
      <c r="C187" s="338"/>
      <c r="D187" s="338"/>
      <c r="E187" s="338"/>
      <c r="F187" s="338"/>
      <c r="G187" s="338"/>
      <c r="H187" s="338"/>
      <c r="I187" s="338"/>
      <c r="J187" s="338"/>
      <c r="K187" s="338"/>
      <c r="L187" s="338"/>
      <c r="M187" s="338"/>
      <c r="N187" s="338"/>
      <c r="O187" s="338"/>
    </row>
    <row r="188" spans="2:15">
      <c r="B188" s="338"/>
      <c r="C188" s="338"/>
      <c r="D188" s="338"/>
      <c r="E188" s="338"/>
      <c r="F188" s="338"/>
      <c r="G188" s="338"/>
      <c r="H188" s="338"/>
      <c r="I188" s="338"/>
      <c r="J188" s="338"/>
      <c r="K188" s="338"/>
      <c r="L188" s="338"/>
      <c r="M188" s="338"/>
      <c r="N188" s="338"/>
      <c r="O188" s="338"/>
    </row>
    <row r="189" spans="2:15">
      <c r="B189" s="338"/>
      <c r="C189" s="338"/>
      <c r="D189" s="338"/>
      <c r="E189" s="338"/>
      <c r="F189" s="338"/>
      <c r="G189" s="338"/>
      <c r="H189" s="338"/>
      <c r="I189" s="338"/>
      <c r="J189" s="338"/>
      <c r="K189" s="338"/>
      <c r="L189" s="338"/>
      <c r="M189" s="338"/>
      <c r="N189" s="338"/>
      <c r="O189" s="338"/>
    </row>
    <row r="190" spans="2:15">
      <c r="B190" s="338"/>
      <c r="C190" s="338"/>
      <c r="D190" s="338"/>
      <c r="E190" s="338"/>
      <c r="F190" s="338"/>
      <c r="G190" s="338"/>
      <c r="H190" s="338"/>
      <c r="I190" s="338"/>
      <c r="J190" s="338"/>
      <c r="K190" s="338"/>
      <c r="L190" s="338"/>
      <c r="M190" s="338"/>
      <c r="N190" s="338"/>
      <c r="O190" s="338"/>
    </row>
    <row r="191" spans="2:15">
      <c r="B191" s="338"/>
      <c r="C191" s="338"/>
      <c r="D191" s="338"/>
      <c r="E191" s="338"/>
      <c r="F191" s="338"/>
      <c r="G191" s="338"/>
      <c r="H191" s="338"/>
      <c r="I191" s="338"/>
      <c r="J191" s="338"/>
      <c r="K191" s="338"/>
      <c r="L191" s="338"/>
      <c r="M191" s="338"/>
      <c r="N191" s="338"/>
      <c r="O191" s="338"/>
    </row>
    <row r="192" spans="2:15">
      <c r="B192" s="338"/>
      <c r="C192" s="338"/>
      <c r="D192" s="338"/>
      <c r="E192" s="338"/>
      <c r="F192" s="338"/>
      <c r="G192" s="338"/>
      <c r="H192" s="338"/>
      <c r="I192" s="338"/>
      <c r="J192" s="338"/>
      <c r="K192" s="338"/>
      <c r="L192" s="338"/>
      <c r="M192" s="338"/>
      <c r="N192" s="338"/>
      <c r="O192" s="338"/>
    </row>
    <row r="193" spans="2:15">
      <c r="B193" s="338"/>
      <c r="C193" s="338"/>
      <c r="D193" s="338"/>
      <c r="E193" s="338"/>
      <c r="F193" s="338"/>
      <c r="G193" s="338"/>
      <c r="H193" s="338"/>
      <c r="I193" s="338"/>
      <c r="J193" s="338"/>
      <c r="K193" s="338"/>
      <c r="L193" s="338"/>
      <c r="M193" s="338"/>
      <c r="N193" s="338"/>
      <c r="O193" s="338"/>
    </row>
    <row r="194" spans="2:15">
      <c r="B194" s="338"/>
      <c r="C194" s="338"/>
      <c r="D194" s="338"/>
      <c r="E194" s="338"/>
      <c r="F194" s="338"/>
      <c r="G194" s="338"/>
      <c r="H194" s="338"/>
      <c r="I194" s="338"/>
      <c r="J194" s="338"/>
      <c r="K194" s="338"/>
      <c r="L194" s="338"/>
      <c r="M194" s="338"/>
      <c r="N194" s="338"/>
      <c r="O194" s="338"/>
    </row>
    <row r="195" spans="2:15">
      <c r="B195" s="338"/>
      <c r="C195" s="338"/>
      <c r="D195" s="338"/>
      <c r="E195" s="338"/>
      <c r="F195" s="338"/>
      <c r="G195" s="338"/>
      <c r="H195" s="338"/>
      <c r="I195" s="338"/>
      <c r="J195" s="338"/>
      <c r="K195" s="338"/>
      <c r="L195" s="338"/>
      <c r="M195" s="338"/>
      <c r="N195" s="338"/>
      <c r="O195" s="338"/>
    </row>
    <row r="196" spans="2:15">
      <c r="B196" s="338"/>
      <c r="C196" s="338"/>
      <c r="D196" s="338"/>
      <c r="E196" s="338"/>
      <c r="F196" s="338"/>
      <c r="G196" s="338"/>
      <c r="H196" s="338"/>
      <c r="I196" s="338"/>
      <c r="J196" s="338"/>
      <c r="K196" s="338"/>
      <c r="L196" s="338"/>
      <c r="M196" s="338"/>
      <c r="N196" s="338"/>
      <c r="O196" s="338"/>
    </row>
    <row r="197" spans="2:15">
      <c r="B197" s="338"/>
      <c r="C197" s="338"/>
      <c r="D197" s="338"/>
      <c r="E197" s="338"/>
      <c r="F197" s="338"/>
      <c r="G197" s="338"/>
      <c r="H197" s="338"/>
      <c r="I197" s="338"/>
      <c r="J197" s="338"/>
      <c r="K197" s="338"/>
      <c r="L197" s="338"/>
      <c r="M197" s="338"/>
      <c r="N197" s="338"/>
      <c r="O197" s="338"/>
    </row>
    <row r="198" spans="2:15">
      <c r="B198" s="338"/>
      <c r="C198" s="338"/>
      <c r="D198" s="338"/>
      <c r="E198" s="338"/>
      <c r="F198" s="338"/>
      <c r="G198" s="338"/>
      <c r="H198" s="338"/>
      <c r="I198" s="338"/>
      <c r="J198" s="338"/>
      <c r="K198" s="338"/>
      <c r="L198" s="338"/>
      <c r="M198" s="338"/>
      <c r="N198" s="338"/>
      <c r="O198" s="338"/>
    </row>
    <row r="199" spans="2:15">
      <c r="B199" s="338"/>
      <c r="C199" s="338"/>
      <c r="D199" s="338"/>
      <c r="E199" s="338"/>
      <c r="F199" s="338"/>
      <c r="G199" s="338"/>
      <c r="H199" s="338"/>
      <c r="I199" s="338"/>
      <c r="J199" s="338"/>
      <c r="K199" s="338"/>
      <c r="L199" s="338"/>
      <c r="M199" s="338"/>
      <c r="N199" s="338"/>
      <c r="O199" s="338"/>
    </row>
    <row r="200" spans="2:15">
      <c r="B200" s="338"/>
      <c r="C200" s="338"/>
      <c r="D200" s="338"/>
      <c r="E200" s="338"/>
      <c r="F200" s="338"/>
      <c r="G200" s="338"/>
      <c r="H200" s="338"/>
      <c r="I200" s="338"/>
      <c r="J200" s="338"/>
      <c r="K200" s="338"/>
      <c r="L200" s="338"/>
      <c r="M200" s="338"/>
      <c r="N200" s="338"/>
      <c r="O200" s="338"/>
    </row>
    <row r="201" spans="2:15">
      <c r="B201" s="338"/>
      <c r="C201" s="338"/>
      <c r="D201" s="338"/>
      <c r="E201" s="338"/>
      <c r="F201" s="338"/>
      <c r="G201" s="338"/>
      <c r="H201" s="338"/>
      <c r="I201" s="338"/>
      <c r="J201" s="338"/>
      <c r="K201" s="338"/>
      <c r="L201" s="338"/>
      <c r="M201" s="338"/>
      <c r="N201" s="338"/>
      <c r="O201" s="338"/>
    </row>
    <row r="202" spans="2:15">
      <c r="B202" s="338"/>
      <c r="C202" s="338"/>
      <c r="D202" s="338"/>
      <c r="E202" s="338"/>
      <c r="F202" s="338"/>
      <c r="G202" s="338"/>
      <c r="H202" s="338"/>
      <c r="I202" s="338"/>
      <c r="J202" s="338"/>
      <c r="K202" s="338"/>
      <c r="L202" s="338"/>
      <c r="M202" s="338"/>
      <c r="N202" s="338"/>
      <c r="O202" s="338"/>
    </row>
    <row r="203" spans="2:15">
      <c r="B203" s="338"/>
      <c r="C203" s="338"/>
      <c r="D203" s="338"/>
      <c r="E203" s="338"/>
      <c r="F203" s="338"/>
      <c r="G203" s="338"/>
      <c r="H203" s="338"/>
      <c r="I203" s="338"/>
      <c r="J203" s="338"/>
      <c r="K203" s="338"/>
      <c r="L203" s="338"/>
      <c r="M203" s="338"/>
      <c r="N203" s="338"/>
      <c r="O203" s="338"/>
    </row>
    <row r="204" spans="2:15">
      <c r="B204" s="338"/>
      <c r="C204" s="338"/>
      <c r="D204" s="338"/>
      <c r="E204" s="338"/>
      <c r="F204" s="338"/>
      <c r="G204" s="338"/>
      <c r="H204" s="338"/>
      <c r="I204" s="338"/>
      <c r="J204" s="338"/>
      <c r="K204" s="338"/>
      <c r="L204" s="338"/>
      <c r="M204" s="338"/>
      <c r="N204" s="338"/>
      <c r="O204" s="338"/>
    </row>
    <row r="205" spans="2:15">
      <c r="B205" s="338"/>
      <c r="C205" s="338"/>
      <c r="D205" s="338"/>
      <c r="E205" s="338"/>
      <c r="F205" s="338"/>
      <c r="G205" s="338"/>
      <c r="H205" s="338"/>
      <c r="I205" s="338"/>
      <c r="J205" s="338"/>
      <c r="K205" s="338"/>
      <c r="L205" s="338"/>
      <c r="M205" s="338"/>
      <c r="N205" s="338"/>
      <c r="O205" s="338"/>
    </row>
    <row r="206" spans="2:15">
      <c r="B206" s="338"/>
      <c r="C206" s="338"/>
      <c r="D206" s="338"/>
      <c r="E206" s="338"/>
      <c r="F206" s="338"/>
      <c r="G206" s="338"/>
      <c r="H206" s="338"/>
      <c r="I206" s="338"/>
      <c r="J206" s="338"/>
      <c r="K206" s="338"/>
      <c r="L206" s="338"/>
      <c r="M206" s="338"/>
      <c r="N206" s="338"/>
      <c r="O206" s="338"/>
    </row>
    <row r="207" spans="2:15">
      <c r="B207" s="338"/>
      <c r="C207" s="338"/>
      <c r="D207" s="338"/>
      <c r="E207" s="338"/>
      <c r="F207" s="338"/>
      <c r="G207" s="338"/>
      <c r="H207" s="338"/>
      <c r="I207" s="338"/>
      <c r="J207" s="338"/>
      <c r="K207" s="338"/>
      <c r="L207" s="338"/>
      <c r="M207" s="338"/>
      <c r="N207" s="338"/>
      <c r="O207" s="338"/>
    </row>
    <row r="208" spans="2:15">
      <c r="B208" s="338"/>
      <c r="C208" s="338"/>
      <c r="D208" s="338"/>
      <c r="E208" s="338"/>
      <c r="F208" s="338"/>
      <c r="G208" s="338"/>
      <c r="H208" s="338"/>
      <c r="I208" s="338"/>
      <c r="J208" s="338"/>
      <c r="K208" s="338"/>
      <c r="L208" s="338"/>
      <c r="M208" s="338"/>
      <c r="N208" s="338"/>
      <c r="O208" s="338"/>
    </row>
    <row r="209" spans="2:15">
      <c r="B209" s="338"/>
      <c r="C209" s="338"/>
      <c r="D209" s="338"/>
      <c r="E209" s="338"/>
      <c r="F209" s="338"/>
      <c r="G209" s="338"/>
      <c r="H209" s="338"/>
      <c r="I209" s="338"/>
      <c r="J209" s="338"/>
      <c r="K209" s="338"/>
      <c r="L209" s="338"/>
      <c r="M209" s="338"/>
      <c r="N209" s="338"/>
      <c r="O209" s="338"/>
    </row>
    <row r="210" spans="2:15">
      <c r="B210" s="338"/>
      <c r="C210" s="338"/>
      <c r="D210" s="338"/>
      <c r="E210" s="338"/>
      <c r="F210" s="338"/>
      <c r="G210" s="338"/>
      <c r="H210" s="338"/>
      <c r="I210" s="338"/>
      <c r="J210" s="338"/>
      <c r="K210" s="338"/>
      <c r="L210" s="338"/>
      <c r="M210" s="338"/>
      <c r="N210" s="338"/>
      <c r="O210" s="338"/>
    </row>
    <row r="211" spans="2:15">
      <c r="B211" s="338"/>
      <c r="C211" s="338"/>
      <c r="D211" s="338"/>
      <c r="E211" s="338"/>
      <c r="F211" s="338"/>
      <c r="G211" s="338"/>
      <c r="H211" s="338"/>
      <c r="I211" s="338"/>
      <c r="J211" s="338"/>
      <c r="K211" s="338"/>
      <c r="L211" s="338"/>
      <c r="M211" s="338"/>
      <c r="N211" s="338"/>
      <c r="O211" s="338"/>
    </row>
    <row r="212" spans="2:15">
      <c r="B212" s="338"/>
      <c r="C212" s="338"/>
      <c r="D212" s="338"/>
      <c r="E212" s="338"/>
      <c r="F212" s="338"/>
      <c r="G212" s="338"/>
      <c r="H212" s="338"/>
      <c r="I212" s="338"/>
      <c r="J212" s="338"/>
      <c r="K212" s="338"/>
      <c r="L212" s="338"/>
      <c r="M212" s="338"/>
      <c r="N212" s="338"/>
      <c r="O212" s="338"/>
    </row>
    <row r="213" spans="2:15">
      <c r="B213" s="338"/>
      <c r="C213" s="338"/>
      <c r="D213" s="338"/>
      <c r="E213" s="338"/>
      <c r="F213" s="338"/>
      <c r="G213" s="338"/>
      <c r="H213" s="338"/>
      <c r="I213" s="338"/>
      <c r="J213" s="338"/>
      <c r="K213" s="338"/>
      <c r="L213" s="338"/>
      <c r="M213" s="338"/>
      <c r="N213" s="338"/>
      <c r="O213" s="338"/>
    </row>
    <row r="214" spans="2:15">
      <c r="B214" s="338"/>
      <c r="C214" s="338"/>
      <c r="D214" s="338"/>
      <c r="E214" s="338"/>
      <c r="F214" s="338"/>
      <c r="G214" s="338"/>
      <c r="H214" s="338"/>
      <c r="I214" s="338"/>
      <c r="J214" s="338"/>
      <c r="K214" s="338"/>
      <c r="L214" s="338"/>
      <c r="M214" s="338"/>
      <c r="N214" s="338"/>
      <c r="O214" s="338"/>
    </row>
    <row r="215" spans="2:15">
      <c r="B215" s="338"/>
      <c r="C215" s="338"/>
      <c r="D215" s="338"/>
      <c r="E215" s="338"/>
      <c r="F215" s="338"/>
      <c r="G215" s="338"/>
      <c r="H215" s="338"/>
      <c r="I215" s="338"/>
      <c r="J215" s="338"/>
      <c r="K215" s="338"/>
      <c r="L215" s="338"/>
      <c r="M215" s="338"/>
      <c r="N215" s="338"/>
      <c r="O215" s="338"/>
    </row>
    <row r="216" spans="2:15">
      <c r="B216" s="338"/>
      <c r="C216" s="338"/>
      <c r="D216" s="338"/>
      <c r="E216" s="338"/>
      <c r="F216" s="338"/>
      <c r="G216" s="338"/>
      <c r="H216" s="338"/>
      <c r="I216" s="338"/>
      <c r="J216" s="338"/>
      <c r="K216" s="338"/>
      <c r="L216" s="338"/>
      <c r="M216" s="338"/>
      <c r="N216" s="338"/>
      <c r="O216" s="338"/>
    </row>
    <row r="217" spans="2:15">
      <c r="B217" s="338"/>
      <c r="C217" s="338"/>
      <c r="D217" s="338"/>
      <c r="E217" s="338"/>
      <c r="F217" s="338"/>
      <c r="G217" s="338"/>
      <c r="H217" s="338"/>
      <c r="I217" s="338"/>
      <c r="J217" s="338"/>
      <c r="K217" s="338"/>
      <c r="L217" s="338"/>
      <c r="M217" s="338"/>
      <c r="N217" s="338"/>
      <c r="O217" s="338"/>
    </row>
    <row r="218" spans="2:15">
      <c r="B218" s="338"/>
      <c r="C218" s="338"/>
      <c r="D218" s="338"/>
      <c r="E218" s="338"/>
      <c r="F218" s="338"/>
      <c r="G218" s="338"/>
      <c r="H218" s="338"/>
      <c r="I218" s="338"/>
      <c r="J218" s="338"/>
      <c r="K218" s="338"/>
      <c r="L218" s="338"/>
      <c r="M218" s="338"/>
      <c r="N218" s="338"/>
      <c r="O218" s="338"/>
    </row>
    <row r="219" spans="2:15">
      <c r="B219" s="338"/>
      <c r="C219" s="338"/>
      <c r="D219" s="338"/>
      <c r="E219" s="338"/>
      <c r="F219" s="338"/>
      <c r="G219" s="338"/>
      <c r="H219" s="338"/>
      <c r="I219" s="338"/>
      <c r="J219" s="338"/>
      <c r="K219" s="338"/>
      <c r="L219" s="338"/>
      <c r="M219" s="338"/>
      <c r="N219" s="338"/>
      <c r="O219" s="338"/>
    </row>
    <row r="220" spans="2:15">
      <c r="B220" s="338"/>
      <c r="C220" s="338"/>
      <c r="D220" s="338"/>
      <c r="E220" s="338"/>
      <c r="F220" s="338"/>
      <c r="G220" s="338"/>
      <c r="H220" s="338"/>
      <c r="I220" s="338"/>
      <c r="J220" s="338"/>
      <c r="K220" s="338"/>
      <c r="L220" s="338"/>
      <c r="M220" s="338"/>
      <c r="N220" s="338"/>
      <c r="O220" s="338"/>
    </row>
    <row r="221" spans="2:15">
      <c r="B221" s="338"/>
      <c r="C221" s="338"/>
      <c r="D221" s="338"/>
      <c r="E221" s="338"/>
      <c r="F221" s="338"/>
      <c r="G221" s="338"/>
      <c r="H221" s="338"/>
      <c r="I221" s="338"/>
      <c r="J221" s="338"/>
      <c r="K221" s="338"/>
      <c r="L221" s="338"/>
      <c r="M221" s="338"/>
      <c r="N221" s="338"/>
      <c r="O221" s="338"/>
    </row>
    <row r="222" spans="2:15">
      <c r="B222" s="338"/>
      <c r="C222" s="338"/>
      <c r="D222" s="338"/>
      <c r="E222" s="338"/>
      <c r="F222" s="338"/>
      <c r="G222" s="338"/>
      <c r="H222" s="338"/>
      <c r="I222" s="338"/>
      <c r="J222" s="338"/>
      <c r="K222" s="338"/>
      <c r="L222" s="338"/>
      <c r="M222" s="338"/>
      <c r="N222" s="338"/>
      <c r="O222" s="338"/>
    </row>
    <row r="223" spans="2:15">
      <c r="B223" s="338"/>
      <c r="C223" s="338"/>
      <c r="D223" s="338"/>
      <c r="E223" s="338"/>
      <c r="F223" s="338"/>
      <c r="G223" s="338"/>
      <c r="H223" s="338"/>
      <c r="I223" s="338"/>
      <c r="J223" s="338"/>
      <c r="K223" s="338"/>
      <c r="L223" s="338"/>
      <c r="M223" s="338"/>
      <c r="N223" s="338"/>
      <c r="O223" s="338"/>
    </row>
    <row r="224" spans="2:15">
      <c r="B224" s="338"/>
      <c r="C224" s="338"/>
      <c r="D224" s="338"/>
      <c r="E224" s="338"/>
      <c r="F224" s="338"/>
      <c r="G224" s="338"/>
      <c r="H224" s="338"/>
      <c r="I224" s="338"/>
      <c r="J224" s="338"/>
      <c r="K224" s="338"/>
      <c r="L224" s="338"/>
      <c r="M224" s="338"/>
      <c r="N224" s="338"/>
      <c r="O224" s="338"/>
    </row>
    <row r="225" spans="2:15">
      <c r="B225" s="338"/>
      <c r="C225" s="338"/>
      <c r="D225" s="338"/>
      <c r="E225" s="338"/>
      <c r="F225" s="338"/>
      <c r="G225" s="338"/>
      <c r="H225" s="338"/>
      <c r="I225" s="338"/>
      <c r="J225" s="338"/>
      <c r="K225" s="338"/>
      <c r="L225" s="338"/>
      <c r="M225" s="338"/>
      <c r="N225" s="338"/>
      <c r="O225" s="338"/>
    </row>
    <row r="226" spans="2:15">
      <c r="B226" s="338"/>
      <c r="C226" s="338"/>
      <c r="D226" s="338"/>
      <c r="E226" s="338"/>
      <c r="F226" s="338"/>
      <c r="G226" s="338"/>
      <c r="H226" s="338"/>
      <c r="I226" s="338"/>
      <c r="J226" s="338"/>
      <c r="K226" s="338"/>
      <c r="L226" s="338"/>
      <c r="M226" s="338"/>
      <c r="N226" s="338"/>
      <c r="O226" s="338"/>
    </row>
    <row r="227" spans="2:15">
      <c r="B227" s="338"/>
      <c r="C227" s="338"/>
      <c r="D227" s="338"/>
      <c r="E227" s="338"/>
      <c r="F227" s="338"/>
      <c r="G227" s="338"/>
      <c r="H227" s="338"/>
      <c r="I227" s="338"/>
      <c r="J227" s="338"/>
      <c r="K227" s="338"/>
      <c r="L227" s="338"/>
      <c r="M227" s="338"/>
      <c r="N227" s="338"/>
      <c r="O227" s="338"/>
    </row>
    <row r="228" spans="2:15">
      <c r="B228" s="338"/>
      <c r="C228" s="338"/>
      <c r="D228" s="338"/>
      <c r="E228" s="338"/>
      <c r="F228" s="338"/>
      <c r="G228" s="338"/>
      <c r="H228" s="338"/>
      <c r="I228" s="338"/>
      <c r="J228" s="338"/>
      <c r="K228" s="338"/>
      <c r="L228" s="338"/>
      <c r="M228" s="338"/>
      <c r="N228" s="338"/>
      <c r="O228" s="338"/>
    </row>
    <row r="229" spans="2:15">
      <c r="B229" s="338"/>
      <c r="C229" s="338"/>
      <c r="D229" s="338"/>
      <c r="E229" s="338"/>
      <c r="F229" s="338"/>
      <c r="G229" s="338"/>
      <c r="H229" s="338"/>
      <c r="I229" s="338"/>
      <c r="J229" s="338"/>
      <c r="K229" s="338"/>
      <c r="L229" s="338"/>
      <c r="M229" s="338"/>
      <c r="N229" s="338"/>
      <c r="O229" s="338"/>
    </row>
    <row r="230" spans="2:15">
      <c r="B230" s="338"/>
      <c r="C230" s="338"/>
      <c r="D230" s="338"/>
      <c r="E230" s="338"/>
      <c r="F230" s="338"/>
      <c r="G230" s="338"/>
      <c r="H230" s="338"/>
      <c r="I230" s="338"/>
      <c r="J230" s="338"/>
      <c r="K230" s="338"/>
      <c r="L230" s="338"/>
      <c r="M230" s="338"/>
      <c r="N230" s="338"/>
      <c r="O230" s="338"/>
    </row>
    <row r="231" spans="2:15">
      <c r="B231" s="338"/>
      <c r="C231" s="338"/>
      <c r="D231" s="338"/>
      <c r="E231" s="338"/>
      <c r="F231" s="338"/>
      <c r="G231" s="338"/>
      <c r="H231" s="338"/>
      <c r="I231" s="338"/>
      <c r="J231" s="338"/>
      <c r="K231" s="338"/>
      <c r="L231" s="338"/>
      <c r="M231" s="338"/>
      <c r="N231" s="338"/>
      <c r="O231" s="338"/>
    </row>
    <row r="232" spans="2:15">
      <c r="B232" s="338"/>
      <c r="C232" s="338"/>
      <c r="D232" s="338"/>
      <c r="E232" s="338"/>
      <c r="F232" s="338"/>
      <c r="G232" s="338"/>
      <c r="H232" s="338"/>
      <c r="I232" s="338"/>
      <c r="J232" s="338"/>
      <c r="K232" s="338"/>
      <c r="L232" s="338"/>
      <c r="M232" s="338"/>
      <c r="N232" s="338"/>
      <c r="O232" s="338"/>
    </row>
    <row r="233" spans="2:15">
      <c r="B233" s="338"/>
      <c r="C233" s="338"/>
      <c r="D233" s="338"/>
      <c r="E233" s="338"/>
      <c r="F233" s="338"/>
      <c r="G233" s="338"/>
      <c r="H233" s="338"/>
      <c r="I233" s="338"/>
      <c r="J233" s="338"/>
      <c r="K233" s="338"/>
      <c r="L233" s="338"/>
      <c r="M233" s="338"/>
      <c r="N233" s="338"/>
      <c r="O233" s="338"/>
    </row>
    <row r="234" spans="2:15">
      <c r="B234" s="338"/>
      <c r="C234" s="338"/>
      <c r="D234" s="338"/>
      <c r="E234" s="338"/>
      <c r="F234" s="338"/>
      <c r="G234" s="338"/>
      <c r="H234" s="338"/>
      <c r="I234" s="338"/>
      <c r="J234" s="338"/>
      <c r="K234" s="338"/>
      <c r="L234" s="338"/>
      <c r="M234" s="338"/>
      <c r="N234" s="338"/>
      <c r="O234" s="338"/>
    </row>
    <row r="235" spans="2:15">
      <c r="B235" s="338"/>
      <c r="C235" s="338"/>
      <c r="D235" s="338"/>
      <c r="E235" s="338"/>
      <c r="F235" s="338"/>
      <c r="G235" s="338"/>
      <c r="H235" s="338"/>
      <c r="I235" s="338"/>
      <c r="J235" s="338"/>
      <c r="K235" s="338"/>
      <c r="L235" s="338"/>
      <c r="M235" s="338"/>
      <c r="N235" s="338"/>
      <c r="O235" s="338"/>
    </row>
    <row r="236" spans="2:15">
      <c r="B236" s="338"/>
      <c r="C236" s="338"/>
      <c r="D236" s="338"/>
      <c r="E236" s="338"/>
      <c r="F236" s="338"/>
      <c r="G236" s="338"/>
      <c r="H236" s="338"/>
      <c r="I236" s="338"/>
      <c r="J236" s="338"/>
      <c r="K236" s="338"/>
      <c r="L236" s="338"/>
      <c r="M236" s="338"/>
      <c r="N236" s="338"/>
      <c r="O236" s="338"/>
    </row>
    <row r="237" spans="2:15">
      <c r="B237" s="338"/>
      <c r="C237" s="338"/>
      <c r="D237" s="338"/>
      <c r="E237" s="338"/>
      <c r="F237" s="338"/>
      <c r="G237" s="338"/>
      <c r="H237" s="338"/>
      <c r="I237" s="338"/>
      <c r="J237" s="338"/>
      <c r="K237" s="338"/>
      <c r="L237" s="338"/>
      <c r="M237" s="338"/>
      <c r="N237" s="338"/>
      <c r="O237" s="338"/>
    </row>
    <row r="238" spans="2:15">
      <c r="B238" s="338"/>
      <c r="C238" s="338"/>
      <c r="D238" s="338"/>
      <c r="E238" s="338"/>
      <c r="F238" s="338"/>
      <c r="G238" s="338"/>
      <c r="H238" s="338"/>
      <c r="I238" s="338"/>
      <c r="J238" s="338"/>
      <c r="K238" s="338"/>
      <c r="L238" s="338"/>
      <c r="M238" s="338"/>
      <c r="N238" s="338"/>
      <c r="O238" s="338"/>
    </row>
    <row r="239" spans="2:15">
      <c r="B239" s="338"/>
      <c r="C239" s="338"/>
      <c r="D239" s="338"/>
      <c r="E239" s="338"/>
      <c r="F239" s="338"/>
      <c r="G239" s="338"/>
      <c r="H239" s="338"/>
      <c r="I239" s="338"/>
      <c r="J239" s="338"/>
      <c r="K239" s="338"/>
      <c r="L239" s="338"/>
      <c r="M239" s="338"/>
      <c r="N239" s="338"/>
      <c r="O239" s="338"/>
    </row>
    <row r="240" spans="2:15">
      <c r="B240" s="338"/>
      <c r="C240" s="338"/>
      <c r="D240" s="338"/>
      <c r="E240" s="338"/>
      <c r="F240" s="338"/>
      <c r="G240" s="338"/>
      <c r="H240" s="338"/>
      <c r="I240" s="338"/>
      <c r="J240" s="338"/>
      <c r="K240" s="338"/>
      <c r="L240" s="338"/>
      <c r="M240" s="338"/>
      <c r="N240" s="338"/>
      <c r="O240" s="338"/>
    </row>
    <row r="241" spans="2:15">
      <c r="B241" s="338"/>
      <c r="C241" s="338"/>
      <c r="D241" s="338"/>
      <c r="E241" s="338"/>
      <c r="F241" s="338"/>
      <c r="G241" s="338"/>
      <c r="H241" s="338"/>
      <c r="I241" s="338"/>
      <c r="J241" s="338"/>
      <c r="K241" s="338"/>
      <c r="L241" s="338"/>
      <c r="M241" s="338"/>
      <c r="N241" s="338"/>
      <c r="O241" s="338"/>
    </row>
    <row r="242" spans="2:15">
      <c r="B242" s="338"/>
      <c r="C242" s="338"/>
      <c r="D242" s="338"/>
      <c r="E242" s="338"/>
      <c r="F242" s="338"/>
      <c r="G242" s="338"/>
      <c r="H242" s="338"/>
      <c r="I242" s="338"/>
      <c r="J242" s="338"/>
      <c r="K242" s="338"/>
      <c r="L242" s="338"/>
      <c r="M242" s="338"/>
      <c r="N242" s="338"/>
      <c r="O242" s="338"/>
    </row>
    <row r="243" spans="2:15">
      <c r="B243" s="338"/>
      <c r="C243" s="338"/>
      <c r="D243" s="338"/>
      <c r="E243" s="338"/>
      <c r="F243" s="338"/>
      <c r="G243" s="338"/>
      <c r="H243" s="338"/>
      <c r="I243" s="338"/>
      <c r="J243" s="338"/>
      <c r="K243" s="338"/>
      <c r="L243" s="338"/>
      <c r="M243" s="338"/>
      <c r="N243" s="338"/>
      <c r="O243" s="338"/>
    </row>
    <row r="244" spans="2:15">
      <c r="B244" s="338"/>
      <c r="C244" s="338"/>
      <c r="D244" s="338"/>
      <c r="E244" s="338"/>
      <c r="F244" s="338"/>
      <c r="G244" s="338"/>
      <c r="H244" s="338"/>
      <c r="I244" s="338"/>
      <c r="J244" s="338"/>
      <c r="K244" s="338"/>
      <c r="L244" s="338"/>
      <c r="M244" s="338"/>
      <c r="N244" s="338"/>
      <c r="O244" s="338"/>
    </row>
    <row r="245" spans="2:15">
      <c r="B245" s="338"/>
      <c r="C245" s="338"/>
      <c r="D245" s="338"/>
      <c r="E245" s="338"/>
      <c r="F245" s="338"/>
      <c r="G245" s="338"/>
      <c r="H245" s="338"/>
      <c r="I245" s="338"/>
      <c r="J245" s="338"/>
      <c r="K245" s="338"/>
      <c r="L245" s="338"/>
      <c r="M245" s="338"/>
      <c r="N245" s="338"/>
      <c r="O245" s="338"/>
    </row>
    <row r="333" spans="3:3">
      <c r="C333" s="276">
        <f>SUM(C331:C332)</f>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47">
    <mergeCell ref="B101:M101"/>
    <mergeCell ref="B95:M95"/>
    <mergeCell ref="B92:M92"/>
    <mergeCell ref="B81:M81"/>
    <mergeCell ref="B56:M56"/>
    <mergeCell ref="B84:M84"/>
    <mergeCell ref="B87:M87"/>
    <mergeCell ref="B88:M88"/>
    <mergeCell ref="B91:M91"/>
    <mergeCell ref="B96:M96"/>
    <mergeCell ref="B99:M99"/>
    <mergeCell ref="B66:K66"/>
    <mergeCell ref="B80:K80"/>
    <mergeCell ref="B77:K77"/>
    <mergeCell ref="B76:M76"/>
    <mergeCell ref="B78:M78"/>
    <mergeCell ref="B3:T3"/>
    <mergeCell ref="B27:K27"/>
    <mergeCell ref="B15:M15"/>
    <mergeCell ref="B16:M16"/>
    <mergeCell ref="B10:M10"/>
    <mergeCell ref="B11:M11"/>
    <mergeCell ref="B12:M12"/>
    <mergeCell ref="B22:M22"/>
    <mergeCell ref="B23:M23"/>
    <mergeCell ref="B38:M38"/>
    <mergeCell ref="B39:M39"/>
    <mergeCell ref="B32:M32"/>
    <mergeCell ref="B4:M4"/>
    <mergeCell ref="B5:M5"/>
    <mergeCell ref="B6:M6"/>
    <mergeCell ref="B105:M105"/>
    <mergeCell ref="B33:M33"/>
    <mergeCell ref="B59:M59"/>
    <mergeCell ref="B68:M68"/>
    <mergeCell ref="B70:M70"/>
    <mergeCell ref="B72:M72"/>
    <mergeCell ref="B75:M75"/>
    <mergeCell ref="B47:M47"/>
    <mergeCell ref="B48:M48"/>
    <mergeCell ref="B51:M51"/>
    <mergeCell ref="B52:M52"/>
    <mergeCell ref="B55:M55"/>
    <mergeCell ref="B40:D40"/>
    <mergeCell ref="B35:M35"/>
    <mergeCell ref="B41:D41"/>
    <mergeCell ref="B64:K64"/>
  </mergeCells>
  <hyperlinks>
    <hyperlink ref="M9" location="INDICE!A1" display="Índice" xr:uid="{0E052B38-A208-423D-B5A2-4FD9E04C18EA}"/>
  </hyperlinks>
  <pageMargins left="0.7" right="0.7" top="0.75" bottom="0.75" header="0.3" footer="0.3"/>
  <pageSetup scale="66"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1184-B8FA-43B3-A02B-193C5D0E5709}">
  <dimension ref="A1:N113"/>
  <sheetViews>
    <sheetView showGridLines="0" zoomScale="70" zoomScaleNormal="70" workbookViewId="0">
      <pane xSplit="4" ySplit="1" topLeftCell="E77" activePane="bottomRight" state="frozen"/>
      <selection activeCell="G31" sqref="G31"/>
      <selection pane="topRight" activeCell="G31" sqref="G31"/>
      <selection pane="bottomLeft" activeCell="G31" sqref="G31"/>
      <selection pane="bottomRight" activeCell="K58" sqref="K58"/>
    </sheetView>
  </sheetViews>
  <sheetFormatPr baseColWidth="10" defaultColWidth="11.44140625" defaultRowHeight="13.8"/>
  <cols>
    <col min="1" max="1" width="48.88671875" style="733" customWidth="1"/>
    <col min="2" max="2" width="12.109375" style="733" customWidth="1"/>
    <col min="3" max="3" width="17.5546875" style="733" customWidth="1"/>
    <col min="4" max="4" width="14.44140625" style="733" customWidth="1"/>
    <col min="5" max="5" width="12.6640625" style="733" customWidth="1"/>
    <col min="6" max="6" width="12.33203125" style="733" customWidth="1"/>
    <col min="7" max="8" width="19.33203125" style="733" bestFit="1" customWidth="1"/>
    <col min="9" max="9" width="21" style="733" bestFit="1" customWidth="1"/>
    <col min="10" max="10" width="19.6640625" style="733" bestFit="1" customWidth="1"/>
    <col min="11" max="11" width="13.44140625" style="733" customWidth="1"/>
    <col min="12" max="12" width="14.44140625" style="733" customWidth="1"/>
    <col min="13" max="14" width="17.88671875" style="733" customWidth="1"/>
    <col min="15" max="16384" width="11.44140625" style="733"/>
  </cols>
  <sheetData>
    <row r="1" spans="1:14" ht="13.2" customHeight="1">
      <c r="A1" s="732"/>
      <c r="B1" s="732"/>
      <c r="C1" s="732"/>
      <c r="D1" s="732"/>
      <c r="E1" s="732"/>
      <c r="F1" s="732"/>
      <c r="G1" s="732"/>
      <c r="H1" s="732"/>
      <c r="I1" s="732"/>
      <c r="J1" s="732"/>
      <c r="L1" s="732"/>
      <c r="M1" s="732"/>
      <c r="N1" s="732"/>
    </row>
    <row r="2" spans="1:14" ht="13.2" customHeight="1">
      <c r="A2" s="734" t="s">
        <v>1539</v>
      </c>
      <c r="B2" s="732"/>
      <c r="C2" s="732"/>
      <c r="D2" s="732"/>
      <c r="E2" s="732"/>
      <c r="F2" s="732"/>
      <c r="G2" s="732"/>
      <c r="H2" s="732"/>
      <c r="I2" s="732"/>
      <c r="J2" s="732"/>
      <c r="L2" s="732"/>
      <c r="M2" s="732"/>
      <c r="N2" s="732"/>
    </row>
    <row r="3" spans="1:14" ht="13.2" customHeight="1">
      <c r="A3" s="734"/>
      <c r="B3" s="732"/>
      <c r="C3" s="732"/>
      <c r="D3" s="732"/>
      <c r="E3" s="732"/>
      <c r="F3" s="732"/>
      <c r="G3" s="732"/>
      <c r="H3" s="732"/>
      <c r="I3" s="732"/>
      <c r="J3" s="732"/>
      <c r="L3" s="732"/>
      <c r="M3" s="732"/>
      <c r="N3" s="732"/>
    </row>
    <row r="4" spans="1:14">
      <c r="A4" s="734" t="s">
        <v>1540</v>
      </c>
      <c r="B4" s="732"/>
      <c r="C4" s="732"/>
      <c r="D4" s="732"/>
      <c r="E4" s="732"/>
      <c r="F4" s="732"/>
      <c r="G4" s="735"/>
      <c r="H4" s="735"/>
      <c r="I4" s="735"/>
      <c r="J4" s="735"/>
      <c r="L4" s="732"/>
      <c r="M4" s="735"/>
      <c r="N4" s="735"/>
    </row>
    <row r="5" spans="1:14">
      <c r="A5" s="732"/>
      <c r="B5" s="732"/>
      <c r="C5" s="732"/>
      <c r="D5" s="732"/>
      <c r="E5" s="732"/>
      <c r="F5" s="732"/>
      <c r="G5" s="735"/>
      <c r="H5" s="735"/>
      <c r="I5" s="735"/>
      <c r="J5" s="735"/>
      <c r="L5" s="732"/>
      <c r="M5" s="735"/>
      <c r="N5" s="735"/>
    </row>
    <row r="6" spans="1:14" ht="43.2" customHeight="1">
      <c r="A6" s="736" t="s">
        <v>1264</v>
      </c>
      <c r="B6" s="736" t="s">
        <v>2</v>
      </c>
      <c r="C6" s="736" t="s">
        <v>1265</v>
      </c>
      <c r="D6" s="736" t="s">
        <v>1541</v>
      </c>
      <c r="E6" s="736" t="s">
        <v>1266</v>
      </c>
      <c r="F6" s="736" t="s">
        <v>1267</v>
      </c>
      <c r="G6" s="736" t="s">
        <v>1268</v>
      </c>
      <c r="H6" s="736" t="s">
        <v>1542</v>
      </c>
      <c r="I6" s="736" t="s">
        <v>1543</v>
      </c>
      <c r="J6" s="736" t="s">
        <v>1544</v>
      </c>
      <c r="L6" s="737" t="s">
        <v>1545</v>
      </c>
      <c r="M6" s="737" t="s">
        <v>1273</v>
      </c>
      <c r="N6" s="737" t="s">
        <v>1546</v>
      </c>
    </row>
    <row r="7" spans="1:14">
      <c r="C7" s="738"/>
    </row>
    <row r="8" spans="1:14">
      <c r="A8" s="739" t="s">
        <v>1547</v>
      </c>
      <c r="B8" s="740"/>
      <c r="C8" s="741"/>
      <c r="D8" s="740"/>
      <c r="E8" s="740"/>
      <c r="F8" s="740"/>
      <c r="G8" s="740"/>
      <c r="H8" s="740"/>
      <c r="I8" s="740"/>
      <c r="J8" s="740"/>
      <c r="L8" s="740"/>
      <c r="M8" s="742"/>
      <c r="N8" s="742"/>
    </row>
    <row r="9" spans="1:14">
      <c r="A9" s="743" t="s">
        <v>1522</v>
      </c>
      <c r="B9" s="744" t="s">
        <v>964</v>
      </c>
      <c r="C9" s="745" t="s">
        <v>1548</v>
      </c>
      <c r="D9" s="746">
        <v>43536</v>
      </c>
      <c r="E9" s="746">
        <v>45362</v>
      </c>
      <c r="F9" s="747">
        <v>0.09</v>
      </c>
      <c r="G9" s="745">
        <v>5000000</v>
      </c>
      <c r="H9" s="745">
        <v>1014657.5342465753</v>
      </c>
      <c r="I9" s="745">
        <v>987534.24657534237</v>
      </c>
      <c r="J9" s="745">
        <f t="shared" ref="J9:J16" si="0">+G9+H9-I9</f>
        <v>5027123.2876712326</v>
      </c>
      <c r="L9" s="746">
        <v>44559</v>
      </c>
      <c r="M9" s="748">
        <v>1.009468</v>
      </c>
      <c r="N9" s="749">
        <f>+G9*M9</f>
        <v>5047340</v>
      </c>
    </row>
    <row r="10" spans="1:14">
      <c r="A10" s="743" t="s">
        <v>1522</v>
      </c>
      <c r="B10" s="744" t="s">
        <v>964</v>
      </c>
      <c r="C10" s="745" t="s">
        <v>1269</v>
      </c>
      <c r="D10" s="746">
        <v>44265</v>
      </c>
      <c r="E10" s="746">
        <v>46785</v>
      </c>
      <c r="F10" s="747">
        <v>7.0999999999999994E-2</v>
      </c>
      <c r="G10" s="745">
        <v>196000000</v>
      </c>
      <c r="H10" s="745">
        <v>89214904.10958904</v>
      </c>
      <c r="I10" s="745">
        <v>84792284.931506842</v>
      </c>
      <c r="J10" s="745">
        <f t="shared" si="0"/>
        <v>200422619.1780822</v>
      </c>
      <c r="L10" s="746">
        <v>44557</v>
      </c>
      <c r="M10" s="748">
        <v>1.0217860000000001</v>
      </c>
      <c r="N10" s="749">
        <f t="shared" ref="N10:N16" si="1">+G10*M10</f>
        <v>200270056.00000003</v>
      </c>
    </row>
    <row r="11" spans="1:14">
      <c r="A11" s="743" t="s">
        <v>1522</v>
      </c>
      <c r="B11" s="744" t="s">
        <v>964</v>
      </c>
      <c r="C11" s="745" t="s">
        <v>1270</v>
      </c>
      <c r="D11" s="746">
        <v>44265</v>
      </c>
      <c r="E11" s="746">
        <v>47865</v>
      </c>
      <c r="F11" s="747">
        <v>0.08</v>
      </c>
      <c r="G11" s="745">
        <v>146000000</v>
      </c>
      <c r="H11" s="745">
        <v>109440000</v>
      </c>
      <c r="I11" s="745">
        <v>105728000</v>
      </c>
      <c r="J11" s="745">
        <f t="shared" si="0"/>
        <v>149712000</v>
      </c>
      <c r="L11" s="746">
        <v>44559</v>
      </c>
      <c r="M11" s="748">
        <v>1.0574859999999999</v>
      </c>
      <c r="N11" s="749">
        <f t="shared" si="1"/>
        <v>154392956</v>
      </c>
    </row>
    <row r="12" spans="1:14">
      <c r="A12" s="743" t="s">
        <v>1523</v>
      </c>
      <c r="B12" s="744" t="s">
        <v>964</v>
      </c>
      <c r="C12" s="745" t="s">
        <v>1549</v>
      </c>
      <c r="D12" s="746">
        <v>44281</v>
      </c>
      <c r="E12" s="746">
        <v>46106</v>
      </c>
      <c r="F12" s="747">
        <v>0.09</v>
      </c>
      <c r="G12" s="745">
        <v>210000000</v>
      </c>
      <c r="H12" s="745">
        <v>80363835.616438359</v>
      </c>
      <c r="I12" s="745">
        <v>80001369.8630137</v>
      </c>
      <c r="J12" s="745">
        <f t="shared" si="0"/>
        <v>210362465.7534247</v>
      </c>
      <c r="L12" s="746">
        <v>44559</v>
      </c>
      <c r="M12" s="748">
        <v>1.0029859999999999</v>
      </c>
      <c r="N12" s="749">
        <f t="shared" si="1"/>
        <v>210627060</v>
      </c>
    </row>
    <row r="13" spans="1:14">
      <c r="A13" s="743" t="s">
        <v>1524</v>
      </c>
      <c r="B13" s="744" t="s">
        <v>964</v>
      </c>
      <c r="C13" s="745" t="s">
        <v>1550</v>
      </c>
      <c r="D13" s="746">
        <v>43626</v>
      </c>
      <c r="E13" s="746">
        <v>46171</v>
      </c>
      <c r="F13" s="747">
        <v>9.2499999999999999E-2</v>
      </c>
      <c r="G13" s="745">
        <v>205000000</v>
      </c>
      <c r="H13" s="745">
        <v>83694760.274096027</v>
      </c>
      <c r="I13" s="745">
        <v>83642808.219178095</v>
      </c>
      <c r="J13" s="745">
        <f t="shared" si="0"/>
        <v>205051952.05491793</v>
      </c>
      <c r="L13" s="746">
        <v>44532</v>
      </c>
      <c r="M13" s="748">
        <v>1.0102530000000001</v>
      </c>
      <c r="N13" s="749">
        <f t="shared" si="1"/>
        <v>207101865</v>
      </c>
    </row>
    <row r="14" spans="1:14">
      <c r="A14" s="743" t="s">
        <v>1525</v>
      </c>
      <c r="B14" s="744" t="s">
        <v>964</v>
      </c>
      <c r="C14" s="745" t="s">
        <v>1376</v>
      </c>
      <c r="D14" s="746">
        <v>44435</v>
      </c>
      <c r="E14" s="746">
        <v>48075</v>
      </c>
      <c r="F14" s="747">
        <v>8.5000000000000006E-2</v>
      </c>
      <c r="G14" s="745">
        <v>9000000</v>
      </c>
      <c r="H14" s="745">
        <v>7438315.068493152</v>
      </c>
      <c r="I14" s="745">
        <v>7364958.9041095898</v>
      </c>
      <c r="J14" s="745">
        <f t="shared" si="0"/>
        <v>9073356.1643835623</v>
      </c>
      <c r="L14" s="746">
        <v>44557</v>
      </c>
      <c r="M14" s="748">
        <v>1.020219</v>
      </c>
      <c r="N14" s="749">
        <f t="shared" si="1"/>
        <v>9181971</v>
      </c>
    </row>
    <row r="15" spans="1:14">
      <c r="A15" s="743" t="s">
        <v>1526</v>
      </c>
      <c r="B15" s="744" t="s">
        <v>964</v>
      </c>
      <c r="C15" s="745" t="s">
        <v>1551</v>
      </c>
      <c r="D15" s="746">
        <v>44558</v>
      </c>
      <c r="E15" s="746">
        <v>48198</v>
      </c>
      <c r="F15" s="747">
        <v>0.10199999999999999</v>
      </c>
      <c r="G15" s="745">
        <v>1000000000</v>
      </c>
      <c r="H15" s="745">
        <v>1017205479.4520546</v>
      </c>
      <c r="I15" s="745">
        <v>1016367123.2876711</v>
      </c>
      <c r="J15" s="745">
        <f t="shared" si="0"/>
        <v>1000838356.1643834</v>
      </c>
      <c r="L15" s="746">
        <v>44560</v>
      </c>
      <c r="M15" s="748">
        <v>1.0049999999999999</v>
      </c>
      <c r="N15" s="749">
        <f t="shared" si="1"/>
        <v>1004999999.9999999</v>
      </c>
    </row>
    <row r="16" spans="1:14">
      <c r="A16" s="743" t="s">
        <v>1523</v>
      </c>
      <c r="B16" s="744" t="s">
        <v>964</v>
      </c>
      <c r="C16" s="745" t="s">
        <v>1552</v>
      </c>
      <c r="D16" s="746">
        <v>44558</v>
      </c>
      <c r="E16" s="746">
        <v>47106</v>
      </c>
      <c r="F16" s="747">
        <v>9.1499999999999998E-2</v>
      </c>
      <c r="G16" s="745">
        <v>852000000</v>
      </c>
      <c r="H16" s="745">
        <v>544210915.06849313</v>
      </c>
      <c r="I16" s="745">
        <v>543570164.38356161</v>
      </c>
      <c r="J16" s="745">
        <f t="shared" si="0"/>
        <v>852640750.68493152</v>
      </c>
      <c r="L16" s="746">
        <v>44560</v>
      </c>
      <c r="M16" s="748">
        <v>1.0005010000000001</v>
      </c>
      <c r="N16" s="749">
        <f t="shared" si="1"/>
        <v>852426852.00000012</v>
      </c>
    </row>
    <row r="17" spans="1:14" ht="14.4" thickBot="1">
      <c r="C17" s="750"/>
      <c r="G17" s="751">
        <f>+SUM(G9:G16)</f>
        <v>2623000000</v>
      </c>
      <c r="H17" s="751">
        <f>+SUM(H9:H16)</f>
        <v>1932582867.1234109</v>
      </c>
      <c r="I17" s="751">
        <f t="shared" ref="I17" si="2">+SUM(I9:I16)</f>
        <v>1922454243.8356161</v>
      </c>
      <c r="J17" s="751">
        <f>+SUM(J9:J16)</f>
        <v>2633128623.2877946</v>
      </c>
    </row>
    <row r="18" spans="1:14" ht="14.4" thickTop="1">
      <c r="C18" s="750"/>
      <c r="G18" s="752"/>
      <c r="H18" s="752"/>
      <c r="I18" s="752"/>
      <c r="J18" s="752"/>
    </row>
    <row r="19" spans="1:14">
      <c r="A19" s="739" t="s">
        <v>1553</v>
      </c>
      <c r="B19" s="740"/>
      <c r="C19" s="741"/>
      <c r="D19" s="740"/>
      <c r="E19" s="740"/>
      <c r="F19" s="740"/>
      <c r="G19" s="740"/>
      <c r="H19" s="740"/>
      <c r="I19" s="740"/>
      <c r="J19" s="740"/>
      <c r="L19" s="740"/>
      <c r="M19" s="742"/>
      <c r="N19" s="742"/>
    </row>
    <row r="20" spans="1:14">
      <c r="A20" s="743" t="s">
        <v>637</v>
      </c>
      <c r="B20" s="744" t="s">
        <v>964</v>
      </c>
      <c r="C20" s="745" t="s">
        <v>1341</v>
      </c>
      <c r="D20" s="746">
        <v>44182</v>
      </c>
      <c r="E20" s="746">
        <v>46007</v>
      </c>
      <c r="F20" s="747">
        <v>6.0999999999999999E-2</v>
      </c>
      <c r="G20" s="745">
        <v>100000000</v>
      </c>
      <c r="H20" s="745">
        <v>24400000</v>
      </c>
      <c r="I20" s="745">
        <v>24166027.397260267</v>
      </c>
      <c r="J20" s="745">
        <f>+G20+H20-I20</f>
        <v>100233972.60273974</v>
      </c>
      <c r="L20" s="746">
        <v>44544</v>
      </c>
      <c r="M20" s="748">
        <v>1.055582</v>
      </c>
      <c r="N20" s="749">
        <f t="shared" ref="N20" si="3">+G20*M20</f>
        <v>105558200</v>
      </c>
    </row>
    <row r="21" spans="1:14" ht="14.4" thickBot="1">
      <c r="B21" s="753"/>
      <c r="C21" s="754"/>
      <c r="D21" s="755"/>
      <c r="E21" s="755"/>
      <c r="F21" s="732"/>
      <c r="G21" s="751">
        <f>+SUM(G20)</f>
        <v>100000000</v>
      </c>
      <c r="H21" s="751">
        <f>+SUM(H20)</f>
        <v>24400000</v>
      </c>
      <c r="I21" s="751">
        <f>+SUM(I20)</f>
        <v>24166027.397260267</v>
      </c>
      <c r="J21" s="751">
        <f>+SUM(J20)</f>
        <v>100233972.60273974</v>
      </c>
      <c r="L21" s="755"/>
    </row>
    <row r="22" spans="1:14" ht="14.4" thickTop="1">
      <c r="B22" s="753"/>
      <c r="C22" s="754"/>
      <c r="D22" s="755"/>
      <c r="E22" s="755"/>
      <c r="F22" s="732"/>
      <c r="G22" s="756"/>
      <c r="H22" s="756"/>
      <c r="I22" s="756"/>
      <c r="J22" s="756"/>
      <c r="L22" s="755"/>
    </row>
    <row r="23" spans="1:14" hidden="1">
      <c r="A23" s="739" t="s">
        <v>1554</v>
      </c>
      <c r="B23" s="740"/>
      <c r="C23" s="741"/>
      <c r="D23" s="740"/>
      <c r="E23" s="740"/>
      <c r="F23" s="740"/>
      <c r="G23" s="740"/>
      <c r="H23" s="740"/>
      <c r="I23" s="740"/>
      <c r="J23" s="740"/>
      <c r="L23" s="740"/>
      <c r="M23" s="757"/>
      <c r="N23" s="757"/>
    </row>
    <row r="24" spans="1:14" hidden="1">
      <c r="A24" s="743"/>
      <c r="B24" s="758"/>
      <c r="C24" s="745"/>
      <c r="D24" s="746"/>
      <c r="E24" s="746"/>
      <c r="F24" s="747"/>
      <c r="G24" s="759"/>
      <c r="H24" s="759"/>
      <c r="I24" s="759"/>
      <c r="J24" s="759"/>
      <c r="L24" s="746"/>
      <c r="M24" s="760"/>
      <c r="N24" s="760"/>
    </row>
    <row r="25" spans="1:14" ht="14.4" hidden="1" thickBot="1">
      <c r="B25" s="753"/>
      <c r="C25" s="754"/>
      <c r="D25" s="755"/>
      <c r="E25" s="755"/>
      <c r="F25" s="732"/>
      <c r="G25" s="761">
        <f>+SUM(G24)</f>
        <v>0</v>
      </c>
      <c r="H25" s="761">
        <f>+SUM(H24)</f>
        <v>0</v>
      </c>
      <c r="I25" s="761">
        <f>+SUM(I24)</f>
        <v>0</v>
      </c>
      <c r="J25" s="761">
        <f>+SUM(J24)</f>
        <v>0</v>
      </c>
      <c r="L25" s="755"/>
      <c r="M25" s="761"/>
      <c r="N25" s="761">
        <f>+SUM(N24)</f>
        <v>0</v>
      </c>
    </row>
    <row r="26" spans="1:14">
      <c r="B26" s="753"/>
      <c r="C26" s="754"/>
      <c r="D26" s="755"/>
      <c r="E26" s="755"/>
      <c r="F26" s="732"/>
      <c r="G26" s="756"/>
      <c r="H26" s="756"/>
      <c r="I26" s="756"/>
      <c r="J26" s="756"/>
      <c r="L26" s="755"/>
      <c r="M26" s="762"/>
      <c r="N26" s="762"/>
    </row>
    <row r="27" spans="1:14">
      <c r="A27" s="739" t="s">
        <v>1555</v>
      </c>
      <c r="B27" s="740"/>
      <c r="C27" s="741"/>
      <c r="D27" s="740"/>
      <c r="E27" s="740"/>
      <c r="F27" s="740"/>
      <c r="G27" s="740"/>
      <c r="H27" s="740"/>
      <c r="I27" s="740"/>
      <c r="J27" s="740"/>
      <c r="L27" s="740"/>
      <c r="M27" s="742"/>
      <c r="N27" s="742"/>
    </row>
    <row r="28" spans="1:14">
      <c r="A28" s="743" t="s">
        <v>1272</v>
      </c>
      <c r="B28" s="744" t="s">
        <v>964</v>
      </c>
      <c r="C28" s="763" t="s">
        <v>1271</v>
      </c>
      <c r="D28" s="746">
        <v>43397</v>
      </c>
      <c r="E28" s="746">
        <v>47050</v>
      </c>
      <c r="F28" s="764">
        <v>7.9000000000000001E-2</v>
      </c>
      <c r="G28" s="763">
        <v>75000000</v>
      </c>
      <c r="H28" s="763">
        <v>41475000</v>
      </c>
      <c r="I28" s="763">
        <v>40144889.771320239</v>
      </c>
      <c r="J28" s="763">
        <f>+G28+H28-I28</f>
        <v>76330110.228679761</v>
      </c>
      <c r="L28" s="746">
        <v>44536</v>
      </c>
      <c r="M28" s="748">
        <v>1.0292809999999999</v>
      </c>
      <c r="N28" s="749">
        <f t="shared" ref="N28" si="4">+G28*M28</f>
        <v>77196074.999999985</v>
      </c>
    </row>
    <row r="29" spans="1:14" ht="14.4" thickBot="1">
      <c r="B29" s="753"/>
      <c r="C29" s="754"/>
      <c r="D29" s="755"/>
      <c r="E29" s="755"/>
      <c r="F29" s="732"/>
      <c r="G29" s="751">
        <f>+SUM(G28)</f>
        <v>75000000</v>
      </c>
      <c r="H29" s="751">
        <f t="shared" ref="H29:J29" si="5">+SUM(H28)</f>
        <v>41475000</v>
      </c>
      <c r="I29" s="751">
        <f>+SUM(I28)</f>
        <v>40144889.771320239</v>
      </c>
      <c r="J29" s="751">
        <f t="shared" si="5"/>
        <v>76330110.228679761</v>
      </c>
    </row>
    <row r="30" spans="1:14" ht="14.4" thickTop="1">
      <c r="B30" s="753"/>
      <c r="C30" s="765"/>
      <c r="D30" s="766"/>
      <c r="E30" s="766"/>
      <c r="F30" s="767"/>
      <c r="G30" s="768"/>
      <c r="H30" s="768"/>
      <c r="I30" s="768"/>
      <c r="J30" s="768"/>
    </row>
    <row r="31" spans="1:14">
      <c r="B31" s="753"/>
      <c r="C31" s="765"/>
      <c r="D31" s="766"/>
      <c r="E31" s="766"/>
      <c r="F31" s="767"/>
      <c r="G31" s="768"/>
      <c r="H31" s="768"/>
      <c r="I31" s="768"/>
      <c r="J31" s="768"/>
      <c r="L31" s="766"/>
      <c r="M31" s="769"/>
      <c r="N31" s="769"/>
    </row>
    <row r="32" spans="1:14">
      <c r="A32" s="739" t="s">
        <v>1556</v>
      </c>
      <c r="B32" s="740"/>
      <c r="C32" s="741"/>
      <c r="D32" s="740"/>
      <c r="E32" s="740"/>
      <c r="F32" s="740"/>
      <c r="G32" s="740"/>
      <c r="H32" s="740"/>
      <c r="I32" s="740"/>
      <c r="J32" s="740"/>
      <c r="L32" s="740"/>
      <c r="M32" s="742"/>
      <c r="N32" s="742"/>
    </row>
    <row r="33" spans="1:14">
      <c r="A33" s="743" t="s">
        <v>1527</v>
      </c>
      <c r="B33" s="744" t="s">
        <v>965</v>
      </c>
      <c r="C33" s="745" t="s">
        <v>1557</v>
      </c>
      <c r="D33" s="746">
        <v>44272</v>
      </c>
      <c r="E33" s="746">
        <v>46829</v>
      </c>
      <c r="F33" s="747">
        <v>5.5E-2</v>
      </c>
      <c r="G33" s="759">
        <v>10000</v>
      </c>
      <c r="H33" s="759">
        <v>3575.7534246575342</v>
      </c>
      <c r="I33" s="759">
        <v>3417.5342465753424</v>
      </c>
      <c r="J33" s="759">
        <f>+G33+H33-I33</f>
        <v>10158.219178082192</v>
      </c>
      <c r="K33" s="770"/>
      <c r="L33" s="746">
        <v>44550</v>
      </c>
      <c r="M33" s="748">
        <v>1.01</v>
      </c>
      <c r="N33" s="760">
        <f>+G33*M33</f>
        <v>10100</v>
      </c>
    </row>
    <row r="34" spans="1:14" ht="14.4" thickBot="1">
      <c r="B34" s="753"/>
      <c r="C34" s="754"/>
      <c r="D34" s="755"/>
      <c r="E34" s="755"/>
      <c r="F34" s="732"/>
      <c r="G34" s="761">
        <f>+SUM(G33)</f>
        <v>10000</v>
      </c>
      <c r="H34" s="761">
        <f t="shared" ref="H34:J34" si="6">+SUM(H33)</f>
        <v>3575.7534246575342</v>
      </c>
      <c r="I34" s="761">
        <f>+SUM(I33)</f>
        <v>3417.5342465753424</v>
      </c>
      <c r="J34" s="761">
        <f t="shared" si="6"/>
        <v>10158.219178082192</v>
      </c>
      <c r="K34" s="770"/>
    </row>
    <row r="35" spans="1:14" ht="14.4" thickTop="1">
      <c r="B35" s="753"/>
      <c r="C35" s="771"/>
      <c r="D35" s="766"/>
      <c r="E35" s="766"/>
      <c r="F35" s="772"/>
      <c r="G35" s="773"/>
      <c r="H35" s="773"/>
      <c r="I35" s="773"/>
      <c r="J35" s="773"/>
    </row>
    <row r="36" spans="1:14">
      <c r="A36" s="739" t="s">
        <v>1558</v>
      </c>
      <c r="B36" s="740"/>
      <c r="C36" s="741"/>
      <c r="D36" s="740"/>
      <c r="E36" s="740"/>
      <c r="F36" s="740"/>
      <c r="G36" s="740"/>
      <c r="H36" s="740"/>
      <c r="I36" s="740"/>
      <c r="J36" s="740"/>
      <c r="L36" s="740"/>
      <c r="M36" s="742"/>
      <c r="N36" s="742"/>
    </row>
    <row r="37" spans="1:14">
      <c r="A37" s="774" t="s">
        <v>1518</v>
      </c>
      <c r="B37" s="744" t="s">
        <v>964</v>
      </c>
      <c r="C37" s="763" t="s">
        <v>1559</v>
      </c>
      <c r="D37" s="746">
        <v>44532</v>
      </c>
      <c r="E37" s="746">
        <v>45264</v>
      </c>
      <c r="F37" s="764">
        <v>6.7500000000000004E-2</v>
      </c>
      <c r="G37" s="775">
        <v>100000000</v>
      </c>
      <c r="H37" s="775">
        <v>13536986.301369863</v>
      </c>
      <c r="I37" s="775">
        <v>13000684.93150685</v>
      </c>
      <c r="J37" s="749">
        <f t="shared" ref="J37:J57" si="7">+G37+H37-I37</f>
        <v>100536301.369863</v>
      </c>
      <c r="L37" s="746" t="s">
        <v>355</v>
      </c>
      <c r="M37" s="746" t="s">
        <v>355</v>
      </c>
      <c r="N37" s="776">
        <f>+J37</f>
        <v>100536301.369863</v>
      </c>
    </row>
    <row r="38" spans="1:14">
      <c r="A38" s="774" t="s">
        <v>1518</v>
      </c>
      <c r="B38" s="744" t="s">
        <v>964</v>
      </c>
      <c r="C38" s="763" t="s">
        <v>1560</v>
      </c>
      <c r="D38" s="746">
        <v>44532</v>
      </c>
      <c r="E38" s="746">
        <v>45264</v>
      </c>
      <c r="F38" s="764">
        <v>6.7500000000000004E-2</v>
      </c>
      <c r="G38" s="775">
        <v>100000000</v>
      </c>
      <c r="H38" s="775">
        <v>13536986.301369863</v>
      </c>
      <c r="I38" s="775">
        <v>13000684.93150685</v>
      </c>
      <c r="J38" s="749">
        <f t="shared" si="7"/>
        <v>100536301.369863</v>
      </c>
      <c r="L38" s="746" t="s">
        <v>355</v>
      </c>
      <c r="M38" s="746" t="s">
        <v>355</v>
      </c>
      <c r="N38" s="776">
        <f t="shared" ref="N38:N57" si="8">+J38</f>
        <v>100536301.369863</v>
      </c>
    </row>
    <row r="39" spans="1:14">
      <c r="A39" s="774" t="s">
        <v>1518</v>
      </c>
      <c r="B39" s="744" t="s">
        <v>964</v>
      </c>
      <c r="C39" s="763" t="s">
        <v>1561</v>
      </c>
      <c r="D39" s="746">
        <v>44545</v>
      </c>
      <c r="E39" s="746">
        <v>45642</v>
      </c>
      <c r="F39" s="764">
        <v>8.3500000000000005E-2</v>
      </c>
      <c r="G39" s="775">
        <v>100000000</v>
      </c>
      <c r="H39" s="775">
        <v>25095753.424657535</v>
      </c>
      <c r="I39" s="775">
        <v>24729726.02739726</v>
      </c>
      <c r="J39" s="749">
        <f t="shared" si="7"/>
        <v>100366027.39726028</v>
      </c>
      <c r="L39" s="746" t="s">
        <v>355</v>
      </c>
      <c r="M39" s="746" t="s">
        <v>355</v>
      </c>
      <c r="N39" s="776">
        <f t="shared" si="8"/>
        <v>100366027.39726028</v>
      </c>
    </row>
    <row r="40" spans="1:14">
      <c r="A40" s="774" t="s">
        <v>1518</v>
      </c>
      <c r="B40" s="744" t="s">
        <v>964</v>
      </c>
      <c r="C40" s="763" t="s">
        <v>1562</v>
      </c>
      <c r="D40" s="746">
        <v>44545</v>
      </c>
      <c r="E40" s="746">
        <v>45642</v>
      </c>
      <c r="F40" s="764">
        <v>8.3500000000000005E-2</v>
      </c>
      <c r="G40" s="775">
        <v>100000000</v>
      </c>
      <c r="H40" s="775">
        <v>25095753.424657535</v>
      </c>
      <c r="I40" s="775">
        <v>24729726.02739726</v>
      </c>
      <c r="J40" s="749">
        <f t="shared" si="7"/>
        <v>100366027.39726028</v>
      </c>
      <c r="L40" s="746" t="s">
        <v>355</v>
      </c>
      <c r="M40" s="746" t="s">
        <v>355</v>
      </c>
      <c r="N40" s="776">
        <f t="shared" si="8"/>
        <v>100366027.39726028</v>
      </c>
    </row>
    <row r="41" spans="1:14">
      <c r="A41" s="774" t="s">
        <v>1518</v>
      </c>
      <c r="B41" s="744" t="s">
        <v>964</v>
      </c>
      <c r="C41" s="763" t="s">
        <v>1563</v>
      </c>
      <c r="D41" s="746">
        <v>44545</v>
      </c>
      <c r="E41" s="746">
        <v>45642</v>
      </c>
      <c r="F41" s="764">
        <v>8.3500000000000005E-2</v>
      </c>
      <c r="G41" s="775">
        <v>50000000</v>
      </c>
      <c r="H41" s="775">
        <v>12547876.712328767</v>
      </c>
      <c r="I41" s="775">
        <v>12364863.01369863</v>
      </c>
      <c r="J41" s="749">
        <f t="shared" si="7"/>
        <v>50183013.698630139</v>
      </c>
      <c r="L41" s="746" t="s">
        <v>355</v>
      </c>
      <c r="M41" s="746" t="s">
        <v>355</v>
      </c>
      <c r="N41" s="776">
        <f t="shared" si="8"/>
        <v>50183013.698630139</v>
      </c>
    </row>
    <row r="42" spans="1:14">
      <c r="A42" s="774" t="s">
        <v>1518</v>
      </c>
      <c r="B42" s="744" t="s">
        <v>964</v>
      </c>
      <c r="C42" s="763" t="s">
        <v>1564</v>
      </c>
      <c r="D42" s="746">
        <v>44545</v>
      </c>
      <c r="E42" s="746">
        <v>45642</v>
      </c>
      <c r="F42" s="764">
        <v>8.3500000000000005E-2</v>
      </c>
      <c r="G42" s="775">
        <v>50000000</v>
      </c>
      <c r="H42" s="775">
        <v>12547876.712328767</v>
      </c>
      <c r="I42" s="775">
        <v>12364863.01369863</v>
      </c>
      <c r="J42" s="749">
        <f t="shared" si="7"/>
        <v>50183013.698630139</v>
      </c>
      <c r="L42" s="746" t="s">
        <v>355</v>
      </c>
      <c r="M42" s="746" t="s">
        <v>355</v>
      </c>
      <c r="N42" s="776">
        <f t="shared" si="8"/>
        <v>50183013.698630139</v>
      </c>
    </row>
    <row r="43" spans="1:14">
      <c r="A43" s="774" t="s">
        <v>1518</v>
      </c>
      <c r="B43" s="744" t="s">
        <v>964</v>
      </c>
      <c r="C43" s="763" t="s">
        <v>1565</v>
      </c>
      <c r="D43" s="746">
        <v>44545</v>
      </c>
      <c r="E43" s="746">
        <v>45642</v>
      </c>
      <c r="F43" s="764">
        <v>8.3500000000000005E-2</v>
      </c>
      <c r="G43" s="775">
        <v>50000000</v>
      </c>
      <c r="H43" s="775">
        <v>12547876.712328767</v>
      </c>
      <c r="I43" s="775">
        <v>12364863.01369863</v>
      </c>
      <c r="J43" s="749">
        <f t="shared" si="7"/>
        <v>50183013.698630139</v>
      </c>
      <c r="L43" s="746" t="s">
        <v>355</v>
      </c>
      <c r="M43" s="746" t="s">
        <v>355</v>
      </c>
      <c r="N43" s="776">
        <f t="shared" si="8"/>
        <v>50183013.698630139</v>
      </c>
    </row>
    <row r="44" spans="1:14">
      <c r="A44" s="774" t="s">
        <v>1518</v>
      </c>
      <c r="B44" s="744" t="s">
        <v>964</v>
      </c>
      <c r="C44" s="763" t="s">
        <v>1566</v>
      </c>
      <c r="D44" s="746">
        <v>44545</v>
      </c>
      <c r="E44" s="746">
        <v>45642</v>
      </c>
      <c r="F44" s="764">
        <v>8.3500000000000005E-2</v>
      </c>
      <c r="G44" s="775">
        <v>50000000</v>
      </c>
      <c r="H44" s="775">
        <v>12547876.712328767</v>
      </c>
      <c r="I44" s="775">
        <v>12364863.01369863</v>
      </c>
      <c r="J44" s="749">
        <f t="shared" si="7"/>
        <v>50183013.698630139</v>
      </c>
      <c r="L44" s="746" t="s">
        <v>355</v>
      </c>
      <c r="M44" s="746" t="s">
        <v>355</v>
      </c>
      <c r="N44" s="776">
        <f t="shared" si="8"/>
        <v>50183013.698630139</v>
      </c>
    </row>
    <row r="45" spans="1:14">
      <c r="A45" s="774" t="s">
        <v>1518</v>
      </c>
      <c r="B45" s="744" t="s">
        <v>964</v>
      </c>
      <c r="C45" s="763" t="s">
        <v>1567</v>
      </c>
      <c r="D45" s="746">
        <v>44545</v>
      </c>
      <c r="E45" s="746">
        <v>45642</v>
      </c>
      <c r="F45" s="764">
        <v>8.3500000000000005E-2</v>
      </c>
      <c r="G45" s="775">
        <v>50000000</v>
      </c>
      <c r="H45" s="775">
        <v>12547876.712328767</v>
      </c>
      <c r="I45" s="775">
        <v>12364863.01369863</v>
      </c>
      <c r="J45" s="749">
        <f t="shared" si="7"/>
        <v>50183013.698630139</v>
      </c>
      <c r="L45" s="746" t="s">
        <v>355</v>
      </c>
      <c r="M45" s="746" t="s">
        <v>355</v>
      </c>
      <c r="N45" s="776">
        <f t="shared" si="8"/>
        <v>50183013.698630139</v>
      </c>
    </row>
    <row r="46" spans="1:14">
      <c r="A46" s="774" t="s">
        <v>1518</v>
      </c>
      <c r="B46" s="744" t="s">
        <v>964</v>
      </c>
      <c r="C46" s="763" t="s">
        <v>1568</v>
      </c>
      <c r="D46" s="746">
        <v>44545</v>
      </c>
      <c r="E46" s="746">
        <v>45642</v>
      </c>
      <c r="F46" s="764">
        <v>8.3500000000000005E-2</v>
      </c>
      <c r="G46" s="775">
        <v>50000000</v>
      </c>
      <c r="H46" s="775">
        <v>12547876.712328767</v>
      </c>
      <c r="I46" s="775">
        <v>12364863.01369863</v>
      </c>
      <c r="J46" s="749">
        <f t="shared" si="7"/>
        <v>50183013.698630139</v>
      </c>
      <c r="L46" s="746" t="s">
        <v>355</v>
      </c>
      <c r="M46" s="746" t="s">
        <v>355</v>
      </c>
      <c r="N46" s="776">
        <f t="shared" si="8"/>
        <v>50183013.698630139</v>
      </c>
    </row>
    <row r="47" spans="1:14">
      <c r="A47" s="774" t="s">
        <v>1518</v>
      </c>
      <c r="B47" s="744" t="s">
        <v>964</v>
      </c>
      <c r="C47" s="763" t="s">
        <v>1569</v>
      </c>
      <c r="D47" s="746">
        <v>44545</v>
      </c>
      <c r="E47" s="746">
        <v>45642</v>
      </c>
      <c r="F47" s="764">
        <v>8.3500000000000005E-2</v>
      </c>
      <c r="G47" s="775">
        <v>50000000</v>
      </c>
      <c r="H47" s="775">
        <v>12547876.712328767</v>
      </c>
      <c r="I47" s="775">
        <v>12364863.01369863</v>
      </c>
      <c r="J47" s="749">
        <f t="shared" si="7"/>
        <v>50183013.698630139</v>
      </c>
      <c r="L47" s="746" t="s">
        <v>355</v>
      </c>
      <c r="M47" s="746" t="s">
        <v>355</v>
      </c>
      <c r="N47" s="776">
        <f t="shared" si="8"/>
        <v>50183013.698630139</v>
      </c>
    </row>
    <row r="48" spans="1:14">
      <c r="A48" s="774" t="s">
        <v>1518</v>
      </c>
      <c r="B48" s="744" t="s">
        <v>964</v>
      </c>
      <c r="C48" s="763" t="s">
        <v>1570</v>
      </c>
      <c r="D48" s="746">
        <v>44545</v>
      </c>
      <c r="E48" s="746">
        <v>45642</v>
      </c>
      <c r="F48" s="764">
        <v>8.3500000000000005E-2</v>
      </c>
      <c r="G48" s="775">
        <v>50000000</v>
      </c>
      <c r="H48" s="775">
        <v>12547876.712328767</v>
      </c>
      <c r="I48" s="775">
        <v>12364863.01369863</v>
      </c>
      <c r="J48" s="749">
        <f t="shared" si="7"/>
        <v>50183013.698630139</v>
      </c>
      <c r="L48" s="746" t="s">
        <v>355</v>
      </c>
      <c r="M48" s="746" t="s">
        <v>355</v>
      </c>
      <c r="N48" s="776">
        <f t="shared" si="8"/>
        <v>50183013.698630139</v>
      </c>
    </row>
    <row r="49" spans="1:14">
      <c r="A49" s="774" t="s">
        <v>1518</v>
      </c>
      <c r="B49" s="744" t="s">
        <v>964</v>
      </c>
      <c r="C49" s="763" t="s">
        <v>1571</v>
      </c>
      <c r="D49" s="746">
        <v>44545</v>
      </c>
      <c r="E49" s="746">
        <v>45642</v>
      </c>
      <c r="F49" s="764">
        <v>8.3500000000000005E-2</v>
      </c>
      <c r="G49" s="775">
        <v>50000000</v>
      </c>
      <c r="H49" s="775">
        <v>12547876.712328767</v>
      </c>
      <c r="I49" s="775">
        <v>12364863.01369863</v>
      </c>
      <c r="J49" s="749">
        <f t="shared" si="7"/>
        <v>50183013.698630139</v>
      </c>
      <c r="L49" s="746" t="s">
        <v>355</v>
      </c>
      <c r="M49" s="746" t="s">
        <v>355</v>
      </c>
      <c r="N49" s="776">
        <f t="shared" si="8"/>
        <v>50183013.698630139</v>
      </c>
    </row>
    <row r="50" spans="1:14">
      <c r="A50" s="774" t="s">
        <v>1518</v>
      </c>
      <c r="B50" s="744" t="s">
        <v>964</v>
      </c>
      <c r="C50" s="763" t="s">
        <v>1572</v>
      </c>
      <c r="D50" s="746">
        <v>44545</v>
      </c>
      <c r="E50" s="746">
        <v>45642</v>
      </c>
      <c r="F50" s="764">
        <v>8.3500000000000005E-2</v>
      </c>
      <c r="G50" s="775">
        <v>50000000</v>
      </c>
      <c r="H50" s="775">
        <v>12547876.712328767</v>
      </c>
      <c r="I50" s="775">
        <v>12364863.01369863</v>
      </c>
      <c r="J50" s="749">
        <f t="shared" si="7"/>
        <v>50183013.698630139</v>
      </c>
      <c r="L50" s="746" t="s">
        <v>355</v>
      </c>
      <c r="M50" s="746" t="s">
        <v>355</v>
      </c>
      <c r="N50" s="776">
        <f t="shared" si="8"/>
        <v>50183013.698630139</v>
      </c>
    </row>
    <row r="51" spans="1:14">
      <c r="A51" s="774" t="s">
        <v>1518</v>
      </c>
      <c r="B51" s="744" t="s">
        <v>964</v>
      </c>
      <c r="C51" s="763" t="s">
        <v>1573</v>
      </c>
      <c r="D51" s="746">
        <v>44545</v>
      </c>
      <c r="E51" s="746">
        <v>45642</v>
      </c>
      <c r="F51" s="764">
        <v>8.3500000000000005E-2</v>
      </c>
      <c r="G51" s="775">
        <v>50000000</v>
      </c>
      <c r="H51" s="775">
        <v>12547876.712328767</v>
      </c>
      <c r="I51" s="775">
        <v>12364863.01369863</v>
      </c>
      <c r="J51" s="749">
        <f t="shared" si="7"/>
        <v>50183013.698630139</v>
      </c>
      <c r="L51" s="746" t="s">
        <v>355</v>
      </c>
      <c r="M51" s="746" t="s">
        <v>355</v>
      </c>
      <c r="N51" s="776">
        <f t="shared" si="8"/>
        <v>50183013.698630139</v>
      </c>
    </row>
    <row r="52" spans="1:14">
      <c r="A52" s="774" t="s">
        <v>1518</v>
      </c>
      <c r="B52" s="744" t="s">
        <v>964</v>
      </c>
      <c r="C52" s="763" t="s">
        <v>1574</v>
      </c>
      <c r="D52" s="746">
        <v>44545</v>
      </c>
      <c r="E52" s="746">
        <v>45642</v>
      </c>
      <c r="F52" s="764">
        <v>8.3500000000000005E-2</v>
      </c>
      <c r="G52" s="775">
        <v>50000000</v>
      </c>
      <c r="H52" s="775">
        <v>12547876.712328767</v>
      </c>
      <c r="I52" s="775">
        <v>12364863.01369863</v>
      </c>
      <c r="J52" s="749">
        <f t="shared" si="7"/>
        <v>50183013.698630139</v>
      </c>
      <c r="L52" s="746" t="s">
        <v>355</v>
      </c>
      <c r="M52" s="746" t="s">
        <v>355</v>
      </c>
      <c r="N52" s="776">
        <f t="shared" si="8"/>
        <v>50183013.698630139</v>
      </c>
    </row>
    <row r="53" spans="1:14">
      <c r="A53" s="774" t="s">
        <v>1518</v>
      </c>
      <c r="B53" s="744" t="s">
        <v>964</v>
      </c>
      <c r="C53" s="763" t="s">
        <v>1575</v>
      </c>
      <c r="D53" s="746">
        <v>44545</v>
      </c>
      <c r="E53" s="746">
        <v>45642</v>
      </c>
      <c r="F53" s="764">
        <v>8.3500000000000005E-2</v>
      </c>
      <c r="G53" s="775">
        <v>50000000</v>
      </c>
      <c r="H53" s="775">
        <v>12547876.712328767</v>
      </c>
      <c r="I53" s="775">
        <v>12364863.01369863</v>
      </c>
      <c r="J53" s="749">
        <f t="shared" si="7"/>
        <v>50183013.698630139</v>
      </c>
      <c r="L53" s="746" t="s">
        <v>355</v>
      </c>
      <c r="M53" s="746" t="s">
        <v>355</v>
      </c>
      <c r="N53" s="776">
        <f t="shared" si="8"/>
        <v>50183013.698630139</v>
      </c>
    </row>
    <row r="54" spans="1:14">
      <c r="A54" s="774" t="s">
        <v>1518</v>
      </c>
      <c r="B54" s="744" t="s">
        <v>964</v>
      </c>
      <c r="C54" s="763" t="s">
        <v>1576</v>
      </c>
      <c r="D54" s="746">
        <v>44545</v>
      </c>
      <c r="E54" s="746">
        <v>45642</v>
      </c>
      <c r="F54" s="764">
        <v>8.3500000000000005E-2</v>
      </c>
      <c r="G54" s="775">
        <v>50000000</v>
      </c>
      <c r="H54" s="775">
        <v>12547876.712328767</v>
      </c>
      <c r="I54" s="775">
        <v>12364863.01369863</v>
      </c>
      <c r="J54" s="749">
        <f t="shared" si="7"/>
        <v>50183013.698630139</v>
      </c>
      <c r="L54" s="746" t="s">
        <v>355</v>
      </c>
      <c r="M54" s="746" t="s">
        <v>355</v>
      </c>
      <c r="N54" s="776">
        <f t="shared" si="8"/>
        <v>50183013.698630139</v>
      </c>
    </row>
    <row r="55" spans="1:14">
      <c r="A55" s="774" t="s">
        <v>1377</v>
      </c>
      <c r="B55" s="744" t="s">
        <v>964</v>
      </c>
      <c r="C55" s="763" t="s">
        <v>1577</v>
      </c>
      <c r="D55" s="746">
        <v>44151</v>
      </c>
      <c r="E55" s="746">
        <v>45246</v>
      </c>
      <c r="F55" s="764">
        <v>7.2499999999999995E-2</v>
      </c>
      <c r="G55" s="775">
        <v>50000000</v>
      </c>
      <c r="H55" s="775">
        <v>7299657.5342465751</v>
      </c>
      <c r="I55" s="775">
        <v>6803082.1917808224</v>
      </c>
      <c r="J55" s="749">
        <f t="shared" si="7"/>
        <v>50496575.342465758</v>
      </c>
      <c r="L55" s="746" t="s">
        <v>355</v>
      </c>
      <c r="M55" s="746" t="s">
        <v>355</v>
      </c>
      <c r="N55" s="776">
        <f t="shared" si="8"/>
        <v>50496575.342465758</v>
      </c>
    </row>
    <row r="56" spans="1:14">
      <c r="A56" s="774" t="s">
        <v>1377</v>
      </c>
      <c r="B56" s="744" t="s">
        <v>964</v>
      </c>
      <c r="C56" s="763" t="s">
        <v>1578</v>
      </c>
      <c r="D56" s="746">
        <v>44151</v>
      </c>
      <c r="E56" s="746">
        <v>45246</v>
      </c>
      <c r="F56" s="764">
        <v>7.2499999999999995E-2</v>
      </c>
      <c r="G56" s="775">
        <v>50000000</v>
      </c>
      <c r="H56" s="775">
        <v>7299657.5342465751</v>
      </c>
      <c r="I56" s="775">
        <v>6803082.1917808224</v>
      </c>
      <c r="J56" s="749">
        <f t="shared" si="7"/>
        <v>50496575.342465758</v>
      </c>
      <c r="L56" s="746" t="s">
        <v>355</v>
      </c>
      <c r="M56" s="746" t="s">
        <v>355</v>
      </c>
      <c r="N56" s="776">
        <f t="shared" si="8"/>
        <v>50496575.342465758</v>
      </c>
    </row>
    <row r="57" spans="1:14">
      <c r="A57" s="774" t="s">
        <v>1377</v>
      </c>
      <c r="B57" s="744" t="s">
        <v>964</v>
      </c>
      <c r="C57" s="763" t="s">
        <v>1579</v>
      </c>
      <c r="D57" s="746">
        <v>44151</v>
      </c>
      <c r="E57" s="746">
        <v>45246</v>
      </c>
      <c r="F57" s="764">
        <v>7.2499999999999995E-2</v>
      </c>
      <c r="G57" s="775">
        <v>50000000</v>
      </c>
      <c r="H57" s="775">
        <v>7299657.5342465751</v>
      </c>
      <c r="I57" s="775">
        <v>6803082.1917808224</v>
      </c>
      <c r="J57" s="749">
        <f t="shared" si="7"/>
        <v>50496575.342465758</v>
      </c>
      <c r="L57" s="746" t="s">
        <v>355</v>
      </c>
      <c r="M57" s="746" t="s">
        <v>355</v>
      </c>
      <c r="N57" s="776">
        <f t="shared" si="8"/>
        <v>50496575.342465758</v>
      </c>
    </row>
    <row r="58" spans="1:14" ht="14.4" thickBot="1">
      <c r="B58" s="753"/>
      <c r="C58" s="754"/>
      <c r="D58" s="755"/>
      <c r="E58" s="755"/>
      <c r="F58" s="732"/>
      <c r="G58" s="751">
        <f>+SUM(G37:G57)</f>
        <v>1250000000</v>
      </c>
      <c r="H58" s="751">
        <f>+SUM(H37:H57)</f>
        <v>274834726.02739716</v>
      </c>
      <c r="I58" s="751">
        <f>+SUM(I37:I57)</f>
        <v>268978150.68493164</v>
      </c>
      <c r="J58" s="751">
        <f>+SUM(J37:J57)</f>
        <v>1255856575.3424654</v>
      </c>
      <c r="K58" s="777"/>
    </row>
    <row r="59" spans="1:14" ht="14.4" thickTop="1">
      <c r="B59" s="753"/>
      <c r="C59" s="754"/>
      <c r="D59" s="755"/>
      <c r="E59" s="755"/>
      <c r="F59" s="732"/>
      <c r="G59" s="778"/>
      <c r="H59" s="778"/>
      <c r="I59" s="778"/>
      <c r="J59" s="778"/>
      <c r="L59" s="755"/>
      <c r="M59" s="769"/>
      <c r="N59" s="769"/>
    </row>
    <row r="60" spans="1:14">
      <c r="B60" s="753"/>
      <c r="C60" s="754"/>
      <c r="D60" s="755"/>
      <c r="E60" s="755"/>
      <c r="F60" s="732"/>
      <c r="G60" s="778"/>
      <c r="H60" s="778"/>
      <c r="I60" s="778"/>
      <c r="J60" s="778"/>
      <c r="L60" s="755"/>
      <c r="M60" s="769"/>
      <c r="N60" s="769"/>
    </row>
    <row r="61" spans="1:14">
      <c r="A61" s="739" t="s">
        <v>1580</v>
      </c>
      <c r="B61" s="740"/>
      <c r="C61" s="741"/>
      <c r="D61" s="740"/>
      <c r="E61" s="740"/>
      <c r="F61" s="740"/>
      <c r="G61" s="740"/>
      <c r="H61" s="740"/>
      <c r="I61" s="740"/>
      <c r="J61" s="740"/>
      <c r="L61" s="740"/>
      <c r="M61" s="742"/>
      <c r="N61" s="742"/>
    </row>
    <row r="62" spans="1:14" s="784" customFormat="1">
      <c r="A62" s="779" t="s">
        <v>576</v>
      </c>
      <c r="B62" s="780" t="s">
        <v>964</v>
      </c>
      <c r="C62" s="781" t="s">
        <v>1378</v>
      </c>
      <c r="D62" s="782">
        <v>44176</v>
      </c>
      <c r="E62" s="782">
        <v>45271</v>
      </c>
      <c r="F62" s="783">
        <v>4.65E-2</v>
      </c>
      <c r="G62" s="781">
        <v>103017205</v>
      </c>
      <c r="H62" s="781">
        <v>14370900.0975</v>
      </c>
      <c r="I62" s="781">
        <v>9318117.871438358</v>
      </c>
      <c r="J62" s="781">
        <f t="shared" ref="J62:J105" si="9">+G62+H62-I62</f>
        <v>108069987.22606164</v>
      </c>
      <c r="L62" s="746" t="s">
        <v>355</v>
      </c>
      <c r="M62" s="746" t="s">
        <v>355</v>
      </c>
      <c r="N62" s="776">
        <f t="shared" ref="N62:N105" si="10">+J62</f>
        <v>108069987.22606164</v>
      </c>
    </row>
    <row r="63" spans="1:14" s="784" customFormat="1">
      <c r="A63" s="779" t="s">
        <v>576</v>
      </c>
      <c r="B63" s="780" t="s">
        <v>964</v>
      </c>
      <c r="C63" s="785" t="s">
        <v>1379</v>
      </c>
      <c r="D63" s="782">
        <v>44431</v>
      </c>
      <c r="E63" s="782">
        <v>45523</v>
      </c>
      <c r="F63" s="783">
        <v>6.5000000000000002E-2</v>
      </c>
      <c r="G63" s="781">
        <v>61000000</v>
      </c>
      <c r="H63" s="781">
        <v>11862410.95890411</v>
      </c>
      <c r="I63" s="781">
        <v>10450219.178082192</v>
      </c>
      <c r="J63" s="781">
        <f t="shared" si="9"/>
        <v>62412191.780821927</v>
      </c>
      <c r="L63" s="746" t="s">
        <v>355</v>
      </c>
      <c r="M63" s="746" t="s">
        <v>355</v>
      </c>
      <c r="N63" s="776">
        <f t="shared" si="10"/>
        <v>62412191.780821927</v>
      </c>
    </row>
    <row r="64" spans="1:14" s="784" customFormat="1">
      <c r="A64" s="779" t="s">
        <v>576</v>
      </c>
      <c r="B64" s="780" t="s">
        <v>964</v>
      </c>
      <c r="C64" s="785" t="s">
        <v>1380</v>
      </c>
      <c r="D64" s="782">
        <v>44428</v>
      </c>
      <c r="E64" s="782">
        <v>45520</v>
      </c>
      <c r="F64" s="783">
        <v>6.5000000000000002E-2</v>
      </c>
      <c r="G64" s="781">
        <v>250000000</v>
      </c>
      <c r="H64" s="781">
        <v>48616438.356164388</v>
      </c>
      <c r="I64" s="781">
        <v>42695205.479452051</v>
      </c>
      <c r="J64" s="781">
        <f t="shared" si="9"/>
        <v>255921232.87671235</v>
      </c>
      <c r="L64" s="746" t="s">
        <v>355</v>
      </c>
      <c r="M64" s="746" t="s">
        <v>355</v>
      </c>
      <c r="N64" s="776">
        <f t="shared" si="10"/>
        <v>255921232.87671235</v>
      </c>
    </row>
    <row r="65" spans="1:14" s="784" customFormat="1">
      <c r="A65" s="779" t="s">
        <v>576</v>
      </c>
      <c r="B65" s="780" t="s">
        <v>964</v>
      </c>
      <c r="C65" s="781" t="s">
        <v>1381</v>
      </c>
      <c r="D65" s="782">
        <v>44425</v>
      </c>
      <c r="E65" s="782">
        <v>45517</v>
      </c>
      <c r="F65" s="783">
        <v>6.5000000000000002E-2</v>
      </c>
      <c r="G65" s="781">
        <v>250000000</v>
      </c>
      <c r="H65" s="781">
        <v>48616438.356164381</v>
      </c>
      <c r="I65" s="781">
        <v>42561643.835616432</v>
      </c>
      <c r="J65" s="781">
        <f t="shared" si="9"/>
        <v>256054794.52054796</v>
      </c>
      <c r="L65" s="746" t="s">
        <v>355</v>
      </c>
      <c r="M65" s="746" t="s">
        <v>355</v>
      </c>
      <c r="N65" s="776">
        <f t="shared" si="10"/>
        <v>256054794.52054796</v>
      </c>
    </row>
    <row r="66" spans="1:14" s="784" customFormat="1">
      <c r="A66" s="779" t="s">
        <v>576</v>
      </c>
      <c r="B66" s="780" t="s">
        <v>964</v>
      </c>
      <c r="C66" s="785" t="s">
        <v>1382</v>
      </c>
      <c r="D66" s="782">
        <v>44428</v>
      </c>
      <c r="E66" s="782">
        <v>45520</v>
      </c>
      <c r="F66" s="783">
        <v>6.5000000000000002E-2</v>
      </c>
      <c r="G66" s="781">
        <v>250000000</v>
      </c>
      <c r="H66" s="781">
        <v>48616438.356164388</v>
      </c>
      <c r="I66" s="781">
        <v>42695205.479452051</v>
      </c>
      <c r="J66" s="781">
        <f t="shared" si="9"/>
        <v>255921232.87671235</v>
      </c>
      <c r="L66" s="746" t="s">
        <v>355</v>
      </c>
      <c r="M66" s="746" t="s">
        <v>355</v>
      </c>
      <c r="N66" s="776">
        <f t="shared" si="10"/>
        <v>255921232.87671235</v>
      </c>
    </row>
    <row r="67" spans="1:14" s="784" customFormat="1">
      <c r="A67" s="779" t="s">
        <v>576</v>
      </c>
      <c r="B67" s="780" t="s">
        <v>964</v>
      </c>
      <c r="C67" s="781" t="s">
        <v>1383</v>
      </c>
      <c r="D67" s="782">
        <v>44432</v>
      </c>
      <c r="E67" s="782">
        <v>46232</v>
      </c>
      <c r="F67" s="783">
        <v>7.0000000000000007E-2</v>
      </c>
      <c r="G67" s="781">
        <v>250000000</v>
      </c>
      <c r="H67" s="781">
        <v>86301369.863013715</v>
      </c>
      <c r="I67" s="781">
        <v>80116438.356164396</v>
      </c>
      <c r="J67" s="781">
        <f t="shared" si="9"/>
        <v>256184931.50684935</v>
      </c>
      <c r="L67" s="746" t="s">
        <v>355</v>
      </c>
      <c r="M67" s="746" t="s">
        <v>355</v>
      </c>
      <c r="N67" s="776">
        <f t="shared" si="10"/>
        <v>256184931.50684935</v>
      </c>
    </row>
    <row r="68" spans="1:14" s="784" customFormat="1">
      <c r="A68" s="779" t="s">
        <v>576</v>
      </c>
      <c r="B68" s="780" t="s">
        <v>964</v>
      </c>
      <c r="C68" s="785" t="s">
        <v>1384</v>
      </c>
      <c r="D68" s="782">
        <v>44432</v>
      </c>
      <c r="E68" s="782">
        <v>46232</v>
      </c>
      <c r="F68" s="783">
        <v>7.0000000000000007E-2</v>
      </c>
      <c r="G68" s="781">
        <v>250000000</v>
      </c>
      <c r="H68" s="781">
        <v>86301369.863013715</v>
      </c>
      <c r="I68" s="781">
        <v>80116438.356164396</v>
      </c>
      <c r="J68" s="781">
        <f t="shared" si="9"/>
        <v>256184931.50684935</v>
      </c>
      <c r="L68" s="746" t="s">
        <v>355</v>
      </c>
      <c r="M68" s="746" t="s">
        <v>355</v>
      </c>
      <c r="N68" s="776">
        <f t="shared" si="10"/>
        <v>256184931.50684935</v>
      </c>
    </row>
    <row r="69" spans="1:14" s="784" customFormat="1">
      <c r="A69" s="779" t="s">
        <v>576</v>
      </c>
      <c r="B69" s="780" t="s">
        <v>964</v>
      </c>
      <c r="C69" s="785" t="s">
        <v>1385</v>
      </c>
      <c r="D69" s="782">
        <v>44432</v>
      </c>
      <c r="E69" s="782">
        <v>46232</v>
      </c>
      <c r="F69" s="783">
        <v>7.0000000000000007E-2</v>
      </c>
      <c r="G69" s="781">
        <v>250000000</v>
      </c>
      <c r="H69" s="781">
        <v>86301369.863013715</v>
      </c>
      <c r="I69" s="781">
        <v>80116438.356164396</v>
      </c>
      <c r="J69" s="781">
        <f t="shared" si="9"/>
        <v>256184931.50684935</v>
      </c>
      <c r="L69" s="746" t="s">
        <v>355</v>
      </c>
      <c r="M69" s="746" t="s">
        <v>355</v>
      </c>
      <c r="N69" s="776">
        <f t="shared" si="10"/>
        <v>256184931.50684935</v>
      </c>
    </row>
    <row r="70" spans="1:14" s="784" customFormat="1">
      <c r="A70" s="779" t="s">
        <v>576</v>
      </c>
      <c r="B70" s="780" t="s">
        <v>964</v>
      </c>
      <c r="C70" s="785" t="s">
        <v>1386</v>
      </c>
      <c r="D70" s="782">
        <v>44432</v>
      </c>
      <c r="E70" s="782">
        <v>46232</v>
      </c>
      <c r="F70" s="783">
        <v>7.0000000000000007E-2</v>
      </c>
      <c r="G70" s="781">
        <v>250000000</v>
      </c>
      <c r="H70" s="781">
        <v>86301369.863013715</v>
      </c>
      <c r="I70" s="781">
        <v>80116438.356164396</v>
      </c>
      <c r="J70" s="781">
        <f t="shared" si="9"/>
        <v>256184931.50684935</v>
      </c>
      <c r="L70" s="746" t="s">
        <v>355</v>
      </c>
      <c r="M70" s="746" t="s">
        <v>355</v>
      </c>
      <c r="N70" s="776">
        <f t="shared" si="10"/>
        <v>256184931.50684935</v>
      </c>
    </row>
    <row r="71" spans="1:14" s="784" customFormat="1">
      <c r="A71" s="779" t="s">
        <v>576</v>
      </c>
      <c r="B71" s="780" t="s">
        <v>964</v>
      </c>
      <c r="C71" s="785" t="s">
        <v>1387</v>
      </c>
      <c r="D71" s="782">
        <v>44432</v>
      </c>
      <c r="E71" s="782">
        <v>46232</v>
      </c>
      <c r="F71" s="783">
        <v>7.0000000000000007E-2</v>
      </c>
      <c r="G71" s="781">
        <v>250000000</v>
      </c>
      <c r="H71" s="781">
        <v>86301369.863013715</v>
      </c>
      <c r="I71" s="781">
        <v>80116438.356164396</v>
      </c>
      <c r="J71" s="781">
        <f t="shared" si="9"/>
        <v>256184931.50684935</v>
      </c>
      <c r="L71" s="746" t="s">
        <v>355</v>
      </c>
      <c r="M71" s="746" t="s">
        <v>355</v>
      </c>
      <c r="N71" s="776">
        <f t="shared" si="10"/>
        <v>256184931.50684935</v>
      </c>
    </row>
    <row r="72" spans="1:14" s="784" customFormat="1">
      <c r="A72" s="779" t="s">
        <v>576</v>
      </c>
      <c r="B72" s="780" t="s">
        <v>964</v>
      </c>
      <c r="C72" s="785" t="s">
        <v>1388</v>
      </c>
      <c r="D72" s="782">
        <v>44432</v>
      </c>
      <c r="E72" s="782">
        <v>46232</v>
      </c>
      <c r="F72" s="783">
        <v>7.0000000000000007E-2</v>
      </c>
      <c r="G72" s="781">
        <v>250000000</v>
      </c>
      <c r="H72" s="781">
        <v>86301369.863013715</v>
      </c>
      <c r="I72" s="781">
        <v>80116438.356164396</v>
      </c>
      <c r="J72" s="781">
        <f t="shared" si="9"/>
        <v>256184931.50684935</v>
      </c>
      <c r="L72" s="746" t="s">
        <v>355</v>
      </c>
      <c r="M72" s="746" t="s">
        <v>355</v>
      </c>
      <c r="N72" s="776">
        <f t="shared" si="10"/>
        <v>256184931.50684935</v>
      </c>
    </row>
    <row r="73" spans="1:14" s="784" customFormat="1">
      <c r="A73" s="779" t="s">
        <v>576</v>
      </c>
      <c r="B73" s="780" t="s">
        <v>964</v>
      </c>
      <c r="C73" s="785" t="s">
        <v>1389</v>
      </c>
      <c r="D73" s="782">
        <v>44421</v>
      </c>
      <c r="E73" s="782">
        <v>45512</v>
      </c>
      <c r="F73" s="783">
        <v>6.5000000000000002E-2</v>
      </c>
      <c r="G73" s="781">
        <v>250000000</v>
      </c>
      <c r="H73" s="781">
        <v>48571917.808219172</v>
      </c>
      <c r="I73" s="781">
        <v>42339041.095890403</v>
      </c>
      <c r="J73" s="781">
        <f t="shared" si="9"/>
        <v>256232876.71232879</v>
      </c>
      <c r="L73" s="746" t="s">
        <v>355</v>
      </c>
      <c r="M73" s="746" t="s">
        <v>355</v>
      </c>
      <c r="N73" s="776">
        <f t="shared" si="10"/>
        <v>256232876.71232879</v>
      </c>
    </row>
    <row r="74" spans="1:14" s="784" customFormat="1">
      <c r="A74" s="779" t="s">
        <v>576</v>
      </c>
      <c r="B74" s="780" t="s">
        <v>964</v>
      </c>
      <c r="C74" s="785" t="s">
        <v>1390</v>
      </c>
      <c r="D74" s="782">
        <v>44421</v>
      </c>
      <c r="E74" s="782">
        <v>45512</v>
      </c>
      <c r="F74" s="783">
        <v>6.5000000000000002E-2</v>
      </c>
      <c r="G74" s="781">
        <v>250000000</v>
      </c>
      <c r="H74" s="781">
        <v>48571917.808219172</v>
      </c>
      <c r="I74" s="781">
        <v>42339041.095890403</v>
      </c>
      <c r="J74" s="781">
        <f t="shared" si="9"/>
        <v>256232876.71232879</v>
      </c>
      <c r="L74" s="746" t="s">
        <v>355</v>
      </c>
      <c r="M74" s="746" t="s">
        <v>355</v>
      </c>
      <c r="N74" s="776">
        <f t="shared" si="10"/>
        <v>256232876.71232879</v>
      </c>
    </row>
    <row r="75" spans="1:14" s="784" customFormat="1">
      <c r="A75" s="779" t="s">
        <v>576</v>
      </c>
      <c r="B75" s="780" t="s">
        <v>964</v>
      </c>
      <c r="C75" s="785" t="s">
        <v>1391</v>
      </c>
      <c r="D75" s="782">
        <v>44421</v>
      </c>
      <c r="E75" s="782">
        <v>45512</v>
      </c>
      <c r="F75" s="783">
        <v>6.5000000000000002E-2</v>
      </c>
      <c r="G75" s="781">
        <v>250000000</v>
      </c>
      <c r="H75" s="781">
        <v>48571917.808219172</v>
      </c>
      <c r="I75" s="781">
        <v>42339041.095890403</v>
      </c>
      <c r="J75" s="781">
        <f t="shared" si="9"/>
        <v>256232876.71232879</v>
      </c>
      <c r="L75" s="746" t="s">
        <v>355</v>
      </c>
      <c r="M75" s="746" t="s">
        <v>355</v>
      </c>
      <c r="N75" s="776">
        <f t="shared" si="10"/>
        <v>256232876.71232879</v>
      </c>
    </row>
    <row r="76" spans="1:14" s="784" customFormat="1">
      <c r="A76" s="779" t="s">
        <v>576</v>
      </c>
      <c r="B76" s="780" t="s">
        <v>964</v>
      </c>
      <c r="C76" s="785" t="s">
        <v>1581</v>
      </c>
      <c r="D76" s="782">
        <v>44421</v>
      </c>
      <c r="E76" s="782">
        <v>45512</v>
      </c>
      <c r="F76" s="783">
        <v>6.5000000000000002E-2</v>
      </c>
      <c r="G76" s="781">
        <v>100000000</v>
      </c>
      <c r="H76" s="781">
        <v>19482191.780821919</v>
      </c>
      <c r="I76" s="781">
        <v>16935616.438356165</v>
      </c>
      <c r="J76" s="781">
        <f t="shared" si="9"/>
        <v>102546575.34246576</v>
      </c>
      <c r="L76" s="746" t="s">
        <v>355</v>
      </c>
      <c r="M76" s="746" t="s">
        <v>355</v>
      </c>
      <c r="N76" s="776">
        <f t="shared" si="10"/>
        <v>102546575.34246576</v>
      </c>
    </row>
    <row r="77" spans="1:14" s="784" customFormat="1">
      <c r="A77" s="779" t="s">
        <v>576</v>
      </c>
      <c r="B77" s="780" t="s">
        <v>964</v>
      </c>
      <c r="C77" s="781" t="s">
        <v>1582</v>
      </c>
      <c r="D77" s="782">
        <v>44421</v>
      </c>
      <c r="E77" s="782">
        <v>45512</v>
      </c>
      <c r="F77" s="783">
        <v>6.5000000000000002E-2</v>
      </c>
      <c r="G77" s="781">
        <v>100000000</v>
      </c>
      <c r="H77" s="781">
        <v>19482191.780821919</v>
      </c>
      <c r="I77" s="781">
        <v>16935616.438356165</v>
      </c>
      <c r="J77" s="781">
        <f t="shared" si="9"/>
        <v>102546575.34246576</v>
      </c>
      <c r="L77" s="746" t="s">
        <v>355</v>
      </c>
      <c r="M77" s="746" t="s">
        <v>355</v>
      </c>
      <c r="N77" s="776">
        <f t="shared" si="10"/>
        <v>102546575.34246576</v>
      </c>
    </row>
    <row r="78" spans="1:14" s="784" customFormat="1">
      <c r="A78" s="779" t="s">
        <v>576</v>
      </c>
      <c r="B78" s="780" t="s">
        <v>964</v>
      </c>
      <c r="C78" s="785" t="s">
        <v>1583</v>
      </c>
      <c r="D78" s="782">
        <v>44421</v>
      </c>
      <c r="E78" s="782">
        <v>45512</v>
      </c>
      <c r="F78" s="783">
        <v>6.5000000000000002E-2</v>
      </c>
      <c r="G78" s="781">
        <v>100000000</v>
      </c>
      <c r="H78" s="781">
        <v>19482191.780821919</v>
      </c>
      <c r="I78" s="781">
        <v>16935616.438356165</v>
      </c>
      <c r="J78" s="781">
        <f t="shared" si="9"/>
        <v>102546575.34246576</v>
      </c>
      <c r="L78" s="746" t="s">
        <v>355</v>
      </c>
      <c r="M78" s="746" t="s">
        <v>355</v>
      </c>
      <c r="N78" s="776">
        <f t="shared" si="10"/>
        <v>102546575.34246576</v>
      </c>
    </row>
    <row r="79" spans="1:14" s="784" customFormat="1">
      <c r="A79" s="779" t="s">
        <v>576</v>
      </c>
      <c r="B79" s="780" t="s">
        <v>964</v>
      </c>
      <c r="C79" s="785" t="s">
        <v>1584</v>
      </c>
      <c r="D79" s="782">
        <v>44421</v>
      </c>
      <c r="E79" s="782">
        <v>45512</v>
      </c>
      <c r="F79" s="783">
        <v>6.5000000000000002E-2</v>
      </c>
      <c r="G79" s="781">
        <v>100000000</v>
      </c>
      <c r="H79" s="781">
        <v>19482191.780821919</v>
      </c>
      <c r="I79" s="781">
        <v>16935616.438356165</v>
      </c>
      <c r="J79" s="781">
        <f t="shared" si="9"/>
        <v>102546575.34246576</v>
      </c>
      <c r="L79" s="746" t="s">
        <v>355</v>
      </c>
      <c r="M79" s="746" t="s">
        <v>355</v>
      </c>
      <c r="N79" s="776">
        <f t="shared" si="10"/>
        <v>102546575.34246576</v>
      </c>
    </row>
    <row r="80" spans="1:14" s="784" customFormat="1">
      <c r="A80" s="779" t="s">
        <v>576</v>
      </c>
      <c r="B80" s="780" t="s">
        <v>964</v>
      </c>
      <c r="C80" s="785" t="s">
        <v>1392</v>
      </c>
      <c r="D80" s="782">
        <v>44428</v>
      </c>
      <c r="E80" s="782">
        <v>45519</v>
      </c>
      <c r="F80" s="783">
        <v>6.5000000000000002E-2</v>
      </c>
      <c r="G80" s="781">
        <v>5000000</v>
      </c>
      <c r="H80" s="781">
        <v>976780.82191780815</v>
      </c>
      <c r="I80" s="781">
        <v>853013.6986301369</v>
      </c>
      <c r="J80" s="781">
        <f t="shared" si="9"/>
        <v>5123767.1232876703</v>
      </c>
      <c r="L80" s="746" t="s">
        <v>355</v>
      </c>
      <c r="M80" s="746" t="s">
        <v>355</v>
      </c>
      <c r="N80" s="776">
        <f t="shared" si="10"/>
        <v>5123767.1232876703</v>
      </c>
    </row>
    <row r="81" spans="1:14" s="784" customFormat="1">
      <c r="A81" s="779" t="s">
        <v>576</v>
      </c>
      <c r="B81" s="780" t="s">
        <v>964</v>
      </c>
      <c r="C81" s="785" t="s">
        <v>1393</v>
      </c>
      <c r="D81" s="782">
        <v>44424</v>
      </c>
      <c r="E81" s="782">
        <v>45516</v>
      </c>
      <c r="F81" s="783">
        <v>6.5000000000000002E-2</v>
      </c>
      <c r="G81" s="781">
        <v>25000000</v>
      </c>
      <c r="H81" s="781">
        <v>4861643.8356164386</v>
      </c>
      <c r="I81" s="781">
        <v>4251712.3287671236</v>
      </c>
      <c r="J81" s="781">
        <f t="shared" si="9"/>
        <v>25609931.506849315</v>
      </c>
      <c r="L81" s="746" t="s">
        <v>355</v>
      </c>
      <c r="M81" s="746" t="s">
        <v>355</v>
      </c>
      <c r="N81" s="776">
        <f t="shared" si="10"/>
        <v>25609931.506849315</v>
      </c>
    </row>
    <row r="82" spans="1:14" s="784" customFormat="1">
      <c r="A82" s="779" t="s">
        <v>576</v>
      </c>
      <c r="B82" s="780" t="s">
        <v>964</v>
      </c>
      <c r="C82" s="785" t="s">
        <v>1394</v>
      </c>
      <c r="D82" s="782">
        <v>44427</v>
      </c>
      <c r="E82" s="782">
        <v>45518</v>
      </c>
      <c r="F82" s="783">
        <v>6.5000000000000002E-2</v>
      </c>
      <c r="G82" s="781">
        <v>50000000</v>
      </c>
      <c r="H82" s="781">
        <v>9714383.561643837</v>
      </c>
      <c r="I82" s="781">
        <v>8521232.8767123297</v>
      </c>
      <c r="J82" s="781">
        <f t="shared" si="9"/>
        <v>51193150.684931509</v>
      </c>
      <c r="L82" s="746" t="s">
        <v>355</v>
      </c>
      <c r="M82" s="746" t="s">
        <v>355</v>
      </c>
      <c r="N82" s="776">
        <f t="shared" si="10"/>
        <v>51193150.684931509</v>
      </c>
    </row>
    <row r="83" spans="1:14" s="784" customFormat="1">
      <c r="A83" s="779" t="s">
        <v>576</v>
      </c>
      <c r="B83" s="780" t="s">
        <v>964</v>
      </c>
      <c r="C83" s="785" t="s">
        <v>1395</v>
      </c>
      <c r="D83" s="782">
        <v>44426</v>
      </c>
      <c r="E83" s="782">
        <v>45518</v>
      </c>
      <c r="F83" s="783">
        <v>6.5000000000000002E-2</v>
      </c>
      <c r="G83" s="781">
        <v>80000000</v>
      </c>
      <c r="H83" s="781">
        <v>15656986.301369863</v>
      </c>
      <c r="I83" s="781">
        <v>13633972.602739725</v>
      </c>
      <c r="J83" s="781">
        <f t="shared" si="9"/>
        <v>82023013.698630139</v>
      </c>
      <c r="L83" s="746" t="s">
        <v>355</v>
      </c>
      <c r="M83" s="746" t="s">
        <v>355</v>
      </c>
      <c r="N83" s="776">
        <f t="shared" si="10"/>
        <v>82023013.698630139</v>
      </c>
    </row>
    <row r="84" spans="1:14" s="784" customFormat="1">
      <c r="A84" s="779" t="s">
        <v>576</v>
      </c>
      <c r="B84" s="780" t="s">
        <v>964</v>
      </c>
      <c r="C84" s="785" t="s">
        <v>1396</v>
      </c>
      <c r="D84" s="782">
        <v>44426</v>
      </c>
      <c r="E84" s="782">
        <v>45518</v>
      </c>
      <c r="F84" s="783">
        <v>6.5000000000000002E-2</v>
      </c>
      <c r="G84" s="781">
        <v>81700000</v>
      </c>
      <c r="H84" s="781">
        <v>16004246.575342467</v>
      </c>
      <c r="I84" s="781">
        <v>13923694.520547947</v>
      </c>
      <c r="J84" s="781">
        <f t="shared" si="9"/>
        <v>83780552.05479452</v>
      </c>
      <c r="L84" s="746" t="s">
        <v>355</v>
      </c>
      <c r="M84" s="746" t="s">
        <v>355</v>
      </c>
      <c r="N84" s="776">
        <f t="shared" si="10"/>
        <v>83780552.05479452</v>
      </c>
    </row>
    <row r="85" spans="1:14" s="784" customFormat="1">
      <c r="A85" s="779" t="s">
        <v>576</v>
      </c>
      <c r="B85" s="780" t="s">
        <v>964</v>
      </c>
      <c r="C85" s="785" t="s">
        <v>1397</v>
      </c>
      <c r="D85" s="782">
        <v>44418</v>
      </c>
      <c r="E85" s="782">
        <v>45510</v>
      </c>
      <c r="F85" s="783">
        <v>6.5000000000000002E-2</v>
      </c>
      <c r="G85" s="781">
        <v>100000000</v>
      </c>
      <c r="H85" s="781">
        <v>19446575.342465755</v>
      </c>
      <c r="I85" s="781">
        <v>16900000</v>
      </c>
      <c r="J85" s="781">
        <f t="shared" si="9"/>
        <v>102546575.34246576</v>
      </c>
      <c r="L85" s="746" t="s">
        <v>355</v>
      </c>
      <c r="M85" s="746" t="s">
        <v>355</v>
      </c>
      <c r="N85" s="776">
        <f t="shared" si="10"/>
        <v>102546575.34246576</v>
      </c>
    </row>
    <row r="86" spans="1:14" s="784" customFormat="1">
      <c r="A86" s="779" t="s">
        <v>576</v>
      </c>
      <c r="B86" s="780" t="s">
        <v>964</v>
      </c>
      <c r="C86" s="785" t="s">
        <v>1398</v>
      </c>
      <c r="D86" s="782">
        <v>44424</v>
      </c>
      <c r="E86" s="782">
        <v>45516</v>
      </c>
      <c r="F86" s="783">
        <v>6.5000000000000002E-2</v>
      </c>
      <c r="G86" s="781">
        <v>100000000</v>
      </c>
      <c r="H86" s="781">
        <v>19446575.342465755</v>
      </c>
      <c r="I86" s="781">
        <v>17006849.315068495</v>
      </c>
      <c r="J86" s="781">
        <f t="shared" si="9"/>
        <v>102439726.02739726</v>
      </c>
      <c r="L86" s="746" t="s">
        <v>355</v>
      </c>
      <c r="M86" s="746" t="s">
        <v>355</v>
      </c>
      <c r="N86" s="776">
        <f t="shared" si="10"/>
        <v>102439726.02739726</v>
      </c>
    </row>
    <row r="87" spans="1:14" s="784" customFormat="1">
      <c r="A87" s="779" t="s">
        <v>576</v>
      </c>
      <c r="B87" s="780" t="s">
        <v>964</v>
      </c>
      <c r="C87" s="781" t="s">
        <v>1399</v>
      </c>
      <c r="D87" s="782">
        <v>44428</v>
      </c>
      <c r="E87" s="782">
        <v>45520</v>
      </c>
      <c r="F87" s="783">
        <v>6.5000000000000002E-2</v>
      </c>
      <c r="G87" s="781">
        <v>103700000</v>
      </c>
      <c r="H87" s="781">
        <v>20166098.630136985</v>
      </c>
      <c r="I87" s="781">
        <v>17709971.232876711</v>
      </c>
      <c r="J87" s="781">
        <f t="shared" si="9"/>
        <v>106156127.39726028</v>
      </c>
      <c r="L87" s="746" t="s">
        <v>355</v>
      </c>
      <c r="M87" s="746" t="s">
        <v>355</v>
      </c>
      <c r="N87" s="776">
        <f t="shared" si="10"/>
        <v>106156127.39726028</v>
      </c>
    </row>
    <row r="88" spans="1:14" s="784" customFormat="1">
      <c r="A88" s="779" t="s">
        <v>576</v>
      </c>
      <c r="B88" s="780" t="s">
        <v>964</v>
      </c>
      <c r="C88" s="785" t="s">
        <v>1400</v>
      </c>
      <c r="D88" s="782">
        <v>44426</v>
      </c>
      <c r="E88" s="782">
        <v>45518</v>
      </c>
      <c r="F88" s="783">
        <v>6.5000000000000002E-2</v>
      </c>
      <c r="G88" s="781">
        <v>115000000</v>
      </c>
      <c r="H88" s="781">
        <v>22363561.643835615</v>
      </c>
      <c r="I88" s="781">
        <v>19598835.616438355</v>
      </c>
      <c r="J88" s="781">
        <f t="shared" si="9"/>
        <v>117764726.02739725</v>
      </c>
      <c r="L88" s="746" t="s">
        <v>355</v>
      </c>
      <c r="M88" s="746" t="s">
        <v>355</v>
      </c>
      <c r="N88" s="776">
        <f t="shared" si="10"/>
        <v>117764726.02739725</v>
      </c>
    </row>
    <row r="89" spans="1:14" s="784" customFormat="1">
      <c r="A89" s="779" t="s">
        <v>576</v>
      </c>
      <c r="B89" s="780" t="s">
        <v>964</v>
      </c>
      <c r="C89" s="781" t="s">
        <v>1401</v>
      </c>
      <c r="D89" s="782">
        <v>44426</v>
      </c>
      <c r="E89" s="782">
        <v>45518</v>
      </c>
      <c r="F89" s="783">
        <v>6.5000000000000002E-2</v>
      </c>
      <c r="G89" s="781">
        <v>115000000</v>
      </c>
      <c r="H89" s="781">
        <v>22363561.643835615</v>
      </c>
      <c r="I89" s="781">
        <v>19598835.616438355</v>
      </c>
      <c r="J89" s="781">
        <f t="shared" si="9"/>
        <v>117764726.02739725</v>
      </c>
      <c r="L89" s="746" t="s">
        <v>355</v>
      </c>
      <c r="M89" s="746" t="s">
        <v>355</v>
      </c>
      <c r="N89" s="776">
        <f t="shared" si="10"/>
        <v>117764726.02739725</v>
      </c>
    </row>
    <row r="90" spans="1:14" s="784" customFormat="1">
      <c r="A90" s="779" t="s">
        <v>576</v>
      </c>
      <c r="B90" s="780" t="s">
        <v>964</v>
      </c>
      <c r="C90" s="785" t="s">
        <v>1402</v>
      </c>
      <c r="D90" s="782">
        <v>44446</v>
      </c>
      <c r="E90" s="782">
        <v>45526</v>
      </c>
      <c r="F90" s="783">
        <v>6.5000000000000002E-2</v>
      </c>
      <c r="G90" s="781">
        <v>132600000</v>
      </c>
      <c r="H90" s="781">
        <v>25502794.520547949</v>
      </c>
      <c r="I90" s="781">
        <v>22787219.178082194</v>
      </c>
      <c r="J90" s="781">
        <f t="shared" si="9"/>
        <v>135315575.34246576</v>
      </c>
      <c r="L90" s="746" t="s">
        <v>355</v>
      </c>
      <c r="M90" s="746" t="s">
        <v>355</v>
      </c>
      <c r="N90" s="776">
        <f t="shared" si="10"/>
        <v>135315575.34246576</v>
      </c>
    </row>
    <row r="91" spans="1:14" s="784" customFormat="1">
      <c r="A91" s="779" t="s">
        <v>576</v>
      </c>
      <c r="B91" s="780" t="s">
        <v>964</v>
      </c>
      <c r="C91" s="785" t="s">
        <v>1403</v>
      </c>
      <c r="D91" s="782">
        <v>44427</v>
      </c>
      <c r="E91" s="782">
        <v>45519</v>
      </c>
      <c r="F91" s="783">
        <v>6.5000000000000002E-2</v>
      </c>
      <c r="G91" s="781">
        <v>140000000</v>
      </c>
      <c r="H91" s="781">
        <v>27225205.479452055</v>
      </c>
      <c r="I91" s="781">
        <v>23884383.561643839</v>
      </c>
      <c r="J91" s="781">
        <f t="shared" si="9"/>
        <v>143340821.9178082</v>
      </c>
      <c r="L91" s="746" t="s">
        <v>355</v>
      </c>
      <c r="M91" s="746" t="s">
        <v>355</v>
      </c>
      <c r="N91" s="776">
        <f t="shared" si="10"/>
        <v>143340821.9178082</v>
      </c>
    </row>
    <row r="92" spans="1:14" s="784" customFormat="1">
      <c r="A92" s="779" t="s">
        <v>576</v>
      </c>
      <c r="B92" s="780" t="s">
        <v>964</v>
      </c>
      <c r="C92" s="785" t="s">
        <v>1404</v>
      </c>
      <c r="D92" s="782">
        <v>44427</v>
      </c>
      <c r="E92" s="782">
        <v>45519</v>
      </c>
      <c r="F92" s="783">
        <v>6.5000000000000002E-2</v>
      </c>
      <c r="G92" s="781">
        <v>160000000</v>
      </c>
      <c r="H92" s="781">
        <v>31114520.547945205</v>
      </c>
      <c r="I92" s="781">
        <v>27296438.356164381</v>
      </c>
      <c r="J92" s="781">
        <f t="shared" si="9"/>
        <v>163818082.19178081</v>
      </c>
      <c r="L92" s="746" t="s">
        <v>355</v>
      </c>
      <c r="M92" s="746" t="s">
        <v>355</v>
      </c>
      <c r="N92" s="776">
        <f t="shared" si="10"/>
        <v>163818082.19178081</v>
      </c>
    </row>
    <row r="93" spans="1:14" s="784" customFormat="1">
      <c r="A93" s="779" t="s">
        <v>576</v>
      </c>
      <c r="B93" s="780" t="s">
        <v>964</v>
      </c>
      <c r="C93" s="785" t="s">
        <v>1405</v>
      </c>
      <c r="D93" s="782">
        <v>44428</v>
      </c>
      <c r="E93" s="782">
        <v>45519</v>
      </c>
      <c r="F93" s="783">
        <v>6.5000000000000002E-2</v>
      </c>
      <c r="G93" s="781">
        <v>200000000</v>
      </c>
      <c r="H93" s="781">
        <v>38857534.246575341</v>
      </c>
      <c r="I93" s="781">
        <v>34120547.94520548</v>
      </c>
      <c r="J93" s="781">
        <f t="shared" si="9"/>
        <v>204736986.30136988</v>
      </c>
      <c r="L93" s="746" t="s">
        <v>355</v>
      </c>
      <c r="M93" s="746" t="s">
        <v>355</v>
      </c>
      <c r="N93" s="776">
        <f t="shared" si="10"/>
        <v>204736986.30136988</v>
      </c>
    </row>
    <row r="94" spans="1:14" s="784" customFormat="1">
      <c r="A94" s="779" t="s">
        <v>576</v>
      </c>
      <c r="B94" s="780" t="s">
        <v>964</v>
      </c>
      <c r="C94" s="785" t="s">
        <v>1406</v>
      </c>
      <c r="D94" s="782">
        <v>44428</v>
      </c>
      <c r="E94" s="782">
        <v>45520</v>
      </c>
      <c r="F94" s="783">
        <v>6.5000000000000002E-2</v>
      </c>
      <c r="G94" s="781">
        <v>200000000</v>
      </c>
      <c r="H94" s="781">
        <v>38893150.684931509</v>
      </c>
      <c r="I94" s="781">
        <v>34156164.383561648</v>
      </c>
      <c r="J94" s="781">
        <f t="shared" si="9"/>
        <v>204736986.30136988</v>
      </c>
      <c r="L94" s="746" t="s">
        <v>355</v>
      </c>
      <c r="M94" s="746" t="s">
        <v>355</v>
      </c>
      <c r="N94" s="776">
        <f t="shared" si="10"/>
        <v>204736986.30136988</v>
      </c>
    </row>
    <row r="95" spans="1:14" s="784" customFormat="1">
      <c r="A95" s="779" t="s">
        <v>576</v>
      </c>
      <c r="B95" s="780" t="s">
        <v>964</v>
      </c>
      <c r="C95" s="785" t="s">
        <v>1407</v>
      </c>
      <c r="D95" s="782">
        <v>44427</v>
      </c>
      <c r="E95" s="782">
        <v>45519</v>
      </c>
      <c r="F95" s="783">
        <v>6.5000000000000002E-2</v>
      </c>
      <c r="G95" s="781">
        <v>200000000</v>
      </c>
      <c r="H95" s="781">
        <v>38893150.684931509</v>
      </c>
      <c r="I95" s="781">
        <v>34120547.94520548</v>
      </c>
      <c r="J95" s="781">
        <f t="shared" si="9"/>
        <v>204772602.73972604</v>
      </c>
      <c r="L95" s="746" t="s">
        <v>355</v>
      </c>
      <c r="M95" s="746" t="s">
        <v>355</v>
      </c>
      <c r="N95" s="776">
        <f t="shared" si="10"/>
        <v>204772602.73972604</v>
      </c>
    </row>
    <row r="96" spans="1:14" s="784" customFormat="1">
      <c r="A96" s="779" t="s">
        <v>576</v>
      </c>
      <c r="B96" s="780" t="s">
        <v>964</v>
      </c>
      <c r="C96" s="785" t="s">
        <v>1408</v>
      </c>
      <c r="D96" s="782">
        <v>44427</v>
      </c>
      <c r="E96" s="782">
        <v>45519</v>
      </c>
      <c r="F96" s="783">
        <v>6.5000000000000002E-2</v>
      </c>
      <c r="G96" s="781">
        <v>200000000</v>
      </c>
      <c r="H96" s="781">
        <v>38893150.684931509</v>
      </c>
      <c r="I96" s="781">
        <v>34120547.94520548</v>
      </c>
      <c r="J96" s="781">
        <f t="shared" si="9"/>
        <v>204772602.73972604</v>
      </c>
      <c r="L96" s="746" t="s">
        <v>355</v>
      </c>
      <c r="M96" s="746" t="s">
        <v>355</v>
      </c>
      <c r="N96" s="776">
        <f t="shared" si="10"/>
        <v>204772602.73972604</v>
      </c>
    </row>
    <row r="97" spans="1:14" s="784" customFormat="1">
      <c r="A97" s="779" t="s">
        <v>576</v>
      </c>
      <c r="B97" s="780" t="s">
        <v>964</v>
      </c>
      <c r="C97" s="785" t="s">
        <v>1409</v>
      </c>
      <c r="D97" s="782">
        <v>44426</v>
      </c>
      <c r="E97" s="782">
        <v>45518</v>
      </c>
      <c r="F97" s="783">
        <v>6.5000000000000002E-2</v>
      </c>
      <c r="G97" s="781">
        <v>230000000</v>
      </c>
      <c r="H97" s="781">
        <v>45054794.520547941</v>
      </c>
      <c r="I97" s="781">
        <v>39197671.232876711</v>
      </c>
      <c r="J97" s="781">
        <f t="shared" si="9"/>
        <v>235857123.28767121</v>
      </c>
      <c r="L97" s="746" t="s">
        <v>355</v>
      </c>
      <c r="M97" s="746" t="s">
        <v>355</v>
      </c>
      <c r="N97" s="776">
        <f t="shared" si="10"/>
        <v>235857123.28767121</v>
      </c>
    </row>
    <row r="98" spans="1:14" s="784" customFormat="1">
      <c r="A98" s="779" t="s">
        <v>576</v>
      </c>
      <c r="B98" s="780" t="s">
        <v>964</v>
      </c>
      <c r="C98" s="785" t="s">
        <v>1410</v>
      </c>
      <c r="D98" s="782">
        <v>44427</v>
      </c>
      <c r="E98" s="782">
        <v>45519</v>
      </c>
      <c r="F98" s="783">
        <v>6.5000000000000002E-2</v>
      </c>
      <c r="G98" s="781">
        <v>230000000</v>
      </c>
      <c r="H98" s="781">
        <v>44727123.287671231</v>
      </c>
      <c r="I98" s="781">
        <v>39238630.1369863</v>
      </c>
      <c r="J98" s="781">
        <f t="shared" si="9"/>
        <v>235488493.15068489</v>
      </c>
      <c r="L98" s="746" t="s">
        <v>355</v>
      </c>
      <c r="M98" s="746" t="s">
        <v>355</v>
      </c>
      <c r="N98" s="776">
        <f t="shared" si="10"/>
        <v>235488493.15068489</v>
      </c>
    </row>
    <row r="99" spans="1:14" s="784" customFormat="1">
      <c r="A99" s="779" t="s">
        <v>576</v>
      </c>
      <c r="B99" s="780" t="s">
        <v>964</v>
      </c>
      <c r="C99" s="781" t="s">
        <v>1411</v>
      </c>
      <c r="D99" s="782">
        <v>44421</v>
      </c>
      <c r="E99" s="782">
        <v>45512</v>
      </c>
      <c r="F99" s="783">
        <v>6.5000000000000002E-2</v>
      </c>
      <c r="G99" s="781">
        <v>250000000</v>
      </c>
      <c r="H99" s="781">
        <v>48571917.80821918</v>
      </c>
      <c r="I99" s="781">
        <v>42339041.095890403</v>
      </c>
      <c r="J99" s="781">
        <f t="shared" si="9"/>
        <v>256232876.71232879</v>
      </c>
      <c r="L99" s="746" t="s">
        <v>355</v>
      </c>
      <c r="M99" s="746" t="s">
        <v>355</v>
      </c>
      <c r="N99" s="776">
        <f t="shared" si="10"/>
        <v>256232876.71232879</v>
      </c>
    </row>
    <row r="100" spans="1:14" s="784" customFormat="1">
      <c r="A100" s="779" t="s">
        <v>576</v>
      </c>
      <c r="B100" s="780" t="s">
        <v>964</v>
      </c>
      <c r="C100" s="785" t="s">
        <v>1412</v>
      </c>
      <c r="D100" s="782">
        <v>44431</v>
      </c>
      <c r="E100" s="782">
        <v>45523</v>
      </c>
      <c r="F100" s="783">
        <v>6.5000000000000002E-2</v>
      </c>
      <c r="G100" s="781">
        <v>300000000</v>
      </c>
      <c r="H100" s="781">
        <v>58553424.657534242</v>
      </c>
      <c r="I100" s="781">
        <v>51394520.547945194</v>
      </c>
      <c r="J100" s="781">
        <f t="shared" si="9"/>
        <v>307158904.10958904</v>
      </c>
      <c r="L100" s="746" t="s">
        <v>355</v>
      </c>
      <c r="M100" s="746" t="s">
        <v>355</v>
      </c>
      <c r="N100" s="776">
        <f t="shared" si="10"/>
        <v>307158904.10958904</v>
      </c>
    </row>
    <row r="101" spans="1:14" s="784" customFormat="1">
      <c r="A101" s="779" t="s">
        <v>576</v>
      </c>
      <c r="B101" s="780" t="s">
        <v>964</v>
      </c>
      <c r="C101" s="785" t="s">
        <v>1585</v>
      </c>
      <c r="D101" s="782">
        <v>44236</v>
      </c>
      <c r="E101" s="782">
        <v>44627</v>
      </c>
      <c r="F101" s="783">
        <v>3.2000000000000001E-2</v>
      </c>
      <c r="G101" s="781">
        <v>125000000</v>
      </c>
      <c r="H101" s="781">
        <v>997260.52054794505</v>
      </c>
      <c r="I101" s="781">
        <v>723287.67123287625</v>
      </c>
      <c r="J101" s="781">
        <f t="shared" si="9"/>
        <v>125273972.84931506</v>
      </c>
      <c r="L101" s="746" t="s">
        <v>355</v>
      </c>
      <c r="M101" s="746" t="s">
        <v>355</v>
      </c>
      <c r="N101" s="776">
        <f t="shared" si="10"/>
        <v>125273972.84931506</v>
      </c>
    </row>
    <row r="102" spans="1:14" s="784" customFormat="1">
      <c r="A102" s="779" t="s">
        <v>576</v>
      </c>
      <c r="B102" s="780" t="s">
        <v>964</v>
      </c>
      <c r="C102" s="785" t="s">
        <v>1586</v>
      </c>
      <c r="D102" s="782">
        <v>44498</v>
      </c>
      <c r="E102" s="782">
        <v>45590</v>
      </c>
      <c r="F102" s="783">
        <v>6.5000000000000002E-2</v>
      </c>
      <c r="G102" s="781">
        <v>100000000</v>
      </c>
      <c r="H102" s="781">
        <v>19446575.342465755</v>
      </c>
      <c r="I102" s="781">
        <v>18324657.534246575</v>
      </c>
      <c r="J102" s="781">
        <f t="shared" si="9"/>
        <v>101121917.80821918</v>
      </c>
      <c r="L102" s="746" t="s">
        <v>355</v>
      </c>
      <c r="M102" s="746" t="s">
        <v>355</v>
      </c>
      <c r="N102" s="776">
        <f t="shared" si="10"/>
        <v>101121917.80821918</v>
      </c>
    </row>
    <row r="103" spans="1:14" s="784" customFormat="1">
      <c r="A103" s="779" t="s">
        <v>576</v>
      </c>
      <c r="B103" s="780" t="s">
        <v>964</v>
      </c>
      <c r="C103" s="785" t="s">
        <v>1587</v>
      </c>
      <c r="D103" s="782">
        <v>43992</v>
      </c>
      <c r="E103" s="782">
        <v>44718</v>
      </c>
      <c r="F103" s="783">
        <v>6.5000000000000002E-2</v>
      </c>
      <c r="G103" s="781">
        <v>149999999.99999997</v>
      </c>
      <c r="H103" s="781">
        <v>4968493.0136986291</v>
      </c>
      <c r="I103" s="781">
        <v>4193835.6164383572</v>
      </c>
      <c r="J103" s="781">
        <f t="shared" si="9"/>
        <v>150774657.39726025</v>
      </c>
      <c r="L103" s="746" t="s">
        <v>355</v>
      </c>
      <c r="M103" s="746" t="s">
        <v>355</v>
      </c>
      <c r="N103" s="776">
        <f t="shared" si="10"/>
        <v>150774657.39726025</v>
      </c>
    </row>
    <row r="104" spans="1:14" s="784" customFormat="1">
      <c r="A104" s="779" t="s">
        <v>576</v>
      </c>
      <c r="B104" s="780" t="s">
        <v>964</v>
      </c>
      <c r="C104" s="785" t="s">
        <v>1588</v>
      </c>
      <c r="D104" s="782">
        <v>44400</v>
      </c>
      <c r="E104" s="782">
        <v>44951</v>
      </c>
      <c r="F104" s="783">
        <v>3.2000000000000001E-2</v>
      </c>
      <c r="G104" s="781">
        <v>200000000</v>
      </c>
      <c r="H104" s="781">
        <v>9661369.8630136978</v>
      </c>
      <c r="I104" s="781">
        <v>6838356.1643835604</v>
      </c>
      <c r="J104" s="781">
        <f t="shared" si="9"/>
        <v>202823013.69863012</v>
      </c>
      <c r="L104" s="746" t="s">
        <v>355</v>
      </c>
      <c r="M104" s="746" t="s">
        <v>355</v>
      </c>
      <c r="N104" s="776">
        <f t="shared" si="10"/>
        <v>202823013.69863012</v>
      </c>
    </row>
    <row r="105" spans="1:14" s="784" customFormat="1">
      <c r="A105" s="779" t="s">
        <v>576</v>
      </c>
      <c r="B105" s="780" t="s">
        <v>964</v>
      </c>
      <c r="C105" s="785" t="s">
        <v>1589</v>
      </c>
      <c r="D105" s="782">
        <v>43761</v>
      </c>
      <c r="E105" s="782">
        <v>45205</v>
      </c>
      <c r="F105" s="783">
        <v>8.5000000000000006E-2</v>
      </c>
      <c r="G105" s="781">
        <v>850000000</v>
      </c>
      <c r="H105" s="781">
        <v>143312328.76712328</v>
      </c>
      <c r="I105" s="781">
        <v>127476712.32876712</v>
      </c>
      <c r="J105" s="781">
        <f t="shared" si="9"/>
        <v>865835616.43835616</v>
      </c>
      <c r="L105" s="746" t="s">
        <v>355</v>
      </c>
      <c r="M105" s="746" t="s">
        <v>355</v>
      </c>
      <c r="N105" s="776">
        <f t="shared" si="10"/>
        <v>865835616.43835616</v>
      </c>
    </row>
    <row r="106" spans="1:14" ht="14.4" thickBot="1">
      <c r="B106" s="753"/>
      <c r="C106" s="754"/>
      <c r="D106" s="755"/>
      <c r="E106" s="755"/>
      <c r="F106" s="732"/>
      <c r="G106" s="751">
        <f>+SUM(G62:G105)</f>
        <v>8007017205</v>
      </c>
      <c r="H106" s="751">
        <f>+SUM(H62:H105)</f>
        <v>1679208574.179692</v>
      </c>
      <c r="I106" s="751">
        <f>+SUM(I62:I105)</f>
        <v>1495389290.4741786</v>
      </c>
      <c r="J106" s="751">
        <f>+SUM(J62:J105)</f>
        <v>8190836488.7055149</v>
      </c>
      <c r="K106" s="777"/>
    </row>
    <row r="107" spans="1:14" ht="14.4" thickTop="1">
      <c r="B107" s="753"/>
      <c r="C107" s="754"/>
      <c r="D107" s="755"/>
      <c r="E107" s="755"/>
      <c r="F107" s="732"/>
      <c r="G107" s="752"/>
      <c r="H107" s="752"/>
      <c r="I107" s="752"/>
      <c r="J107" s="752"/>
    </row>
    <row r="108" spans="1:14">
      <c r="B108" s="753"/>
      <c r="C108" s="765"/>
      <c r="D108" s="766"/>
      <c r="E108" s="766"/>
      <c r="F108" s="767"/>
      <c r="G108" s="768"/>
      <c r="H108" s="768"/>
      <c r="I108" s="768"/>
      <c r="J108" s="768"/>
      <c r="L108" s="766"/>
      <c r="M108" s="769"/>
      <c r="N108" s="769"/>
    </row>
    <row r="109" spans="1:14">
      <c r="B109" s="753"/>
      <c r="C109" s="765"/>
      <c r="D109" s="766"/>
      <c r="E109" s="766"/>
      <c r="F109" s="767"/>
      <c r="G109" s="768"/>
      <c r="H109" s="768"/>
      <c r="I109" s="768"/>
      <c r="J109" s="768"/>
      <c r="L109" s="766"/>
      <c r="M109" s="769"/>
      <c r="N109" s="769"/>
    </row>
    <row r="110" spans="1:14">
      <c r="A110" s="739" t="s">
        <v>1590</v>
      </c>
      <c r="B110" s="740"/>
      <c r="C110" s="741"/>
      <c r="D110" s="740"/>
      <c r="E110" s="740"/>
      <c r="F110" s="740"/>
      <c r="G110" s="740"/>
      <c r="H110" s="740"/>
      <c r="I110" s="740"/>
      <c r="J110" s="740"/>
      <c r="L110" s="740"/>
      <c r="M110" s="742"/>
      <c r="N110" s="742"/>
    </row>
    <row r="111" spans="1:14" s="784" customFormat="1">
      <c r="A111" s="786" t="s">
        <v>1521</v>
      </c>
      <c r="B111" s="787" t="s">
        <v>965</v>
      </c>
      <c r="C111" s="788" t="s">
        <v>1591</v>
      </c>
      <c r="D111" s="789">
        <v>44467</v>
      </c>
      <c r="E111" s="789">
        <v>45197</v>
      </c>
      <c r="F111" s="790">
        <v>0.04</v>
      </c>
      <c r="G111" s="791">
        <v>150000</v>
      </c>
      <c r="H111" s="791">
        <v>12000</v>
      </c>
      <c r="I111" s="791">
        <v>10454.794520547945</v>
      </c>
      <c r="J111" s="791">
        <f>+G111+H111-I111</f>
        <v>151545.20547945207</v>
      </c>
      <c r="L111" s="746" t="s">
        <v>355</v>
      </c>
      <c r="M111" s="746" t="s">
        <v>355</v>
      </c>
      <c r="N111" s="792">
        <f>+J111</f>
        <v>151545.20547945207</v>
      </c>
    </row>
    <row r="112" spans="1:14" ht="14.4" thickBot="1">
      <c r="B112" s="753"/>
      <c r="C112" s="765"/>
      <c r="D112" s="766"/>
      <c r="E112" s="766"/>
      <c r="F112" s="767"/>
      <c r="G112" s="793">
        <f>+SUM(G111:G111)</f>
        <v>150000</v>
      </c>
      <c r="H112" s="793">
        <f>+SUM(H111:H111)</f>
        <v>12000</v>
      </c>
      <c r="I112" s="793">
        <f>+SUM(I111:I111)</f>
        <v>10454.794520547945</v>
      </c>
      <c r="J112" s="793">
        <f>+SUM(J111:J111)</f>
        <v>151545.20547945207</v>
      </c>
      <c r="K112" s="777"/>
      <c r="L112" s="766"/>
    </row>
    <row r="113" ht="14.4" thickTop="1"/>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N57"/>
  <sheetViews>
    <sheetView showGridLines="0" topLeftCell="A40" zoomScale="80" zoomScaleNormal="80" zoomScaleSheetLayoutView="100" workbookViewId="0">
      <selection activeCell="B54" sqref="B54:B58"/>
    </sheetView>
  </sheetViews>
  <sheetFormatPr baseColWidth="10" defaultColWidth="9.33203125" defaultRowHeight="13.8"/>
  <cols>
    <col min="1" max="1" width="4.33203125" style="814" customWidth="1"/>
    <col min="2" max="2" width="52.6640625" style="813" customWidth="1"/>
    <col min="3" max="3" width="20.33203125" style="813" customWidth="1"/>
    <col min="4" max="4" width="19.33203125" style="813" customWidth="1"/>
    <col min="5" max="5" width="15" style="813" customWidth="1"/>
    <col min="6" max="6" width="17.33203125" style="813" customWidth="1"/>
    <col min="7" max="7" width="17.88671875" style="813" customWidth="1"/>
    <col min="8" max="8" width="16.5546875" style="813" customWidth="1"/>
    <col min="9" max="9" width="16.88671875" style="816" bestFit="1" customWidth="1"/>
    <col min="10" max="10" width="18.6640625" style="813" customWidth="1"/>
    <col min="11" max="11" width="12.6640625" style="813" customWidth="1"/>
    <col min="12" max="12" width="14.5546875" style="813" bestFit="1" customWidth="1"/>
    <col min="13" max="13" width="14.5546875" style="813" customWidth="1"/>
    <col min="14" max="14" width="11.44140625" style="813" bestFit="1" customWidth="1"/>
    <col min="15" max="16384" width="9.33203125" style="813"/>
  </cols>
  <sheetData>
    <row r="1" spans="1:14" s="244" customFormat="1" ht="10.199999999999999" customHeight="1">
      <c r="B1" s="275"/>
      <c r="C1" s="275"/>
      <c r="D1" s="275"/>
      <c r="E1" s="275"/>
      <c r="F1" s="275"/>
      <c r="G1" s="275"/>
      <c r="H1" s="275"/>
      <c r="I1" s="275"/>
      <c r="J1" s="275"/>
      <c r="K1" s="275"/>
      <c r="L1" s="275"/>
    </row>
    <row r="2" spans="1:14" s="244" customFormat="1" ht="18">
      <c r="B2" s="841"/>
      <c r="C2" s="841"/>
      <c r="D2" s="841"/>
      <c r="E2" s="841"/>
      <c r="F2" s="841"/>
      <c r="G2" s="841"/>
      <c r="H2" s="841"/>
      <c r="I2" s="841"/>
      <c r="J2" s="841"/>
      <c r="K2" s="841"/>
      <c r="L2" s="841"/>
      <c r="M2" s="841"/>
    </row>
    <row r="3" spans="1:14" s="244" customFormat="1" ht="18">
      <c r="B3" s="991"/>
      <c r="C3" s="991"/>
      <c r="D3" s="991"/>
      <c r="E3" s="991"/>
      <c r="F3" s="991"/>
      <c r="G3" s="991"/>
      <c r="H3" s="991"/>
      <c r="I3" s="991"/>
      <c r="J3" s="991"/>
      <c r="K3" s="991"/>
      <c r="L3" s="991"/>
      <c r="M3" s="991"/>
    </row>
    <row r="4" spans="1:14" s="244" customFormat="1" ht="18">
      <c r="B4" s="991"/>
      <c r="C4" s="991"/>
      <c r="D4" s="991"/>
      <c r="E4" s="991"/>
      <c r="F4" s="991"/>
      <c r="G4" s="991"/>
      <c r="H4" s="991"/>
      <c r="I4" s="991"/>
      <c r="J4" s="991"/>
      <c r="K4" s="991"/>
      <c r="L4" s="991"/>
      <c r="M4" s="991"/>
    </row>
    <row r="5" spans="1:14" s="244" customFormat="1" ht="18">
      <c r="B5" s="991"/>
      <c r="C5" s="991"/>
      <c r="D5" s="991"/>
      <c r="E5" s="991"/>
      <c r="F5" s="991"/>
      <c r="G5" s="991"/>
      <c r="H5" s="991"/>
      <c r="I5" s="991"/>
      <c r="J5" s="991"/>
      <c r="K5" s="991"/>
      <c r="L5" s="991"/>
      <c r="M5" s="991"/>
    </row>
    <row r="6" spans="1:14" s="244" customFormat="1" ht="18">
      <c r="B6" s="991"/>
      <c r="C6" s="991"/>
      <c r="D6" s="991"/>
      <c r="E6" s="991"/>
      <c r="F6" s="991"/>
      <c r="G6" s="991"/>
      <c r="H6" s="991"/>
      <c r="I6" s="991"/>
      <c r="J6" s="991"/>
      <c r="K6" s="991"/>
      <c r="L6" s="991"/>
      <c r="M6" s="991"/>
    </row>
    <row r="7" spans="1:14" s="244" customFormat="1" ht="20.399999999999999" customHeight="1">
      <c r="B7" s="183"/>
      <c r="C7" s="183"/>
      <c r="D7" s="183"/>
      <c r="E7" s="183"/>
      <c r="F7" s="183"/>
      <c r="G7" s="183"/>
      <c r="H7" s="183"/>
      <c r="I7" s="183"/>
      <c r="J7" s="183"/>
      <c r="K7" s="183"/>
      <c r="L7" s="183"/>
      <c r="M7" s="183"/>
    </row>
    <row r="8" spans="1:14" s="402" customFormat="1" ht="16.8">
      <c r="A8" s="401"/>
      <c r="I8" s="404"/>
      <c r="K8" s="315" t="s">
        <v>1300</v>
      </c>
      <c r="L8" s="417"/>
      <c r="M8" s="417"/>
      <c r="N8" s="417"/>
    </row>
    <row r="9" spans="1:14" ht="14.4">
      <c r="A9" s="808"/>
      <c r="B9" s="809"/>
      <c r="C9" s="810"/>
      <c r="D9" s="811"/>
      <c r="E9" s="812"/>
      <c r="F9" s="812"/>
      <c r="I9" s="192"/>
    </row>
    <row r="10" spans="1:14">
      <c r="B10" s="815" t="s">
        <v>614</v>
      </c>
    </row>
    <row r="12" spans="1:14">
      <c r="B12" s="817" t="s">
        <v>490</v>
      </c>
    </row>
    <row r="13" spans="1:14">
      <c r="B13" s="813" t="s">
        <v>1730</v>
      </c>
    </row>
    <row r="15" spans="1:14">
      <c r="B15" s="817" t="s">
        <v>491</v>
      </c>
    </row>
    <row r="16" spans="1:14">
      <c r="B16" s="813" t="s">
        <v>492</v>
      </c>
    </row>
    <row r="18" spans="2:9">
      <c r="B18" s="817" t="s">
        <v>493</v>
      </c>
    </row>
    <row r="19" spans="2:9" ht="43.5" customHeight="1">
      <c r="B19" s="998" t="s">
        <v>1709</v>
      </c>
      <c r="C19" s="998"/>
      <c r="D19" s="998"/>
      <c r="E19" s="998"/>
      <c r="F19" s="998"/>
      <c r="G19" s="998"/>
      <c r="H19" s="998"/>
    </row>
    <row r="21" spans="2:9">
      <c r="B21" s="815" t="s">
        <v>654</v>
      </c>
    </row>
    <row r="22" spans="2:9" ht="28.5" customHeight="1">
      <c r="B22" s="996" t="s">
        <v>1731</v>
      </c>
      <c r="C22" s="996"/>
      <c r="D22" s="996"/>
      <c r="E22" s="996"/>
      <c r="F22" s="996"/>
      <c r="G22" s="996"/>
      <c r="H22" s="996"/>
      <c r="I22" s="818"/>
    </row>
    <row r="24" spans="2:9">
      <c r="B24" s="815" t="s">
        <v>655</v>
      </c>
    </row>
    <row r="25" spans="2:9">
      <c r="B25" s="813" t="s">
        <v>615</v>
      </c>
    </row>
    <row r="27" spans="2:9">
      <c r="B27" s="815" t="s">
        <v>656</v>
      </c>
    </row>
    <row r="28" spans="2:9" ht="33" customHeight="1">
      <c r="B28" s="997" t="s">
        <v>494</v>
      </c>
      <c r="C28" s="997"/>
      <c r="D28" s="997"/>
      <c r="E28" s="997"/>
      <c r="F28" s="997"/>
      <c r="G28" s="997"/>
      <c r="H28" s="997"/>
    </row>
    <row r="29" spans="2:9">
      <c r="B29" s="817"/>
    </row>
    <row r="30" spans="2:9">
      <c r="B30" s="815" t="s">
        <v>657</v>
      </c>
    </row>
    <row r="31" spans="2:9">
      <c r="B31" s="813" t="s">
        <v>495</v>
      </c>
    </row>
    <row r="33" spans="2:9">
      <c r="B33" s="819" t="s">
        <v>658</v>
      </c>
    </row>
    <row r="34" spans="2:9">
      <c r="B34" s="813" t="s">
        <v>1687</v>
      </c>
    </row>
    <row r="35" spans="2:9" ht="10.5" customHeight="1">
      <c r="B35" s="820"/>
      <c r="C35" s="820"/>
      <c r="D35" s="820"/>
      <c r="E35" s="820"/>
      <c r="F35" s="820"/>
      <c r="G35" s="820"/>
      <c r="H35" s="820"/>
    </row>
    <row r="36" spans="2:9">
      <c r="B36" s="819" t="s">
        <v>659</v>
      </c>
      <c r="C36" s="821"/>
      <c r="D36" s="821"/>
      <c r="E36" s="821"/>
      <c r="F36" s="821"/>
      <c r="G36" s="821"/>
      <c r="H36" s="821"/>
    </row>
    <row r="37" spans="2:9" ht="28.95" customHeight="1">
      <c r="B37" s="998" t="s">
        <v>1732</v>
      </c>
      <c r="C37" s="998"/>
      <c r="D37" s="998"/>
      <c r="E37" s="998"/>
      <c r="F37" s="998"/>
      <c r="G37" s="998"/>
      <c r="H37" s="998"/>
    </row>
    <row r="38" spans="2:9">
      <c r="B38" s="822"/>
      <c r="C38" s="822"/>
      <c r="D38" s="822"/>
      <c r="E38" s="822"/>
      <c r="F38" s="822"/>
      <c r="G38" s="822"/>
      <c r="H38" s="822"/>
    </row>
    <row r="39" spans="2:9">
      <c r="B39" s="822"/>
      <c r="C39" s="822"/>
      <c r="D39" s="822"/>
      <c r="E39" s="822"/>
      <c r="F39" s="822"/>
      <c r="G39" s="822"/>
      <c r="H39" s="822"/>
    </row>
    <row r="40" spans="2:9">
      <c r="B40" s="822"/>
      <c r="C40" s="822"/>
      <c r="D40" s="822"/>
      <c r="E40" s="822"/>
      <c r="F40" s="822"/>
      <c r="G40" s="822"/>
      <c r="H40" s="822"/>
    </row>
    <row r="41" spans="2:9">
      <c r="B41" s="822"/>
      <c r="C41" s="822"/>
      <c r="D41" s="822"/>
      <c r="E41" s="822"/>
      <c r="F41" s="822"/>
      <c r="G41" s="822"/>
      <c r="H41" s="822"/>
    </row>
    <row r="42" spans="2:9">
      <c r="B42" s="822"/>
      <c r="C42" s="822"/>
      <c r="D42" s="822"/>
      <c r="E42" s="822"/>
      <c r="F42" s="822"/>
      <c r="G42" s="822"/>
      <c r="H42" s="822"/>
    </row>
    <row r="43" spans="2:9">
      <c r="B43" s="822"/>
      <c r="C43" s="822"/>
      <c r="D43" s="822"/>
      <c r="E43" s="822"/>
      <c r="F43" s="822"/>
      <c r="G43" s="822"/>
      <c r="H43" s="822"/>
    </row>
    <row r="45" spans="2:9">
      <c r="B45" s="823" t="s">
        <v>1688</v>
      </c>
      <c r="C45" s="824" t="s">
        <v>337</v>
      </c>
      <c r="D45" s="824"/>
      <c r="E45" s="824" t="s">
        <v>1689</v>
      </c>
      <c r="F45" s="825"/>
      <c r="G45" s="826" t="s">
        <v>593</v>
      </c>
    </row>
    <row r="46" spans="2:9">
      <c r="B46" s="827" t="s">
        <v>110</v>
      </c>
      <c r="C46" s="828" t="s">
        <v>336</v>
      </c>
      <c r="D46" s="828"/>
      <c r="E46" s="828" t="s">
        <v>55</v>
      </c>
      <c r="F46" s="829"/>
      <c r="G46" s="828" t="s">
        <v>335</v>
      </c>
      <c r="H46" s="830"/>
      <c r="I46" s="831"/>
    </row>
    <row r="47" spans="2:9">
      <c r="B47" s="832"/>
      <c r="C47" s="832"/>
      <c r="D47" s="833"/>
      <c r="E47" s="187"/>
      <c r="G47" s="187"/>
      <c r="H47" s="833"/>
      <c r="I47" s="834"/>
    </row>
    <row r="48" spans="2:9" s="814" customFormat="1">
      <c r="I48" s="835"/>
    </row>
    <row r="55" spans="2:2">
      <c r="B55" s="928" t="s">
        <v>1742</v>
      </c>
    </row>
    <row r="56" spans="2:2">
      <c r="B56" s="929" t="s">
        <v>1743</v>
      </c>
    </row>
    <row r="57" spans="2:2" ht="15.6">
      <c r="B57" s="930" t="s">
        <v>1744</v>
      </c>
    </row>
  </sheetData>
  <mergeCells count="8">
    <mergeCell ref="B22:H22"/>
    <mergeCell ref="B28:H28"/>
    <mergeCell ref="B37:H37"/>
    <mergeCell ref="B3:M3"/>
    <mergeCell ref="B4:M4"/>
    <mergeCell ref="B5:M5"/>
    <mergeCell ref="B6:M6"/>
    <mergeCell ref="B19:H19"/>
  </mergeCells>
  <hyperlinks>
    <hyperlink ref="K8" location="INDICE!A1" display="Índice" xr:uid="{4D8B0DA5-7787-4BA4-9A1D-9CE0B6DE1572}"/>
  </hyperlinks>
  <pageMargins left="0.23622047244094491" right="0.23622047244094491" top="0.74803149606299213" bottom="0.74803149606299213" header="0.31496062992125984" footer="0.31496062992125984"/>
  <pageSetup paperSize="9" scale="77" orientation="landscape"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2S8YS/rIZLqb3bAlyMqX2Pxiur15VD6iOoda4xbWz+I=</DigestValue>
    </Reference>
    <Reference Type="http://www.w3.org/2000/09/xmldsig#Object" URI="#idOfficeObject">
      <DigestMethod Algorithm="http://www.w3.org/2001/04/xmlenc#sha256"/>
      <DigestValue>FxDpShzL0BqzqIJvWkbgGN2wG+MEvAn0apVFicNb3F0=</DigestValue>
    </Reference>
    <Reference Type="http://uri.etsi.org/01903#SignedProperties" URI="#idSignedProperties">
      <Transforms>
        <Transform Algorithm="http://www.w3.org/TR/2001/REC-xml-c14n-20010315"/>
      </Transforms>
      <DigestMethod Algorithm="http://www.w3.org/2001/04/xmlenc#sha256"/>
      <DigestValue>xBh7Lv2Z9dH5QYD9i9HCnBSTwr8VAwKZw8D3bNGnIkM=</DigestValue>
    </Reference>
    <Reference Type="http://www.w3.org/2000/09/xmldsig#Object" URI="#idValidSigLnImg">
      <DigestMethod Algorithm="http://www.w3.org/2001/04/xmlenc#sha256"/>
      <DigestValue>JvO86H9jddkI5wt/U8XzSzusLVCchOOy3uvZdBF+jzQ=</DigestValue>
    </Reference>
    <Reference Type="http://www.w3.org/2000/09/xmldsig#Object" URI="#idInvalidSigLnImg">
      <DigestMethod Algorithm="http://www.w3.org/2001/04/xmlenc#sha256"/>
      <DigestValue>qH9sb3NERozdMgupq6fwUkDPin1OD7q15JyRwvXWjR8=</DigestValue>
    </Reference>
  </SignedInfo>
  <SignatureValue>PAJNxiE4q0oDomoOQbwG7x4J4R5kwJCiYLuYa++wRUpKvC9cJ9+gmWHF/2x0QlqE3e+rwsZlA7FN
xG3Ft0Q2VTDQV0X8yDcjidllIgKCUJz4c1OsGnsImpy7CXij4KwMxJEIE9ur5O+ffD0sWCUdGuxt
Pmz0iT8dEAo7y4LOA0WLs/PvojfN5riz3QXdy5gJ+Vp4DlCUpqFwUb2mSTdYtDBfzejfUK4qc1Ij
JUTecUMWbSio2a+FVpaqQ66Sqh6/8z/EzCymci9Ao1XFJbT8oYa+wmiV0KQ3TUHBO3r0kFeTrV8G
O9Azlz/QtQJqat81CFnaMGWcrGPcDn1qlzXxOg==</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F2Dd8C0gQ13SPjSKGsbat8ReoKJaY1gSyBgwVxORtw0=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nl1cCpEpQtkwXMfB/mcc4p804T4Dt43qZF8uRntDz2E=</DigestValue>
      </Reference>
      <Reference URI="/xl/drawings/drawing4.xml?ContentType=application/vnd.openxmlformats-officedocument.drawing+xml">
        <DigestMethod Algorithm="http://www.w3.org/2001/04/xmlenc#sha256"/>
        <DigestValue>XkmIxtMQRAaZnwi8PiQZTg7X4iQJvuQbOeikMED0s7s=</DigestValue>
      </Reference>
      <Reference URI="/xl/drawings/drawing5.xml?ContentType=application/vnd.openxmlformats-officedocument.drawing+xml">
        <DigestMethod Algorithm="http://www.w3.org/2001/04/xmlenc#sha256"/>
        <DigestValue>8NQGHoL8AIWUrbTAKGbJcUH+qKwVcg9HMNwFfCatg6w=</DigestValue>
      </Reference>
      <Reference URI="/xl/drawings/drawing6.xml?ContentType=application/vnd.openxmlformats-officedocument.drawing+xml">
        <DigestMethod Algorithm="http://www.w3.org/2001/04/xmlenc#sha256"/>
        <DigestValue>9AdAO151FHMK8sTKKOq64Yww0yyN7gTjv9AbI90MWhI=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gX93Wsqn+VHjTR2R0EZgmInovlxkNtG5/BxaK8vM25o=</DigestValue>
      </Reference>
      <Reference URI="/xl/drawings/drawing9.xml?ContentType=application/vnd.openxmlformats-officedocument.drawing+xml">
        <DigestMethod Algorithm="http://www.w3.org/2001/04/xmlenc#sha256"/>
        <DigestValue>vBoh0I/Jb9Vs0oZuO7YkA5JVBMIm4W9BMzQhB/GozyQ=</DigestValue>
      </Reference>
      <Reference URI="/xl/drawings/vmlDrawing1.vml?ContentType=application/vnd.openxmlformats-officedocument.vmlDrawing">
        <DigestMethod Algorithm="http://www.w3.org/2001/04/xmlenc#sha256"/>
        <DigestValue>iRWt1IpxZiJWzn6iZIOu1r1ZKIpI+UKTF8EpIpEAAR8=</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d64z04pcYOmVTiPOsigr1YpK/kPjXDeA80zMOYoo62w=</DigestValue>
      </Reference>
      <Reference URI="/xl/media/image4.emf?ContentType=image/x-emf">
        <DigestMethod Algorithm="http://www.w3.org/2001/04/xmlenc#sha256"/>
        <DigestValue>JXchlu7lSf7vbzeYSJFKG6KnnODkxCTf9lnLDEFVZb4=</DigestValue>
      </Reference>
      <Reference URI="/xl/media/image5.emf?ContentType=image/x-emf">
        <DigestMethod Algorithm="http://www.w3.org/2001/04/xmlenc#sha256"/>
        <DigestValue>UY6S5zsYIU5ER2wQaNCMOOGut9UbpxdFz/GHC/KG7M8=</DigestValue>
      </Reference>
      <Reference URI="/xl/media/image6.emf?ContentType=image/x-emf">
        <DigestMethod Algorithm="http://www.w3.org/2001/04/xmlenc#sha256"/>
        <DigestValue>BJ8/BOJY/oSOcGN+IZktmK7tSMzLvgPXCyXQU0sfhaE=</DigestValue>
      </Reference>
      <Reference URI="/xl/media/image7.emf?ContentType=image/x-emf">
        <DigestMethod Algorithm="http://www.w3.org/2001/04/xmlenc#sha256"/>
        <DigestValue>hzGsAjrLndfaBzEld8ZyNGlFUGixK9wdzbreg20yqyE=</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9BEDvEtLT0sYKxzC33m1GXOVCEz7eNWpAlAQTHxciJc=</DigestValue>
      </Reference>
      <Reference URI="/xl/printerSettings/printerSettings24.bin?ContentType=application/vnd.openxmlformats-officedocument.spreadsheetml.printerSettings">
        <DigestMethod Algorithm="http://www.w3.org/2001/04/xmlenc#sha256"/>
        <DigestValue>MXec2D+WMU8itUC5NxoyllqwEi3fXNlaIfg2JySEdZE=</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MXec2D+WMU8itUC5NxoyllqwEi3fXNlaIfg2JySEdZE=</DigestValue>
      </Reference>
      <Reference URI="/xl/printerSettings/printerSettings29.bin?ContentType=application/vnd.openxmlformats-officedocument.spreadsheetml.printerSettings">
        <DigestMethod Algorithm="http://www.w3.org/2001/04/xmlenc#sha256"/>
        <DigestValue>nrwW2aOzrJ6w3s+3W+h5IvHukzB/6FZNl1merJBqyjs=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8ULINyTSns7e3+F/twyhXb2p4OEI5M6paxloUp/0tKM=</DigestValue>
      </Reference>
      <Reference URI="/xl/printerSettings/printerSettings32.bin?ContentType=application/vnd.openxmlformats-officedocument.spreadsheetml.printerSettings">
        <DigestMethod Algorithm="http://www.w3.org/2001/04/xmlenc#sha256"/>
        <DigestValue>8ULINyTSns7e3+F/twyhXb2p4OEI5M6paxloUp/0tKM=</DigestValue>
      </Reference>
      <Reference URI="/xl/printerSettings/printerSettings33.bin?ContentType=application/vnd.openxmlformats-officedocument.spreadsheetml.printerSettings">
        <DigestMethod Algorithm="http://www.w3.org/2001/04/xmlenc#sha256"/>
        <DigestValue>8ULINyTSns7e3+F/twyhXb2p4OEI5M6paxloUp/0tKM=</DigestValue>
      </Reference>
      <Reference URI="/xl/printerSettings/printerSettings34.bin?ContentType=application/vnd.openxmlformats-officedocument.spreadsheetml.printerSettings">
        <DigestMethod Algorithm="http://www.w3.org/2001/04/xmlenc#sha256"/>
        <DigestValue>eagKw4vkJta//EAXFo8pt3rkLlJe7nsQidLS/ebqtjQ=</DigestValue>
      </Reference>
      <Reference URI="/xl/printerSettings/printerSettings35.bin?ContentType=application/vnd.openxmlformats-officedocument.spreadsheetml.printerSettings">
        <DigestMethod Algorithm="http://www.w3.org/2001/04/xmlenc#sha256"/>
        <DigestValue>YE8L7X0odkmvBfLuwq0TSw4LKk7AsP9RKU8hniCLgyE=</DigestValue>
      </Reference>
      <Reference URI="/xl/printerSettings/printerSettings36.bin?ContentType=application/vnd.openxmlformats-officedocument.spreadsheetml.printerSettings">
        <DigestMethod Algorithm="http://www.w3.org/2001/04/xmlenc#sha256"/>
        <DigestValue>nrwW2aOzrJ6w3s+3W+h5IvHukzB/6FZNl1merJBqyjs=</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8Q+UYehsDIETlgtEv8wQ477lEayGoE57NiDAmAOfaP0=</DigestValue>
      </Reference>
      <Reference URI="/xl/styles.xml?ContentType=application/vnd.openxmlformats-officedocument.spreadsheetml.styles+xml">
        <DigestMethod Algorithm="http://www.w3.org/2001/04/xmlenc#sha256"/>
        <DigestValue>lBbfD06+6t8YbFR/mXiO5z4+4+vi7iy8H8W50D/nuoY=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5+l2TeDHjvAhy7Vmkxa7ELYShAapeVIKlKGopCypSH0=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dSttE6mOEu2epbtAR6+aqg1OXVjQ+cHG1PnAlvkH8xE=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KZqL6rTLsCUXth8uQO5PSSHqKgaVCOSzYJQeqnfQDiE=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sheet1.xml?ContentType=application/vnd.openxmlformats-officedocument.spreadsheetml.worksheet+xml">
        <DigestMethod Algorithm="http://www.w3.org/2001/04/xmlenc#sha256"/>
        <DigestValue>myD8xq3a/nxIakOMSIXlsXf2cWGcvsjvEShQnq4U8Kc=</DigestValue>
      </Reference>
      <Reference URI="/xl/worksheets/sheet10.xml?ContentType=application/vnd.openxmlformats-officedocument.spreadsheetml.worksheet+xml">
        <DigestMethod Algorithm="http://www.w3.org/2001/04/xmlenc#sha256"/>
        <DigestValue>XZS3kcT0Zvs/sQh0gwcrTgGYG6d4E1T2fNUR1XWEPc4=</DigestValue>
      </Reference>
      <Reference URI="/xl/worksheets/sheet11.xml?ContentType=application/vnd.openxmlformats-officedocument.spreadsheetml.worksheet+xml">
        <DigestMethod Algorithm="http://www.w3.org/2001/04/xmlenc#sha256"/>
        <DigestValue>g3+d3UbegoGiDccZCYMGVUqgEunY+RTpTkVzgc/cymo=</DigestValue>
      </Reference>
      <Reference URI="/xl/worksheets/sheet12.xml?ContentType=application/vnd.openxmlformats-officedocument.spreadsheetml.worksheet+xml">
        <DigestMethod Algorithm="http://www.w3.org/2001/04/xmlenc#sha256"/>
        <DigestValue>otaC3YSgHl4JVY5twhg22XjszEihusbguTHXU/aP91g=</DigestValue>
      </Reference>
      <Reference URI="/xl/worksheets/sheet13.xml?ContentType=application/vnd.openxmlformats-officedocument.spreadsheetml.worksheet+xml">
        <DigestMethod Algorithm="http://www.w3.org/2001/04/xmlenc#sha256"/>
        <DigestValue>ZvPoMIEHVPsTNwNvYLvLLuIdRr6nZ+lyH8E/hoq4sIg=</DigestValue>
      </Reference>
      <Reference URI="/xl/worksheets/sheet14.xml?ContentType=application/vnd.openxmlformats-officedocument.spreadsheetml.worksheet+xml">
        <DigestMethod Algorithm="http://www.w3.org/2001/04/xmlenc#sha256"/>
        <DigestValue>cys5T1XS417li6+Aiclrxs2C37AChLjd0fp25qmvlM4=</DigestValue>
      </Reference>
      <Reference URI="/xl/worksheets/sheet2.xml?ContentType=application/vnd.openxmlformats-officedocument.spreadsheetml.worksheet+xml">
        <DigestMethod Algorithm="http://www.w3.org/2001/04/xmlenc#sha256"/>
        <DigestValue>b0MLK46cNZSS47I7O/Olr12EOTmurQaybUzy+W8uhX8=</DigestValue>
      </Reference>
      <Reference URI="/xl/worksheets/sheet3.xml?ContentType=application/vnd.openxmlformats-officedocument.spreadsheetml.worksheet+xml">
        <DigestMethod Algorithm="http://www.w3.org/2001/04/xmlenc#sha256"/>
        <DigestValue>eup6CoZSCexoCYtUXZii8Z1WaWvZd/vAV0UZI0EDOHY=</DigestValue>
      </Reference>
      <Reference URI="/xl/worksheets/sheet4.xml?ContentType=application/vnd.openxmlformats-officedocument.spreadsheetml.worksheet+xml">
        <DigestMethod Algorithm="http://www.w3.org/2001/04/xmlenc#sha256"/>
        <DigestValue>NZb5rwnEczw65IH0vdpU3rgs8UnacWZnLbvZlRee9bs=</DigestValue>
      </Reference>
      <Reference URI="/xl/worksheets/sheet5.xml?ContentType=application/vnd.openxmlformats-officedocument.spreadsheetml.worksheet+xml">
        <DigestMethod Algorithm="http://www.w3.org/2001/04/xmlenc#sha256"/>
        <DigestValue>IlnyhUuFRiaJ1BwPHay2+cxY1VoeBt9qnmNpPoBVinc=</DigestValue>
      </Reference>
      <Reference URI="/xl/worksheets/sheet6.xml?ContentType=application/vnd.openxmlformats-officedocument.spreadsheetml.worksheet+xml">
        <DigestMethod Algorithm="http://www.w3.org/2001/04/xmlenc#sha256"/>
        <DigestValue>TxtMDpMj155HN7f9zo1xL9oH1S5muJG7yFdd0exHjCc=</DigestValue>
      </Reference>
      <Reference URI="/xl/worksheets/sheet7.xml?ContentType=application/vnd.openxmlformats-officedocument.spreadsheetml.worksheet+xml">
        <DigestMethod Algorithm="http://www.w3.org/2001/04/xmlenc#sha256"/>
        <DigestValue>Hn1/txo0z6sXB3vwHt1PokKJu45+h00Yt/80kTOe/Dg=</DigestValue>
      </Reference>
      <Reference URI="/xl/worksheets/sheet8.xml?ContentType=application/vnd.openxmlformats-officedocument.spreadsheetml.worksheet+xml">
        <DigestMethod Algorithm="http://www.w3.org/2001/04/xmlenc#sha256"/>
        <DigestValue>KFo35hYJ2YQGjxD9+Fb4T6Sdiv/pX92j6rdRql6qDQg=</DigestValue>
      </Reference>
      <Reference URI="/xl/worksheets/sheet9.xml?ContentType=application/vnd.openxmlformats-officedocument.spreadsheetml.worksheet+xml">
        <DigestMethod Algorithm="http://www.w3.org/2001/04/xmlenc#sha256"/>
        <DigestValue>t078EiGsx72U+N+uMWzTEB89GJNy7qvF7FEA5zGQZYs=</DigestValue>
      </Reference>
    </Manifest>
    <SignatureProperties>
      <SignatureProperty Id="idSignatureTime" Target="#idPackageSignature">
        <mdssi:SignatureTime xmlns:mdssi="http://schemas.openxmlformats.org/package/2006/digital-signature">
          <mdssi:Format>YYYY-MM-DDThh:mm:ssTZD</mdssi:Format>
          <mdssi:Value>2022-04-01T02:03:13Z</mdssi:Value>
        </mdssi:SignatureTime>
      </SignatureProperty>
    </SignatureProperties>
  </Object>
  <Object Id="idOfficeObject">
    <SignatureProperties>
      <SignatureProperty Id="idOfficeV1Details" Target="#idPackageSignature">
        <SignatureInfoV1 xmlns="http://schemas.microsoft.com/office/2006/digsig">
          <SetupID>{13C754B5-51AF-44A7-8967-A80ECC36A24A}</SetupID>
          <SignatureText>Shirley Vichini</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2022-04-01T02:03:13Z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s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0Ij6+n8AAADQiPr6fwAAVDZs+vp/AAAAAIhf+38AAEFp3vn6fwAAMBaIX/t/AABUNmz6+n8AAMgWAAAAAAAAQAAAwPp/AAAAAIhf+38AABFs3vn6fwAABAAAAAAAAAAwFohf+38AAFC6f4eIAAAAVDZs+gAAAABIAAAAAAAAAFQ2bPr6fwAAqNOI+vp/AACAOmz6+n8AAAEAAAAAAAAA/l9s+vp/AAAAAIhf+38AAAAAAAAAAAAAAAAAAIgAAACwvn+HiAAAAPDjBfmqAQAAW6azXft/AAAwu3+HiAAAAMm7f4eIAAAAAAAAAAAAAAAAAAAAZHYACAAAAAAlAAAADAAAAAEAAAAYAAAADAAAAAAAAAASAAAADAAAAAEAAAAeAAAAGAAAAO4AAAAFAAAAMgEAABYAAAAlAAAADAAAAAEAAABUAAAAiAAAAO8AAAAFAAAAMAEAABUAAAABAAAAVVWPQYX2jkHvAAAABQAAAAoAAABMAAAAAAAAAAAAAAAAAAAA//////////9gAAAAMwAxAC8AMAAz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HDtRPaqAQAAAAAAAAAAAAABAAAAAAAAAIiu1l37fwAAAAAAAAAAAACAP4hf+38AAAkAAAABAAAACQAAAAAAAAAAAAAAAAAAAAAAAAAAAAAA/0noqJ9oAAARAAAAiAAAABDz4oqqAQAAEHSfj6oBAADw4wX5qgEAAJDbf4cAAAAAAAAAAAAAAAAHAAAAAAAAAAAAAAAAAAAAzNp/h4gAAAAJ23+HiAAAAGG3r137fwAA6CuB+vp/AAAAAMj5AAAAAJDTiPr6fwAAYNp/h4gAAADw4wX5qgEAAFums137fwAAcNp/h4gAAAAJ23+HiAAAAIDqwY+qAQ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Dn9qoBAAAAAAAAqgEAACgAAAAAAAAAiK7WXft/AAAAAAAAAAAAACBTHfb6fwAA/////wIAAABgnTqnqgEAAAAAAAAAAAAAAAAAAAAAAABfIuion2gAAAAAAAAAAAAAAAAAAPp/AADg////AAAAAPDjBfmqAQAASMB/hwAAAAAAAAAAAAAAAAYAAAAAAAAAAAAAAAAAAABsv3+HiAAAAKm/f4eIAAAAYbevXft/AAAgkTqnqgEAAJBNyKYAAAAAmJIq9vp/AAAgkTqnqgEAAPDjBfmqAQAAW6azXft/AAAQv3+HiAAAAKm/f4eIAAAAYPXUmqoBAAAAAAAAZHYACAAAAAAlAAAADAAAAAMAAAAYAAAADAAAAAAAAAASAAAADAAAAAEAAAAWAAAADAAAAAgAAABUAAAAVAAAAAwAAAA3AAAAIAAAAFoAAAABAAAAVVWPQYX2jkEMAAAAWwAAAAEAAABMAAAABAAAAAsAAAA3AAAAIgAAAFsAAABQAAAAWABpb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4SwT2+n8AAAAAAAD6fwAAOEsE9vp/AACIrtZd+38AAAAAAAAAAAAAAAAAAAAAAADAVsimqgEAAAAAAAAAAAAAAAAAAAAAAAAAAAAAAAAAAM8i6KifaAAAls599fp/AAAgSAT2+n8AAOz///8AAAAA8OMF+aoBAAC4wH+HAAAAAAAAAAAAAAAACQAAAAAAAAAAAAAAAAAAANy/f4eIAAAAGcB/h4gAAABht69d+38AADhLBPb6fwAAAAAAAAAAAAAQyH+HiAAAAAAAAAAAAAAA8OMF+aoBAABbprNd+38AAIC/f4eIAAAAGcB/h4gAAADwAEyPqgEAAAAAAABkdgAIAAAAACUAAAAMAAAABAAAABgAAAAMAAAAAAAAABIAAAAMAAAAAQAAAB4AAAAYAAAAMAAAADsAAACsAAAAVwAAACUAAAAMAAAABAAAAFQAAACoAAAAMQAAADsAAACqAAAAVgAAAAEAAABVVY9BhfaOQTE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YX2jk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QiPr6fwAAANCI+vp/AABUNmz6+n8AAAAAiF/7fwAAQWne+fp/AAAwFohf+38AAFQ2bPr6fwAAyBYAAAAAAABAAADA+n8AAAAAiF/7fwAAEWze+fp/AAAEAAAAAAAAADAWiF/7fwAAULp/h4gAAABUNmz6AAAAAEgAAAAAAAAAVDZs+vp/AACo04j6+n8AAIA6bPr6fwAAAQAAAAAAAAD+X2z6+n8AAAAAiF/7fwAAAAAAAAAAAAAAAAAAiAAAALC+f4eIAAAA8OMF+aoBAABbprNd+38AADC7f4eIAAAAybt/h4gAAAAAAAAAAAAAAAAAAABkdgAIAAAAACUAAAAMAAAAAQAAABgAAAAMAAAA/wAAABIAAAAMAAAAAQAAAB4AAAAYAAAAMAAAAAUAAACLAAAAFgAAACUAAAAMAAAAAQAAAFQAAACoAAAAMQAAAAUAAACJAAAAFQAAAAEAAABVVY9BhfaOQTEAAAAFAAAADwAAAEwAAAAAAAAAAAAAAAAAAAD//////////2wAAABGAGkAcgBtAGEAIABuAG8AIAB2AOEAbABpAGQAYQA6Dw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Bw7UT2qgEAAAAAAAAAAAAAAQAAAAAAAACIrtZd+38AAAAAAAAAAAAAgD+IX/t/AAAJAAAAAQAAAAkAAAAAAAAAAAAAAAAAAAAAAAAAAAAAAP9J6KifaAAAEQAAAIgAAAAQ8+KKqgEAABB0n4+qAQAA8OMF+aoBAACQ23+HAAAAAAAAAAAAAAAABwAAAAAAAAAAAAAAAAAAAMzaf4eIAAAACdt/h4gAAABht69d+38AAOgrgfr6fwAAAADI+QAAAACQ04j6+n8AAGDaf4eIAAAA8OMF+aoBAABbprNd+38AAHDaf4eIAAAACdt/h4gAAACA6sGPqg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5/aqAQAAAAAAAKoBAAAoAAAAAAAAAIiu1l37fwAAAAAAAAAAAAAgUx32+n8AAP////8CAAAAYJ06p6oBAAAAAAAAAAAAAAAAAAAAAAAAXyLoqJ9oAAAAAAAAAAAAAAAAAAD6fwAA4P///wAAAADw4wX5qgEAAEjAf4cAAAAAAAAAAAAAAAAGAAAAAAAAAAAAAAAAAAAAbL9/h4gAAACpv3+HiAAAAGG3r137fwAAIJE6p6oBAACQTcimAAAAAJiSKvb6fwAAIJE6p6oBAADw4wX5qgEAAFums137fwAAEL9/h4gAAACpv3+HiAAAAGD11JqqAQAAAAAAAGR2AAgAAAAAJQAAAAwAAAADAAAAGAAAAAwAAAAAAAAAEgAAAAwAAAABAAAAFgAAAAwAAAAIAAAAVAAAAFQAAAAMAAAANwAAACAAAABaAAAAAQAAAFVVj0GF9o5BDAAAAFsAAAABAAAATAAAAAQAAAALAAAANwAAACIAAABbAAAAUAAAAFgA514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OEsE9vp/AAAAAAAA+n8AADhLBPb6fwAAiK7WXft/AAAAAAAAAAAAAAAAAAAAAAAAwFbIpqoBAAAAAAAAAAAAAAAAAAAAAAAAAAAAAAAAAADPIuion2gAAJbOffX6fwAAIEgE9vp/AADs////AAAAAPDjBfmqAQAAuMB/hwAAAAAAAAAAAAAAAAkAAAAAAAAAAAAAAAAAAADcv3+HiAAAABnAf4eIAAAAYbevXft/AAA4SwT2+n8AAAAAAAAAAAAAEMh/h4gAAAAAAAAAAAAAAPDjBfmqAQAAW6azXft/AACAv3+HiAAAABnAf4eIAAAA8ABMj6oBAAAAAAAAZHYACAAAAAAlAAAADAAAAAQAAAAYAAAADAAAAAAAAAASAAAADAAAAAEAAAAeAAAAGAAAADAAAAA7AAAArAAAAFcAAAAlAAAADAAAAAQAAABUAAAAqAAAADEAAAA7AAAAqgAAAFYAAAABAAAAVVWPQYX2jkExAAAAOwAAAA8AAABMAAAAAAAAAAAAAAAAAAAA//////////9sAAAAUwBoAGkAcgBsAGUAeQAgAFYAaQBjAGgAaQBuAGkABgc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YX2jkEPAAAAYQAAAA8AAABMAAAAAAAAAAAAAAAAAAAA//////////9sAAAAUwBoAGkAcgBsAGUAeQAgAFYAaQBjAGgAaQBuAGkAcH0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D+tQ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GF9o5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VRHhVFOtB4x1aXwy44cZEbSD9H7Uap7mFY2iEIjPvV0=</DigestValue>
    </Reference>
    <Reference Type="http://www.w3.org/2000/09/xmldsig#Object" URI="#idOfficeObject">
      <DigestMethod Algorithm="http://www.w3.org/2001/04/xmlenc#sha256"/>
      <DigestValue>qCxa/vzMiOCZhq7igI9f0spdjrb0C5pijm1S8N4VrjM=</DigestValue>
    </Reference>
    <Reference Type="http://uri.etsi.org/01903#SignedProperties" URI="#idSignedProperties">
      <Transforms>
        <Transform Algorithm="http://www.w3.org/TR/2001/REC-xml-c14n-20010315"/>
      </Transforms>
      <DigestMethod Algorithm="http://www.w3.org/2001/04/xmlenc#sha256"/>
      <DigestValue>O/pILYhyoj11iM4kl/SMCOx9xPEjZ73zAWw/XLOXMDc=</DigestValue>
    </Reference>
    <Reference Type="http://www.w3.org/2000/09/xmldsig#Object" URI="#idValidSigLnImg">
      <DigestMethod Algorithm="http://www.w3.org/2001/04/xmlenc#sha256"/>
      <DigestValue>PPXEDoPg5yNWv/fmmDTl5ARr3+s+jxSp/p6Qwa03QCU=</DigestValue>
    </Reference>
    <Reference Type="http://www.w3.org/2000/09/xmldsig#Object" URI="#idInvalidSigLnImg">
      <DigestMethod Algorithm="http://www.w3.org/2001/04/xmlenc#sha256"/>
      <DigestValue>B7sbpMbyOjWdewxwWZsATWrbv2mIlDSDp2emyuvTtzQ=</DigestValue>
    </Reference>
  </SignedInfo>
  <SignatureValue>cENd2mw9vrO+Agag7dZQCR2QA9OY/PR1tULsiwT/2PocY9ZL1duvxR9yYrEIUMoFWZ6XDeSrt3Gh
9+FrfIxCTjgDrP2Ia1eOKXn7+yc61p0bt9KGXEePk+ckGQH9glYiS0ph+glLTHCbsFFcfhB7jOeh
8jBYWKAHTvvcveywtXuqj0JUh59pl/Wc/hsP9P2gzFWpbHw/2sbcASVeERjg4EtcgWCwGCdDtECF
wiwpISsTj8ZMVZR989l7s0W4/DpijpXfXJiizqAoV/J4jluCNqjakAxdn3TNuJZSp2HAXRzZkTZl
dpw8vUru4TEdmWC3wQCFhAr2Vy38rsipGht29A==</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F2Dd8C0gQ13SPjSKGsbat8ReoKJaY1gSyBgwVxORtw0=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nl1cCpEpQtkwXMfB/mcc4p804T4Dt43qZF8uRntDz2E=</DigestValue>
      </Reference>
      <Reference URI="/xl/drawings/drawing4.xml?ContentType=application/vnd.openxmlformats-officedocument.drawing+xml">
        <DigestMethod Algorithm="http://www.w3.org/2001/04/xmlenc#sha256"/>
        <DigestValue>XkmIxtMQRAaZnwi8PiQZTg7X4iQJvuQbOeikMED0s7s=</DigestValue>
      </Reference>
      <Reference URI="/xl/drawings/drawing5.xml?ContentType=application/vnd.openxmlformats-officedocument.drawing+xml">
        <DigestMethod Algorithm="http://www.w3.org/2001/04/xmlenc#sha256"/>
        <DigestValue>8NQGHoL8AIWUrbTAKGbJcUH+qKwVcg9HMNwFfCatg6w=</DigestValue>
      </Reference>
      <Reference URI="/xl/drawings/drawing6.xml?ContentType=application/vnd.openxmlformats-officedocument.drawing+xml">
        <DigestMethod Algorithm="http://www.w3.org/2001/04/xmlenc#sha256"/>
        <DigestValue>9AdAO151FHMK8sTKKOq64Yww0yyN7gTjv9AbI90MWhI=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gX93Wsqn+VHjTR2R0EZgmInovlxkNtG5/BxaK8vM25o=</DigestValue>
      </Reference>
      <Reference URI="/xl/drawings/drawing9.xml?ContentType=application/vnd.openxmlformats-officedocument.drawing+xml">
        <DigestMethod Algorithm="http://www.w3.org/2001/04/xmlenc#sha256"/>
        <DigestValue>vBoh0I/Jb9Vs0oZuO7YkA5JVBMIm4W9BMzQhB/GozyQ=</DigestValue>
      </Reference>
      <Reference URI="/xl/drawings/vmlDrawing1.vml?ContentType=application/vnd.openxmlformats-officedocument.vmlDrawing">
        <DigestMethod Algorithm="http://www.w3.org/2001/04/xmlenc#sha256"/>
        <DigestValue>iRWt1IpxZiJWzn6iZIOu1r1ZKIpI+UKTF8EpIpEAAR8=</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d64z04pcYOmVTiPOsigr1YpK/kPjXDeA80zMOYoo62w=</DigestValue>
      </Reference>
      <Reference URI="/xl/media/image4.emf?ContentType=image/x-emf">
        <DigestMethod Algorithm="http://www.w3.org/2001/04/xmlenc#sha256"/>
        <DigestValue>JXchlu7lSf7vbzeYSJFKG6KnnODkxCTf9lnLDEFVZb4=</DigestValue>
      </Reference>
      <Reference URI="/xl/media/image5.emf?ContentType=image/x-emf">
        <DigestMethod Algorithm="http://www.w3.org/2001/04/xmlenc#sha256"/>
        <DigestValue>UY6S5zsYIU5ER2wQaNCMOOGut9UbpxdFz/GHC/KG7M8=</DigestValue>
      </Reference>
      <Reference URI="/xl/media/image6.emf?ContentType=image/x-emf">
        <DigestMethod Algorithm="http://www.w3.org/2001/04/xmlenc#sha256"/>
        <DigestValue>BJ8/BOJY/oSOcGN+IZktmK7tSMzLvgPXCyXQU0sfhaE=</DigestValue>
      </Reference>
      <Reference URI="/xl/media/image7.emf?ContentType=image/x-emf">
        <DigestMethod Algorithm="http://www.w3.org/2001/04/xmlenc#sha256"/>
        <DigestValue>hzGsAjrLndfaBzEld8ZyNGlFUGixK9wdzbreg20yqyE=</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9BEDvEtLT0sYKxzC33m1GXOVCEz7eNWpAlAQTHxciJc=</DigestValue>
      </Reference>
      <Reference URI="/xl/printerSettings/printerSettings24.bin?ContentType=application/vnd.openxmlformats-officedocument.spreadsheetml.printerSettings">
        <DigestMethod Algorithm="http://www.w3.org/2001/04/xmlenc#sha256"/>
        <DigestValue>MXec2D+WMU8itUC5NxoyllqwEi3fXNlaIfg2JySEdZE=</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MXec2D+WMU8itUC5NxoyllqwEi3fXNlaIfg2JySEdZE=</DigestValue>
      </Reference>
      <Reference URI="/xl/printerSettings/printerSettings29.bin?ContentType=application/vnd.openxmlformats-officedocument.spreadsheetml.printerSettings">
        <DigestMethod Algorithm="http://www.w3.org/2001/04/xmlenc#sha256"/>
        <DigestValue>nrwW2aOzrJ6w3s+3W+h5IvHukzB/6FZNl1merJBqyjs=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8ULINyTSns7e3+F/twyhXb2p4OEI5M6paxloUp/0tKM=</DigestValue>
      </Reference>
      <Reference URI="/xl/printerSettings/printerSettings32.bin?ContentType=application/vnd.openxmlformats-officedocument.spreadsheetml.printerSettings">
        <DigestMethod Algorithm="http://www.w3.org/2001/04/xmlenc#sha256"/>
        <DigestValue>8ULINyTSns7e3+F/twyhXb2p4OEI5M6paxloUp/0tKM=</DigestValue>
      </Reference>
      <Reference URI="/xl/printerSettings/printerSettings33.bin?ContentType=application/vnd.openxmlformats-officedocument.spreadsheetml.printerSettings">
        <DigestMethod Algorithm="http://www.w3.org/2001/04/xmlenc#sha256"/>
        <DigestValue>8ULINyTSns7e3+F/twyhXb2p4OEI5M6paxloUp/0tKM=</DigestValue>
      </Reference>
      <Reference URI="/xl/printerSettings/printerSettings34.bin?ContentType=application/vnd.openxmlformats-officedocument.spreadsheetml.printerSettings">
        <DigestMethod Algorithm="http://www.w3.org/2001/04/xmlenc#sha256"/>
        <DigestValue>eagKw4vkJta//EAXFo8pt3rkLlJe7nsQidLS/ebqtjQ=</DigestValue>
      </Reference>
      <Reference URI="/xl/printerSettings/printerSettings35.bin?ContentType=application/vnd.openxmlformats-officedocument.spreadsheetml.printerSettings">
        <DigestMethod Algorithm="http://www.w3.org/2001/04/xmlenc#sha256"/>
        <DigestValue>YE8L7X0odkmvBfLuwq0TSw4LKk7AsP9RKU8hniCLgyE=</DigestValue>
      </Reference>
      <Reference URI="/xl/printerSettings/printerSettings36.bin?ContentType=application/vnd.openxmlformats-officedocument.spreadsheetml.printerSettings">
        <DigestMethod Algorithm="http://www.w3.org/2001/04/xmlenc#sha256"/>
        <DigestValue>nrwW2aOzrJ6w3s+3W+h5IvHukzB/6FZNl1merJBqyjs=</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8Q+UYehsDIETlgtEv8wQ477lEayGoE57NiDAmAOfaP0=</DigestValue>
      </Reference>
      <Reference URI="/xl/styles.xml?ContentType=application/vnd.openxmlformats-officedocument.spreadsheetml.styles+xml">
        <DigestMethod Algorithm="http://www.w3.org/2001/04/xmlenc#sha256"/>
        <DigestValue>lBbfD06+6t8YbFR/mXiO5z4+4+vi7iy8H8W50D/nuoY=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5+l2TeDHjvAhy7Vmkxa7ELYShAapeVIKlKGopCypSH0=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dSttE6mOEu2epbtAR6+aqg1OXVjQ+cHG1PnAlvkH8xE=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KZqL6rTLsCUXth8uQO5PSSHqKgaVCOSzYJQeqnfQDiE=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sheet1.xml?ContentType=application/vnd.openxmlformats-officedocument.spreadsheetml.worksheet+xml">
        <DigestMethod Algorithm="http://www.w3.org/2001/04/xmlenc#sha256"/>
        <DigestValue>myD8xq3a/nxIakOMSIXlsXf2cWGcvsjvEShQnq4U8Kc=</DigestValue>
      </Reference>
      <Reference URI="/xl/worksheets/sheet10.xml?ContentType=application/vnd.openxmlformats-officedocument.spreadsheetml.worksheet+xml">
        <DigestMethod Algorithm="http://www.w3.org/2001/04/xmlenc#sha256"/>
        <DigestValue>XZS3kcT0Zvs/sQh0gwcrTgGYG6d4E1T2fNUR1XWEPc4=</DigestValue>
      </Reference>
      <Reference URI="/xl/worksheets/sheet11.xml?ContentType=application/vnd.openxmlformats-officedocument.spreadsheetml.worksheet+xml">
        <DigestMethod Algorithm="http://www.w3.org/2001/04/xmlenc#sha256"/>
        <DigestValue>g3+d3UbegoGiDccZCYMGVUqgEunY+RTpTkVzgc/cymo=</DigestValue>
      </Reference>
      <Reference URI="/xl/worksheets/sheet12.xml?ContentType=application/vnd.openxmlformats-officedocument.spreadsheetml.worksheet+xml">
        <DigestMethod Algorithm="http://www.w3.org/2001/04/xmlenc#sha256"/>
        <DigestValue>otaC3YSgHl4JVY5twhg22XjszEihusbguTHXU/aP91g=</DigestValue>
      </Reference>
      <Reference URI="/xl/worksheets/sheet13.xml?ContentType=application/vnd.openxmlformats-officedocument.spreadsheetml.worksheet+xml">
        <DigestMethod Algorithm="http://www.w3.org/2001/04/xmlenc#sha256"/>
        <DigestValue>ZvPoMIEHVPsTNwNvYLvLLuIdRr6nZ+lyH8E/hoq4sIg=</DigestValue>
      </Reference>
      <Reference URI="/xl/worksheets/sheet14.xml?ContentType=application/vnd.openxmlformats-officedocument.spreadsheetml.worksheet+xml">
        <DigestMethod Algorithm="http://www.w3.org/2001/04/xmlenc#sha256"/>
        <DigestValue>cys5T1XS417li6+Aiclrxs2C37AChLjd0fp25qmvlM4=</DigestValue>
      </Reference>
      <Reference URI="/xl/worksheets/sheet2.xml?ContentType=application/vnd.openxmlformats-officedocument.spreadsheetml.worksheet+xml">
        <DigestMethod Algorithm="http://www.w3.org/2001/04/xmlenc#sha256"/>
        <DigestValue>b0MLK46cNZSS47I7O/Olr12EOTmurQaybUzy+W8uhX8=</DigestValue>
      </Reference>
      <Reference URI="/xl/worksheets/sheet3.xml?ContentType=application/vnd.openxmlformats-officedocument.spreadsheetml.worksheet+xml">
        <DigestMethod Algorithm="http://www.w3.org/2001/04/xmlenc#sha256"/>
        <DigestValue>eup6CoZSCexoCYtUXZii8Z1WaWvZd/vAV0UZI0EDOHY=</DigestValue>
      </Reference>
      <Reference URI="/xl/worksheets/sheet4.xml?ContentType=application/vnd.openxmlformats-officedocument.spreadsheetml.worksheet+xml">
        <DigestMethod Algorithm="http://www.w3.org/2001/04/xmlenc#sha256"/>
        <DigestValue>NZb5rwnEczw65IH0vdpU3rgs8UnacWZnLbvZlRee9bs=</DigestValue>
      </Reference>
      <Reference URI="/xl/worksheets/sheet5.xml?ContentType=application/vnd.openxmlformats-officedocument.spreadsheetml.worksheet+xml">
        <DigestMethod Algorithm="http://www.w3.org/2001/04/xmlenc#sha256"/>
        <DigestValue>IlnyhUuFRiaJ1BwPHay2+cxY1VoeBt9qnmNpPoBVinc=</DigestValue>
      </Reference>
      <Reference URI="/xl/worksheets/sheet6.xml?ContentType=application/vnd.openxmlformats-officedocument.spreadsheetml.worksheet+xml">
        <DigestMethod Algorithm="http://www.w3.org/2001/04/xmlenc#sha256"/>
        <DigestValue>TxtMDpMj155HN7f9zo1xL9oH1S5muJG7yFdd0exHjCc=</DigestValue>
      </Reference>
      <Reference URI="/xl/worksheets/sheet7.xml?ContentType=application/vnd.openxmlformats-officedocument.spreadsheetml.worksheet+xml">
        <DigestMethod Algorithm="http://www.w3.org/2001/04/xmlenc#sha256"/>
        <DigestValue>Hn1/txo0z6sXB3vwHt1PokKJu45+h00Yt/80kTOe/Dg=</DigestValue>
      </Reference>
      <Reference URI="/xl/worksheets/sheet8.xml?ContentType=application/vnd.openxmlformats-officedocument.spreadsheetml.worksheet+xml">
        <DigestMethod Algorithm="http://www.w3.org/2001/04/xmlenc#sha256"/>
        <DigestValue>KFo35hYJ2YQGjxD9+Fb4T6Sdiv/pX92j6rdRql6qDQg=</DigestValue>
      </Reference>
      <Reference URI="/xl/worksheets/sheet9.xml?ContentType=application/vnd.openxmlformats-officedocument.spreadsheetml.worksheet+xml">
        <DigestMethod Algorithm="http://www.w3.org/2001/04/xmlenc#sha256"/>
        <DigestValue>t078EiGsx72U+N+uMWzTEB89GJNy7qvF7FEA5zGQZYs=</DigestValue>
      </Reference>
    </Manifest>
    <SignatureProperties>
      <SignatureProperty Id="idSignatureTime" Target="#idPackageSignature">
        <mdssi:SignatureTime xmlns:mdssi="http://schemas.openxmlformats.org/package/2006/digital-signature">
          <mdssi:Format>YYYY-MM-DDThh:mm:ssTZD</mdssi:Format>
          <mdssi:Value>2022-04-01T02:46:20Z</mdssi:Value>
        </mdssi:SignatureTime>
      </SignatureProperty>
    </SignatureProperties>
  </Object>
  <Object Id="idOfficeObject">
    <SignatureProperties>
      <SignatureProperty Id="idOfficeV1Details" Target="#idPackageSignature">
        <SignatureInfoV1 xmlns="http://schemas.microsoft.com/office/2006/digsig">
          <SetupID>{CF21E057-9614-4987-AB6F-C51A15F21FE0}</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2022-04-01T02:46:20Z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Obvft/AAAAAAAAAAAAAFASAAAAAAAAQAAAwPt/AAAgQpC9+38AAB5sqV37fwAABAAAAAAAAAAgQpC9+38AADm7z/bRAAAAAAAAAAAAAACeYMq+DnsAAFWFSVr7fwAASAAAAAAAAACcWgNe+38AABhjIF77fwAAsF0DXgAAAAABAAAAAAAAAPZ4A177fwAAAACQvft/AAAAAAAAAAAAAAAAAADRAAAAkalQu/t/AAAAAAAAAAAAAHALAAAAAAAAALxUAWoCAACIvc/20QAAAAAAAAAAAAAAAAAAAAAAAAAAAAAAAAAAAAAAAAAAAAAA6bzP9tEAAAD9W6ldZHYACAAAAAAlAAAADAAAAAEAAAAYAAAADAAAAAAAAAASAAAADAAAAAEAAAAeAAAAGAAAAL0AAAAEAAAA9wAAABEAAAAlAAAADAAAAAEAAABUAAAAiAAAAL4AAAAEAAAA9QAAABAAAAABAAAAYfe0QVU1tEG+AAAABAAAAAoAAABMAAAAAAAAAAAAAAAAAAAA//////////9gAAAAMwAxAC8AMAAzAC8AMgAwADIAMg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qO9nu/t/AAAQ3n0PagIAAEi+c7v7fwAAAAAAAAAAAAAAAAAAAAAAACiwz/bRAAAAAAAAAAAAAAAAAAAAAAAAAAAAAAAAAAAAjnTKvg57AAAgAAAAAAAAAHjlfQ9qAgAAYM9OAWoCAAAAvFQBagIAAICxz/YAAAAAAAAAAAAAAAAHAAAAAAAAAPC6Yg9qAgAAvLDP9tEAAAD5sM/20QAAAJGpULv7fwAACgAAAAAAAAB2W1O7AAAAAPx1fVjboAAAeOV9D2oCAAC8sM/20QAAAAcAAAD7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o72e7+38AADB8rxRqAgAASL5zu/t/AAAAAAAAAAAAAAAAAAAAAAAAINBVAWoCAAD2hJYa9GHYAQAAAAAAAAAAAAAAAAAAAACO1su+DnsAADgRtlr7fwAAMF3QWvt/AADg////AAAAAAC8VAFqAgAAmBPO9gAAAAAAAAAAAAAAAAYAAAAAAAAAIAAAAAAAAAC8Es720QAAAPkSzvbRAAAAkalQu/t/AACIM7Za+38AABBh0FoAAAAAMF3QWvt/AAAwXdBa+38AALwSzvbRAAAABgAAAGoCAAAAAAAAAAAAAAAAAAAAAAAAAAAAAAAAAADgjVYBZHYACAAAAAAlAAAADAAAAAMAAAAYAAAADAAAAAAAAAASAAAADAAAAAEAAAAWAAAADAAAAAgAAABUAAAAVAAAAAoAAAAnAAAAHgAAAEoAAAABAAAAYfe0QVU1tEEKAAAASwAAAAEAAABMAAAABAAAAAkAAAAnAAAAIAAAAEsAAABQAAAAWACIg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KjvZ7v7fwAA0DtxGmoCAABIvnO7+38AAAAAAAAAAAAAAAAAAAAAAAAIAAAAAAIAALC6nw9qAgAAAAAAAAAAAAAAAAAAAAAAAN7Jy74OewAAsBLO9gAAAAAAAAAAAAAAAPD///8AAAAAALxUAWoCAABIFM72AAAAAAAAAAAAAAAACQAAAAAAAAAgAAAAAAAAAGwTzvbRAAAAqRPO9tEAAACRqVC7+38AAAAAgD8AAIA/6LzSWgAAAAAAAIA/0QAAANGnRVr7fwAAbBPO9tEAAAAJAAAAagIAAAAAAAAAAAAAAAAAAAAAAAAAAAAAAAAAAECOVgFkdgAIAAAAACUAAAAMAAAABAAAABgAAAAMAAAAAAAAABIAAAAMAAAAAQAAAB4AAAAYAAAAKQAAADMAAACRAAAASAAAACUAAAAMAAAABAAAAFQAAACcAAAAKgAAADMAAACPAAAARwAAAAEAAABh97RBVTW0QSoAAAAzAAAADQAAAEwAAAAAAAAAAAAAAAAAAAD//////////2gAAABNAGEAcgBjAGUAbABvACAAUAByAG8AbgBvAAYJ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I7X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Obvft/AAAAAAAAAAAAAFASAAAAAAAAQAAAwPt/AAAgQpC9+38AAB5sqV37fwAABAAAAAAAAAAgQpC9+38AADm7z/bRAAAAAAAAAAAAAACeYMq+DnsAAFWFSVr7fwAASAAAAAAAAACcWgNe+38AABhjIF77fwAAsF0DXgAAAAABAAAAAAAAAPZ4A177fwAAAACQvft/AAAAAAAAAAAAAAAAAADRAAAAkalQu/t/AAAAAAAAAAAAAHALAAAAAAAAALxUAWoCAACIvc/20QAAAAAAAAAAAAAAAAAAAAAAAAAAAAAAAAAAAAAAAAAAAAAA6bzP9tEAAAD9W6ld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o72e7+38AABDefQ9qAgAASL5zu/t/AAAAAAAAAAAAAAAAAAAAAAAAKLDP9tEAAAAAAAAAAAAAAAAAAAAAAAAAAAAAAAAAAACOdMq+DnsAACAAAAAAAAAAeOV9D2oCAABgz04BagIAAAC8VAFqAgAAgLHP9gAAAAAAAAAAAAAAAAcAAAAAAAAA8LpiD2oCAAC8sM/20QAAAPmwz/bRAAAAkalQu/t/AAAKAAAAAAAAAHZbU7sAAAAA/HV9WNugAAB45X0PagIAALywz/bRAAAABwAAAPt/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KjvZ7v7fwAAMHyvFGoCAABIvnO7+38AAAAAAAAAAAAAAAAAAAAAAAAg0FUBagIAAPaElhr0YdgBAAAAAAAAAAAAAAAAAAAAAI7Wy74OewAAOBG2Wvt/AAAwXdBa+38AAOD///8AAAAAALxUAWoCAACYE872AAAAAAAAAAAAAAAABgAAAAAAAAAgAAAAAAAAALwSzvbRAAAA+RLO9tEAAACRqVC7+38AAIgztlr7fwAAEGHQWgAAAAAwXdBa+38AADBd0Fr7fwAAvBLO9tEAAAAGAAAAagIAAAAAAAAAAAAAAAAAAAAAAAAAAAAAAAAAAOCNVgF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qO9nu/t/AADQO3EaagIAAEi+c7v7fwAAAAAAAAAAAAAAAAAAAAAAAAgAAAAAAgAAsLqfD2oCAAAAAAAAAAAAAAAAAAAAAAAA3snLvg57AACwEs72AAAAAAAAAAAAAAAA8P///wAAAAAAvFQBagIAAEgUzvYAAAAAAAAAAAAAAAAJAAAAAAAAACAAAAAAAAAAbBPO9tEAAACpE8720QAAAJGpULv7fwAAAACAPwAAgD/ovNJaAAAAAAAAgD/RAAAA0adFWvt/AABsE8720QAAAAkAAABqAgAAAAAAAAAAAAAAAAAAAAAAAAAAAAAAAAAAQI5WAW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sHLwDYzdhZV9IOy8snmea0SvI/moeE2MnUYk3agUzMU=</DigestValue>
    </Reference>
    <Reference Type="http://www.w3.org/2000/09/xmldsig#Object" URI="#idOfficeObject">
      <DigestMethod Algorithm="http://www.w3.org/2001/04/xmlenc#sha256"/>
      <DigestValue>VYOVnRKborZE/bwC0dFKiOLU2OVyS6fvn2r3Op2X/9I=</DigestValue>
    </Reference>
    <Reference Type="http://uri.etsi.org/01903#SignedProperties" URI="#idSignedProperties">
      <Transforms>
        <Transform Algorithm="http://www.w3.org/TR/2001/REC-xml-c14n-20010315"/>
      </Transforms>
      <DigestMethod Algorithm="http://www.w3.org/2001/04/xmlenc#sha256"/>
      <DigestValue>SC19li5URDzSFSLDv0FYIhMK4TLrSCLyS51pthU1Bvg=</DigestValue>
    </Reference>
    <Reference Type="http://www.w3.org/2000/09/xmldsig#Object" URI="#idValidSigLnImg">
      <DigestMethod Algorithm="http://www.w3.org/2001/04/xmlenc#sha256"/>
      <DigestValue>r6hM08OjxUIFQR9kR/3M0PQXyM7+fWqJeLkEED9x5tU=</DigestValue>
    </Reference>
    <Reference Type="http://www.w3.org/2000/09/xmldsig#Object" URI="#idInvalidSigLnImg">
      <DigestMethod Algorithm="http://www.w3.org/2001/04/xmlenc#sha256"/>
      <DigestValue>30FXcx78JSbVZfNH+OSHYKEbsETn2SG2tbKVsxNIY0I=</DigestValue>
    </Reference>
  </SignedInfo>
  <SignatureValue>dyYazjIx6b3IgjWy2ebjeGyeZRRZ92GtJDbgDVcgZw9c+teRfT5E6QCdG4w527jufTU6pXV9g2Le
Mt9eVp+qYeJoBqE7KXSZEbgp/gVbtrpvfbNmdVqhYukOW7s3t7qsba9bnFxF8IGPvXSEqNmzn/WT
ieGStW93UDO7s0UegQrrkMAYRm6PBS/k3ojz//A5CD+cS5Z6Nt/SM5bQtTkeyQFpLMntnC7n0pmA
aYXto07w2lkfpV0U22mYVTXTjAsdF8z8eqAQo0PIN8rQDzIAfQszQGKpEPRUdN8i13CS3q9dXsu6
mCkn9tDYYVXr3bHgZMmoMi2pjoVzR9OTGVlIPQ==</SignatureValue>
  <KeyInfo>
    <X509Data>
      <X509Certificate>MIIIFTCCBf2gAwIBAgIIJEIANcm6IrYwDQYJKoZIhvcNAQELBQAwWzEXMBUGA1UEBRMOUlVDIDgwMDUwMTcyLTExGjAYBgNVBAMTEUNBLURPQ1VNRU5UQSBTLkEuMRcwFQYDVQQKEw5ET0NVTUVOVEEgUy5BLjELMAkGA1UEBhMCUFkwHhcNMjEwODExMTUzNDU0WhcNMjMwODExMTU0NDU0WjCBpDELMAkGA1UEBhMCUFkxFjAUBgNVBAQMDVRST0NJVUsgUExFVkExETAPBgNVBAUTCENJNzk5NDI3MRcwFQYDVQQqDA5NSVJUSEEgVklWSUFOQTEXMBUGA1UECgwOUEVSU09OQSBGSVNJQ0ExETAPBgNVBAsMCEZJUk1BIEYyMSUwIwYDVQQDDBxNSVJUSEEgVklWSUFOQSBUUk9DSVVLIFBMRVZBMIIBIjANBgkqhkiG9w0BAQEFAAOCAQ8AMIIBCgKCAQEAsq7o69U+bX1K6cjugJLGR9TUEOJ6kAiIhp8zySjbRyY71ybj2MeaKcnzC5wQkDhJY6xgcuKJ0SGElfv8VwmCpdijPrkVhdmVHp0NOGvvyrtrrXifMbwryRlm1jiqS4MhwA4LIJO0di1/h8dDTaUXw0GD6VVZGPFz7JifvRtw43e9rd34Jn4jcjvqEP1SXO9N9r47DWTOjliuaQLPEobskNGM6FEkCvdiQsMab/s9cdFwL/71deaRRNGP1bfHpfQLXLC3INtJ3HZj48w4HtRrz2OQwcUqh2TRKSISZUN/Osl+j02uPO+adiT2CRWW6EShRwXciwMrhRTTm6LOoHyzlwIDAQABo4IDkTCCA40wDAYDVR0TAQH/BAIwADAOBgNVHQ8BAf8EBAMCBeAwKgYDVR0lAQH/BCAwHgYIKwYBBQUHAwEGCCsGAQUFBwMCBggrBgEFBQcDBDAdBgNVHQ4EFgQUAKmJthHJJ0g9grrBSilWuQpMZnQ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DUGA1UdEQQuMCyBKnZpdmlhbmEudHJvY2l1a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Am1Z60hlMrBgIRND0aimX4yBfyNVBxWAMNBlcpgevQrorPyTYgUCr96AGizqBswHwX6KjFnjhoXNwvfXgkXzm2ior6jvg2+q/icVcY3Uww6Y2Yi++Jx0pXGLXNoTVijVA84EuMjEkLzgd1f5tX6mQWawuzx7rDcpfqPeQutJmOjahIuY8CSy7PIorM9F97XLkMrxZ5ZCtV2RoeIRA7yG1or00qvryGmEL3sGrwuv/y/GGAV0gk1hQCPdLwJYxhehCo6/MxBHiWRbp/qxVs3m0moODFTY6MowniUSck1Eoa4k+osby/VRHAELIE0WMoNlRpsknX5dO9OMqr0GIjsJSdjxnx0uAe6K4xWuM5ii0WPtW22ResqjyRtdghBDur8uDyAPNkq2jNy67tAgXfL7PWh+oAM0g6qX5ktp6OPGlt21GRr9D75xoMH4wF15olrHoTBY/MZ7sfF8p2x5qHuin+7FXdZr/XMItsaz35y11w0db1RhrOjRNq6hm5hn11LSS0ahfquZnZxiZyCndqJSop65GoElKGl2vU3jJXoYX/IlxOJCDAiuOJAmeiX4stfFohyJZylaskRyxPtOtxdH/Fwx6UGx9LYUlwLkBKwMrFUuDefSBGf15oEix1SJRiQZydA2C1Nxj5u/zL2UJ2UeaezvKCX392L8a/UCUhWwCr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F2Dd8C0gQ13SPjSKGsbat8ReoKJaY1gSyBgwVxORtw0=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nl1cCpEpQtkwXMfB/mcc4p804T4Dt43qZF8uRntDz2E=</DigestValue>
      </Reference>
      <Reference URI="/xl/drawings/drawing4.xml?ContentType=application/vnd.openxmlformats-officedocument.drawing+xml">
        <DigestMethod Algorithm="http://www.w3.org/2001/04/xmlenc#sha256"/>
        <DigestValue>XkmIxtMQRAaZnwi8PiQZTg7X4iQJvuQbOeikMED0s7s=</DigestValue>
      </Reference>
      <Reference URI="/xl/drawings/drawing5.xml?ContentType=application/vnd.openxmlformats-officedocument.drawing+xml">
        <DigestMethod Algorithm="http://www.w3.org/2001/04/xmlenc#sha256"/>
        <DigestValue>8NQGHoL8AIWUrbTAKGbJcUH+qKwVcg9HMNwFfCatg6w=</DigestValue>
      </Reference>
      <Reference URI="/xl/drawings/drawing6.xml?ContentType=application/vnd.openxmlformats-officedocument.drawing+xml">
        <DigestMethod Algorithm="http://www.w3.org/2001/04/xmlenc#sha256"/>
        <DigestValue>9AdAO151FHMK8sTKKOq64Yww0yyN7gTjv9AbI90MWhI=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gX93Wsqn+VHjTR2R0EZgmInovlxkNtG5/BxaK8vM25o=</DigestValue>
      </Reference>
      <Reference URI="/xl/drawings/drawing9.xml?ContentType=application/vnd.openxmlformats-officedocument.drawing+xml">
        <DigestMethod Algorithm="http://www.w3.org/2001/04/xmlenc#sha256"/>
        <DigestValue>vBoh0I/Jb9Vs0oZuO7YkA5JVBMIm4W9BMzQhB/GozyQ=</DigestValue>
      </Reference>
      <Reference URI="/xl/drawings/vmlDrawing1.vml?ContentType=application/vnd.openxmlformats-officedocument.vmlDrawing">
        <DigestMethod Algorithm="http://www.w3.org/2001/04/xmlenc#sha256"/>
        <DigestValue>iRWt1IpxZiJWzn6iZIOu1r1ZKIpI+UKTF8EpIpEAAR8=</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d64z04pcYOmVTiPOsigr1YpK/kPjXDeA80zMOYoo62w=</DigestValue>
      </Reference>
      <Reference URI="/xl/media/image4.emf?ContentType=image/x-emf">
        <DigestMethod Algorithm="http://www.w3.org/2001/04/xmlenc#sha256"/>
        <DigestValue>JXchlu7lSf7vbzeYSJFKG6KnnODkxCTf9lnLDEFVZb4=</DigestValue>
      </Reference>
      <Reference URI="/xl/media/image5.emf?ContentType=image/x-emf">
        <DigestMethod Algorithm="http://www.w3.org/2001/04/xmlenc#sha256"/>
        <DigestValue>UY6S5zsYIU5ER2wQaNCMOOGut9UbpxdFz/GHC/KG7M8=</DigestValue>
      </Reference>
      <Reference URI="/xl/media/image6.emf?ContentType=image/x-emf">
        <DigestMethod Algorithm="http://www.w3.org/2001/04/xmlenc#sha256"/>
        <DigestValue>BJ8/BOJY/oSOcGN+IZktmK7tSMzLvgPXCyXQU0sfhaE=</DigestValue>
      </Reference>
      <Reference URI="/xl/media/image7.emf?ContentType=image/x-emf">
        <DigestMethod Algorithm="http://www.w3.org/2001/04/xmlenc#sha256"/>
        <DigestValue>hzGsAjrLndfaBzEld8ZyNGlFUGixK9wdzbreg20yqyE=</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9BEDvEtLT0sYKxzC33m1GXOVCEz7eNWpAlAQTHxciJc=</DigestValue>
      </Reference>
      <Reference URI="/xl/printerSettings/printerSettings24.bin?ContentType=application/vnd.openxmlformats-officedocument.spreadsheetml.printerSettings">
        <DigestMethod Algorithm="http://www.w3.org/2001/04/xmlenc#sha256"/>
        <DigestValue>MXec2D+WMU8itUC5NxoyllqwEi3fXNlaIfg2JySEdZE=</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MXec2D+WMU8itUC5NxoyllqwEi3fXNlaIfg2JySEdZE=</DigestValue>
      </Reference>
      <Reference URI="/xl/printerSettings/printerSettings29.bin?ContentType=application/vnd.openxmlformats-officedocument.spreadsheetml.printerSettings">
        <DigestMethod Algorithm="http://www.w3.org/2001/04/xmlenc#sha256"/>
        <DigestValue>nrwW2aOzrJ6w3s+3W+h5IvHukzB/6FZNl1merJBqyjs=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8ULINyTSns7e3+F/twyhXb2p4OEI5M6paxloUp/0tKM=</DigestValue>
      </Reference>
      <Reference URI="/xl/printerSettings/printerSettings32.bin?ContentType=application/vnd.openxmlformats-officedocument.spreadsheetml.printerSettings">
        <DigestMethod Algorithm="http://www.w3.org/2001/04/xmlenc#sha256"/>
        <DigestValue>8ULINyTSns7e3+F/twyhXb2p4OEI5M6paxloUp/0tKM=</DigestValue>
      </Reference>
      <Reference URI="/xl/printerSettings/printerSettings33.bin?ContentType=application/vnd.openxmlformats-officedocument.spreadsheetml.printerSettings">
        <DigestMethod Algorithm="http://www.w3.org/2001/04/xmlenc#sha256"/>
        <DigestValue>8ULINyTSns7e3+F/twyhXb2p4OEI5M6paxloUp/0tKM=</DigestValue>
      </Reference>
      <Reference URI="/xl/printerSettings/printerSettings34.bin?ContentType=application/vnd.openxmlformats-officedocument.spreadsheetml.printerSettings">
        <DigestMethod Algorithm="http://www.w3.org/2001/04/xmlenc#sha256"/>
        <DigestValue>eagKw4vkJta//EAXFo8pt3rkLlJe7nsQidLS/ebqtjQ=</DigestValue>
      </Reference>
      <Reference URI="/xl/printerSettings/printerSettings35.bin?ContentType=application/vnd.openxmlformats-officedocument.spreadsheetml.printerSettings">
        <DigestMethod Algorithm="http://www.w3.org/2001/04/xmlenc#sha256"/>
        <DigestValue>YE8L7X0odkmvBfLuwq0TSw4LKk7AsP9RKU8hniCLgyE=</DigestValue>
      </Reference>
      <Reference URI="/xl/printerSettings/printerSettings36.bin?ContentType=application/vnd.openxmlformats-officedocument.spreadsheetml.printerSettings">
        <DigestMethod Algorithm="http://www.w3.org/2001/04/xmlenc#sha256"/>
        <DigestValue>nrwW2aOzrJ6w3s+3W+h5IvHukzB/6FZNl1merJBqyjs=</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8Q+UYehsDIETlgtEv8wQ477lEayGoE57NiDAmAOfaP0=</DigestValue>
      </Reference>
      <Reference URI="/xl/styles.xml?ContentType=application/vnd.openxmlformats-officedocument.spreadsheetml.styles+xml">
        <DigestMethod Algorithm="http://www.w3.org/2001/04/xmlenc#sha256"/>
        <DigestValue>lBbfD06+6t8YbFR/mXiO5z4+4+vi7iy8H8W50D/nuoY=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5+l2TeDHjvAhy7Vmkxa7ELYShAapeVIKlKGopCypSH0=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dSttE6mOEu2epbtAR6+aqg1OXVjQ+cHG1PnAlvkH8xE=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KZqL6rTLsCUXth8uQO5PSSHqKgaVCOSzYJQeqnfQDiE=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sheet1.xml?ContentType=application/vnd.openxmlformats-officedocument.spreadsheetml.worksheet+xml">
        <DigestMethod Algorithm="http://www.w3.org/2001/04/xmlenc#sha256"/>
        <DigestValue>myD8xq3a/nxIakOMSIXlsXf2cWGcvsjvEShQnq4U8Kc=</DigestValue>
      </Reference>
      <Reference URI="/xl/worksheets/sheet10.xml?ContentType=application/vnd.openxmlformats-officedocument.spreadsheetml.worksheet+xml">
        <DigestMethod Algorithm="http://www.w3.org/2001/04/xmlenc#sha256"/>
        <DigestValue>XZS3kcT0Zvs/sQh0gwcrTgGYG6d4E1T2fNUR1XWEPc4=</DigestValue>
      </Reference>
      <Reference URI="/xl/worksheets/sheet11.xml?ContentType=application/vnd.openxmlformats-officedocument.spreadsheetml.worksheet+xml">
        <DigestMethod Algorithm="http://www.w3.org/2001/04/xmlenc#sha256"/>
        <DigestValue>g3+d3UbegoGiDccZCYMGVUqgEunY+RTpTkVzgc/cymo=</DigestValue>
      </Reference>
      <Reference URI="/xl/worksheets/sheet12.xml?ContentType=application/vnd.openxmlformats-officedocument.spreadsheetml.worksheet+xml">
        <DigestMethod Algorithm="http://www.w3.org/2001/04/xmlenc#sha256"/>
        <DigestValue>otaC3YSgHl4JVY5twhg22XjszEihusbguTHXU/aP91g=</DigestValue>
      </Reference>
      <Reference URI="/xl/worksheets/sheet13.xml?ContentType=application/vnd.openxmlformats-officedocument.spreadsheetml.worksheet+xml">
        <DigestMethod Algorithm="http://www.w3.org/2001/04/xmlenc#sha256"/>
        <DigestValue>ZvPoMIEHVPsTNwNvYLvLLuIdRr6nZ+lyH8E/hoq4sIg=</DigestValue>
      </Reference>
      <Reference URI="/xl/worksheets/sheet14.xml?ContentType=application/vnd.openxmlformats-officedocument.spreadsheetml.worksheet+xml">
        <DigestMethod Algorithm="http://www.w3.org/2001/04/xmlenc#sha256"/>
        <DigestValue>cys5T1XS417li6+Aiclrxs2C37AChLjd0fp25qmvlM4=</DigestValue>
      </Reference>
      <Reference URI="/xl/worksheets/sheet2.xml?ContentType=application/vnd.openxmlformats-officedocument.spreadsheetml.worksheet+xml">
        <DigestMethod Algorithm="http://www.w3.org/2001/04/xmlenc#sha256"/>
        <DigestValue>b0MLK46cNZSS47I7O/Olr12EOTmurQaybUzy+W8uhX8=</DigestValue>
      </Reference>
      <Reference URI="/xl/worksheets/sheet3.xml?ContentType=application/vnd.openxmlformats-officedocument.spreadsheetml.worksheet+xml">
        <DigestMethod Algorithm="http://www.w3.org/2001/04/xmlenc#sha256"/>
        <DigestValue>eup6CoZSCexoCYtUXZii8Z1WaWvZd/vAV0UZI0EDOHY=</DigestValue>
      </Reference>
      <Reference URI="/xl/worksheets/sheet4.xml?ContentType=application/vnd.openxmlformats-officedocument.spreadsheetml.worksheet+xml">
        <DigestMethod Algorithm="http://www.w3.org/2001/04/xmlenc#sha256"/>
        <DigestValue>NZb5rwnEczw65IH0vdpU3rgs8UnacWZnLbvZlRee9bs=</DigestValue>
      </Reference>
      <Reference URI="/xl/worksheets/sheet5.xml?ContentType=application/vnd.openxmlformats-officedocument.spreadsheetml.worksheet+xml">
        <DigestMethod Algorithm="http://www.w3.org/2001/04/xmlenc#sha256"/>
        <DigestValue>IlnyhUuFRiaJ1BwPHay2+cxY1VoeBt9qnmNpPoBVinc=</DigestValue>
      </Reference>
      <Reference URI="/xl/worksheets/sheet6.xml?ContentType=application/vnd.openxmlformats-officedocument.spreadsheetml.worksheet+xml">
        <DigestMethod Algorithm="http://www.w3.org/2001/04/xmlenc#sha256"/>
        <DigestValue>TxtMDpMj155HN7f9zo1xL9oH1S5muJG7yFdd0exHjCc=</DigestValue>
      </Reference>
      <Reference URI="/xl/worksheets/sheet7.xml?ContentType=application/vnd.openxmlformats-officedocument.spreadsheetml.worksheet+xml">
        <DigestMethod Algorithm="http://www.w3.org/2001/04/xmlenc#sha256"/>
        <DigestValue>Hn1/txo0z6sXB3vwHt1PokKJu45+h00Yt/80kTOe/Dg=</DigestValue>
      </Reference>
      <Reference URI="/xl/worksheets/sheet8.xml?ContentType=application/vnd.openxmlformats-officedocument.spreadsheetml.worksheet+xml">
        <DigestMethod Algorithm="http://www.w3.org/2001/04/xmlenc#sha256"/>
        <DigestValue>KFo35hYJ2YQGjxD9+Fb4T6Sdiv/pX92j6rdRql6qDQg=</DigestValue>
      </Reference>
      <Reference URI="/xl/worksheets/sheet9.xml?ContentType=application/vnd.openxmlformats-officedocument.spreadsheetml.worksheet+xml">
        <DigestMethod Algorithm="http://www.w3.org/2001/04/xmlenc#sha256"/>
        <DigestValue>t078EiGsx72U+N+uMWzTEB89GJNy7qvF7FEA5zGQZYs=</DigestValue>
      </Reference>
    </Manifest>
    <SignatureProperties>
      <SignatureProperty Id="idSignatureTime" Target="#idPackageSignature">
        <mdssi:SignatureTime xmlns:mdssi="http://schemas.openxmlformats.org/package/2006/digital-signature">
          <mdssi:Format>YYYY-MM-DDThh:mm:ssTZD</mdssi:Format>
          <mdssi:Value>2022-04-01T02:50:16Z</mdssi:Value>
        </mdssi:SignatureTime>
      </SignatureProperty>
    </SignatureProperties>
  </Object>
  <Object Id="idOfficeObject">
    <SignatureProperties>
      <SignatureProperty Id="idOfficeV1Details" Target="#idPackageSignature">
        <SignatureInfoV1 xmlns="http://schemas.microsoft.com/office/2006/digsig">
          <SetupID>{D6A099DA-63F2-4CB3-A44D-DF177D31A8F0}</SetupID>
          <SignatureText>Viviana Trociuk</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2022-04-01T02:50:16Z</xd:SigningTime>
          <xd:SigningCertificate>
            <xd:Cert>
              <xd:CertDigest>
                <DigestMethod Algorithm="http://www.w3.org/2001/04/xmlenc#sha256"/>
                <DigestValue>scC8fSvQhikVN+r1FJtPybUupTyYRTS5Ti94/Y2l1xg=</DigestValue>
              </xd:CertDigest>
              <xd:IssuerSerial>
                <X509IssuerName>C=PY, O=DOCUMENTA S.A., CN=CA-DOCUMENTA S.A., SERIALNUMBER=RUC 80050172-1</X509IssuerName>
                <X509SerialNumber>2612650964845994678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DkFgAAdgsAACBFTUYAAAEAqBsAAKo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BAAAGAAAAagEAABoAAAAVAQAABgAAAFYAAAAVAAAAIQDwAAAAAAAAAAAAAACAPwAAAAAAAAAAAACAPwAAAAAAAAAAAAAAAAAAAAAAAAAAAAAAAAAAAAAAAAAAJQAAAAwAAAAAAACAKAAAAAwAAAABAAAAUgAAAHABAAABAAAA8P///wAAAAAAAAAAAAAAAJABAAAAAAABAAAAAHMAZQBnAG8AZQAgAHUAaQAAAAAAAAAAAAAAAAAAAAAAAAAAAAAAAAAAAAAAAAAAAAAAAAAAAAAAAAAAAAAAAAAAAAAAACAAAAAAAAAA0Dm9+X8AAADQOb35fwAAVDYdvfl/AAAAANPx+X8AAEFpj7z5fwAAMBbT8fl/AABUNh29+X8AAMgWAAAAAAAAQAAAwPl/AAAAANPx+X8AABFsj7z5fwAABAAAAAAAAAAwFtPx+X8AALC1O1n/AAAAVDYdvQAAAABIAAAAAAAAAFQ2Hb35fwAAqNM5vfl/AACAOh29+X8AAAEAAAAAAAAA/l8dvfl/AAAAANPx+X8AAAAAAAAAAAAAAAAAAAAAAAAAAAAAAAAAAOAVcYOUAgAAW6bK7/l/AACQtjtZ/wAAACm3O1n/AAAAAAAAAAAAAAAAAAAAZHYACAAAAAAlAAAADAAAAAEAAAAYAAAADAAAAAAAAAASAAAADAAAAAEAAAAeAAAAGAAAABUBAAAGAAAAawEAABsAAAAlAAAADAAAAAEAAABUAAAAiAAAABYBAAAGAAAAaQEAABoAAAABAAAAqyp0QcdxdEEWAQAABgAAAAoAAABMAAAAAAAAAAAAAAAAAAAA//////////9gAAAAMwAxAC8AMAAzAC8AMgAwADIAMgAJAAAACQAAAAYAAAAJAAAACQAAAAYAAAAJAAAACQAAAAkAAAAJAAAASwAAAEAAAAAwAAAABQAAACAAAAABAAAAAQAAABAAAAAAAAAAAAAAAIABAADAAAAAAAAAAAAAAACAAQAAwAAAAFIAAABwAQAAAgAAABQAAAAJAAAAAAAAAAAAAAC8AgAAAAAAAAECAiJTAHkAcwB0AGUAbQAAAAAAAAAAAAAAAAAAAAAAAAAAAAAAAAAAAAAAAAAAAAAAAAAAAAAAAAAAAAAAAAAAAAAAAAAAACCoWoGUAgAAAAAAAAAAAAABAAAAAREAAIiu7e/5fwAAAAAAAAAAAACAP9Px+X8AAAkAAAABAAAACQAAAAAAAAAAAAAAAAAAAAAAAAAAAAAAobxP3w8dAADgFXGDlAIAAAQAAAAAAAAAINSSg5QCAADgFXGDlAIAADAVOlkAAAAAAAAAAAAAAAAHAAAAAAAAAAAAAAAAAAAAbBQ6Wf8AAACpFDpZ/wAAAGG3xu/5fwAAaQBhAGwAAAAAAAAAAAAAAAAAAAAAAAAAAAAAAAAAAADgFXGDlAIAAFumyu/5fwAAEBQ6Wf8AAACpFDpZ/wAAAKBXzpGUAg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AABRgZQCAAABAAAAlAIAACgAAAAAAAAAiK7t7/l/AAAAAAAAAAAAACBTQLn5fwAA/////wIAAAAA9xaTlAIAAAAAAAAAAAAAAAAAAAAAAAAhvU/fDx0AAAAAAAAAAAAAAAAAAPl/AADg////AAAAAOAVcYOUAgAAyBQ6WQAAAAAAAAAAAAAAAAYAAAAAAAAAAAAAAAAAAADsEzpZ/wAAACkUOln/AAAAYbfG7/l/AADg8BaTlAIAALCfc5IAAAAAmJJNufl/AADg8BaTlAIAAOAVcYOUAgAAW6bK7/l/AACQEzpZ/wAAACkUOln/AAAAsEHOkZQCAAAAAAAAZHYACAAAAAAlAAAADAAAAAMAAAAYAAAADAAAAAAAAAASAAAADAAAAAEAAAAWAAAADAAAAAgAAABUAAAAVAAAAA8AAABHAAAAIwAAAGoAAAABAAAAqyp0QcdxdEEPAAAAawAAAAEAAABMAAAABAAAAA4AAABHAAAAJQAAAGsAAABQAAAAWABzABUAAAAWAAAADAAAAAAAAAAlAAAADAAAAAIAAAAnAAAAGAAAAAQAAAAAAAAA////AAAAAAAlAAAADAAAAAQAAABMAAAAZAAAADoAAAAnAAAAcQEAAGoAAAA6AAAAJwAAADgBAABEAAAAIQDwAAAAAAAAAAAAAACAPwAAAAAAAAAAAACAPwAAAAAAAAAAAAAAAAAAAAAAAAAAAAAAAAAAAAAAAAAAJQAAAAwAAAAAAACAKAAAAAwAAAAEAAAAJwAAABgAAAAEAAAAAAAAAP///wAAAAAAJQAAAAwAAAAEAAAATAAAAGQAAAA6AAAAJwAAAHEBAABlAAAAOgAAACcAAAA4AQAAPwAAACEA8AAAAAAAAAAAAAAAgD8AAAAAAAAAAAAAgD8AAAAAAAAAAAAAAAAAAAAAAAAAAAAAAAAAAAAAAAAAACUAAAAMAAAAAAAAgCgAAAAMAAAABAAAACcAAAAYAAAABAAAAAAAAAD///8AAAAAACUAAAAMAAAABAAAAEwAAABkAAAAOgAAAEYAAADdAAAAZQAAADoAAABGAAAApAAAACAAAAAhAPAAAAAAAAAAAAAAAIA/AAAAAAAAAAAAAIA/AAAAAAAAAAAAAAAAAAAAAAAAAAAAAAAAAAAAAAAAAAAlAAAADAAAAAAAAIAoAAAADAAAAAQAAABSAAAAcAEAAAQAAADo////AAAAAAAAAAAAAAAAkAEAAAAAAAEAAAAAcwBlAGcAbwBlACAAdQBpAAAAAAAAAAAAAAAAAAAAAAAAAAAAAAAAAAAAAAAAAAAAAAAAAAAAAAAAAAAAAAAAAAAAAAA4Sye5+X8AAAAAAAD5fwAAOEsnufl/AACIru3v+X8AAAAAAAAAAAAAAAAAAAAAAAAAs3OSlAIAAAAAAAAAAAAAAAAAAAAAAAAAAAAAAAAAALG8T98PHQAAls6guPl/AAAgSCe5+X8AAOj///8AAAAA4BVxg5QCAAA4FTpZAAAAAAAAAAAAAAAACQAAAAAAAAAAAAAAAAAAAFwUOln/AAAAmRQ6Wf8AAABht8bv+X8AADhLJ7n5fwAAAAAAAAAAAACQHDpZ/wAAAAAAAAAAAAAA4BVxg5QCAABbpsrv+X8AAAAUOln/AAAAmRQ6Wf8AAAAAcM6RlAIAAAAAAABkdgAIAAAAACUAAAAMAAAABAAAABgAAAAMAAAAAAAAABIAAAAMAAAAAQAAAB4AAAAYAAAAOgAAAEYAAADeAAAAZgAAACUAAAAMAAAABAAAAFQAAACoAAAAOwAAAEYAAADcAAAAZQAAAAEAAACrKnRBx3F0QTsAAABGAAAADwAAAEwAAAAAAAAAAAAAAAAAAAD//////////2wAAABWAGkAdgBpAGEAbgBhACAAVAByAG8AYwBpAHUAawB4AA8AAAAGAAAADAAAAAYAAAAMAAAADgAAAAwAAAAHAAAADQAAAAgAAAAOAAAACwAAAAYAAAAOAAAADA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CgAAAAFgAAAHIAAAB6AAAAhgAAAAEAAACrKnRBx3F0QRYAAAByAAAADgAAAEwAAAAAAAAAAAAAAAAAAAD//////////2gAAABNAGkAcgB0AGgAYQAgAFQAcgBvAGMAaQB1AGsADgAAAAQAAAAGAAAABQAAAAkAAAAIAAAABAAAAAgAAAAGAAAACQAAAAcAAAAEAAAACQAAAAg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CIAAAAFgAAAIwAAABeAAAAoAAAAAEAAACrKnRBx3F0QRYAAACMAAAACgAAAEwAAAAAAAAAAAAAAAAAAAD//////////2AAAABQAHIAZQBzAGkAZABlAG4AdABlAAkAAAAGAAAACAAAAAcAAAAEAAAACQAAAAgAAAAJAAAABQAAAAgAAABLAAAAQAAAADAAAAAFAAAAIAAAAAEAAAABAAAAEAAAAAAAAAAAAAAAgAEAAMAAAAAAAAAAAAAAAIABAADAAAAAJQAAAAwAAAACAAAAJwAAABgAAAAFAAAAAAAAAP///wAAAAAAJQAAAAwAAAAFAAAATAAAAGQAAAAVAAAApgAAAGEBAAC6AAAAFQAAAKYAAABNAQAAFQAAACEA8AAAAAAAAAAAAAAAgD8AAAAAAAAAAAAAgD8AAAAAAAAAAAAAAAAAAAAAAAAAAAAAAAAAAAAAAAAAACUAAAAMAAAAAAAAgCgAAAAMAAAABQAAACUAAAAMAAAAAQAAABgAAAAMAAAAAAAAABIAAAAMAAAAAQAAABYAAAAMAAAAAAAAAFQAAABEAQAAFgAAAKYAAABgAQAAugAAAAEAAACrKnRBx3F0QRYAAACmAAAAKQAAAEwAAAAEAAAAFQAAAKYAAABiAQAAuwAAAKAAAABGAGkAcgBtAGEAZABvACAAcABvAHIAOgAgAE0ASQBSAFQASABBACAAVgBJAFYASQBBAE4AQQAgAFQAUgBPAEMASQBVAEsAIABQAEwARQBWAEEAAAAIAAAABAAAAAYAAAAOAAAACAAAAAkAAAAJAAAABAAAAAkAAAAJAAAABgAAAAMAAAAEAAAADgAAAAQAAAAKAAAACAAAAAsAAAAKAAAABAAAAAoAAAAEAAAACgAAAAQAAAAKAAAADAAAAAoAAAAEAAAACAAAAAoAAAAMAAAACgAAAAQAAAALAAAACQAAAAQAAAAJAAAACAAAAAgAAAAKAAAACgAAABYAAAAMAAAAAAAAACUAAAAMAAAAAgAAAA4AAAAUAAAAAAAAABAAAAAUAAAA</Object>
  <Object Id="idInvalidSigLnImg">AQAAAGwAAAAAAAAAAAAAAH8BAAC/AAAAAAAAAAAAAADkFgAAdgsAACBFTUYAAAEApCQAALE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0Dm9+X8AAADQOb35fwAAVDYdvfl/AAAAANPx+X8AAEFpj7z5fwAAMBbT8fl/AABUNh29+X8AAMgWAAAAAAAAQAAAwPl/AAAAANPx+X8AABFsj7z5fwAABAAAAAAAAAAwFtPx+X8AALC1O1n/AAAAVDYdvQAAAABIAAAAAAAAAFQ2Hb35fwAAqNM5vfl/AACAOh29+X8AAAEAAAAAAAAA/l8dvfl/AAAAANPx+X8AAAAAAAAAAAAAAAAAAAAAAAAAAAAAAAAAAOAVcYOUAgAAW6bK7/l/AACQtjtZ/wAAACm3O1n/AAAAAAAAAAAAAAAAAAAAZHYACAAAAAAlAAAADAAAAAEAAAAYAAAADAAAAP8AAAASAAAADAAAAAEAAAAeAAAAGAAAAEIAAAAGAAAArwAAABsAAAAlAAAADAAAAAEAAABUAAAAqAAAAEMAAAAGAAAArQAAABoAAAABAAAAqyp0Qcdxd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IKhagZQCAAAAAAAAAAAAAAEAAAABEQAAiK7t7/l/AAAAAAAAAAAAAIA/0/H5fwAACQAAAAEAAAAJAAAAAAAAAAAAAAAAAAAAAAAAAAAAAAChvE/fDx0AAOAVcYOUAgAABAAAAAAAAAAg1JKDlAIAAOAVcYOUAgAAMBU6WQAAAAAAAAAAAAAAAAcAAAAAAAAAAAAAAAAAAABsFDpZ/wAAAKkUOln/AAAAYbfG7/l/AABpAGEAbAAAAAAAAAAAAAAAAAAAAAAAAAAAAAAAAAAAAOAVcYOUAgAAW6bK7/l/AAAQFDpZ/wAAAKkUOln/AAAAoFfOkZQC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FGBlAIAAAEAAACUAgAAKAAAAAAAAACIru3v+X8AAAAAAAAAAAAAIFNAufl/AAD/////AgAAAAD3FpOUAgAAAAAAAAAAAAAAAAAAAAAAACG9T98PHQAAAAAAAAAAAAAAAAAA+X8AAOD///8AAAAA4BVxg5QCAADIFDpZAAAAAAAAAAAAAAAABgAAAAAAAAAAAAAAAAAAAOwTOln/AAAAKRQ6Wf8AAABht8bv+X8AAODwFpOUAgAAsJ9zkgAAAACYkk25+X8AAODwFpOUAgAA4BVxg5QCAABbpsrv+X8AAJATOln/AAAAKRQ6Wf8AAACwQc6RlAIAAAAAAABkdgAIAAAAACUAAAAMAAAAAwAAABgAAAAMAAAAAAAAABIAAAAMAAAAAQAAABYAAAAMAAAACAAAAFQAAABUAAAADwAAAEcAAAAjAAAAagAAAAEAAACrKnR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N0AAABlAAAAOgAAAEYAAACkAAAAIAAAACEA8AAAAAAAAAAAAAAAgD8AAAAAAAAAAAAAgD8AAAAAAAAAAAAAAAAAAAAAAAAAAAAAAAAAAAAAAAAAACUAAAAMAAAAAAAAgCgAAAAMAAAABAAAAFIAAABwAQAABAAAAOj///8AAAAAAAAAAAAAAACQAQAAAAAAAQAAAABzAGUAZwBvAGUAIAB1AGkAAAAAAAAAAAAAAAAAAAAAAAAAAAAAAAAAAAAAAAAAAAAAAAAAAAAAAAAAAAAAAAAAAAAAADhLJ7n5fwAAAAAAAPl/AAA4Sye5+X8AAIiu7e/5fwAAAAAAAAAAAAAAAAAAAAAAAACzc5KUAgAAAAAAAAAAAAAAAAAAAAAAAAAAAAAAAAAAsbxP3w8dAACWzqC4+X8AACBIJ7n5fwAA6P///wAAAADgFXGDlAIAADgVOlkAAAAAAAAAAAAAAAAJAAAAAAAAAAAAAAAAAAAAXBQ6Wf8AAACZFDpZ/wAAAGG3xu/5fwAAOEsnufl/AAAAAAAAAAAAAJAcOln/AAAAAAAAAAAAAADgFXGDlAIAAFumyu/5fwAAABQ6Wf8AAACZFDpZ/wAAAABwzpGUAgAAAAAAAGR2AAgAAAAAJQAAAAwAAAAEAAAAGAAAAAwAAAAAAAAAEgAAAAwAAAABAAAAHgAAABgAAAA6AAAARgAAAN4AAABmAAAAJQAAAAwAAAAEAAAAVAAAAKgAAAA7AAAARgAAANwAAABlAAAAAQAAAKsqdEHHcXRBOwAAAEYAAAAPAAAATAAAAAAAAAAAAAAAAAAAAP//////////bAAAAFYAaQB2AGkAYQBuAGEAIABUAHIAbwBjAGkAdQBrAAAADwAAAAYAAAAMAAAABgAAAAwAAAAOAAAADAAAAAcAAAANAAAACAAAAA4AAAALAAAABgAAAA4AAAAM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AAAAAWAAAAcgAAAHoAAACGAAAAAQAAAKsqdEHHcXRBFgAAAHIAAAAOAAAATAAAAAAAAAAAAAAAAAAAAP//////////aAAAAE0AaQByAHQAaABhACAAVAByAG8AYwBpAHUAawAOAAAABAAAAAYAAAAFAAAACQAAAAgAAAAEAAAACAAAAAYAAAAJAAAABwAAAAQAAAAJAAAACA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IgAAAAWAAAAjAAAAF4AAACgAAAAAQAAAKsqdEHHcXRBFgAAAIwAAAAKAAAATAAAAAAAAAAAAAAAAAAAAP//////////YAAAAFAAcgBlAHMAaQBkAGUAbgB0AGUACQAAAAYAAAAIAAAABwAAAAQAAAAJAAAACAAAAAkAAAAFAAAACAAAAEsAAABAAAAAMAAAAAUAAAAgAAAAAQAAAAEAAAAQAAAAAAAAAAAAAACAAQAAwAAAAAAAAAAAAAAAgAEAAMAAAAAlAAAADAAAAAIAAAAnAAAAGAAAAAUAAAAAAAAA////AAAAAAAlAAAADAAAAAUAAABMAAAAZAAAABUAAACmAAAAYQEAALoAAAAVAAAApgAAAE0BAAAVAAAAIQDwAAAAAAAAAAAAAACAPwAAAAAAAAAAAACAPwAAAAAAAAAAAAAAAAAAAAAAAAAAAAAAAAAAAAAAAAAAJQAAAAwAAAAAAACAKAAAAAwAAAAFAAAAJQAAAAwAAAABAAAAGAAAAAwAAAAAAAAAEgAAAAwAAAABAAAAFgAAAAwAAAAAAAAAVAAAAEQBAAAWAAAApgAAAGABAAC6AAAAAQAAAKsqdEHHcXRBFgAAAKYAAAApAAAATAAAAAQAAAAVAAAApgAAAGIBAAC7AAAAoAAAAEYAaQByAG0AYQBkAG8AIABwAG8AcgA6ACAATQBJAFIAVABIAEEAIABWAEkAVgBJAEEATgBBACAAVABSAE8AQwBJAFUASwAgAFAATABFAFYAQQAAAAgAAAAEAAAABgAAAA4AAAAIAAAACQAAAAkAAAAEAAAACQAAAAkAAAAGAAAAAwAAAAQAAAAOAAAABAAAAAoAAAAIAAAACwAAAAoAAAAEAAAACgAAAAQAAAAKAAAABAAAAAoAAAAMAAAACgAAAAQAAAAIAAAACgAAAAwAAAAKAAAABAAAAAsAAAAJAAAABAAAAAkAAAAIAAAACAAAAAoAAAAK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w9WkF0ZDY2ZP73qGLO/DCNvWcIpZi2GVqJcom9GYgh8=</DigestValue>
    </Reference>
    <Reference Type="http://www.w3.org/2000/09/xmldsig#Object" URI="#idOfficeObject">
      <DigestMethod Algorithm="http://www.w3.org/2001/04/xmlenc#sha256"/>
      <DigestValue>+AjceKl2tYSUJ4Cy5qXzWawBEhSBlzzXO0vhZYkZLeU=</DigestValue>
    </Reference>
    <Reference Type="http://uri.etsi.org/01903#SignedProperties" URI="#idSignedProperties">
      <Transforms>
        <Transform Algorithm="http://www.w3.org/TR/2001/REC-xml-c14n-20010315"/>
      </Transforms>
      <DigestMethod Algorithm="http://www.w3.org/2001/04/xmlenc#sha256"/>
      <DigestValue>bJ8bTARUMZ08Kxp3lAuffW/Dj7TUz3j0eC+/AmfxEOg=</DigestValue>
    </Reference>
  </SignedInfo>
  <SignatureValue>nDcfRen0E9DU0FivA3Oiiy3dsv3afm99qF5LlRf4rkPRVcIK1WJFmyJqDrRz9vFBBB58ZJzcOb1n
vsl5suqd1WZcbwiffMf8HPxXMYmQQulhPEDxQ4g1XryLQ61Cp4iuqV92FBVfFun+hF14cKmW3E1/
tnCf9ST2v7+KkvTpwYE0AAnP7U83QvePXgOzy14od9zi8G95p0w0DlOsjBDzW8e1LH3Yza86DVRd
rdQgrH9A0hze3RuToF3jFCYqQoIpQCzuf7Ck4rIgUPVZ4iKjh5KVusPc3uWPw5Q2T1eX+E8ceNtm
qPa1DwBT8lc3VJpMMzmMud/MW60sZlq5upOECA==</SignatureValue>
  <KeyInfo>
    <X509Data>
      <X509Certificate>MIIH/TCCBeWgAwIBAgITXAAAUT5htmnItkR38AAAAABRPjANBgkqhkiG9w0BAQsFADBXMRcwFQYDVQQFEw5SVUMgODAwODA2MTAtNzEVMBMGA1UEChMMQ09ERTEwMCBTLkEuMQswCQYDVQQGEwJQWTEYMBYGA1UEAxMPQ0EtQ09ERTEwMCBTLkEuMB4XDTIxMDIyNDE5MzYxNFoXDTIzMDIyNDE5MzYxNFowgZUxHTAbBgNVBAMTFEVER0FSIERBUklPIE1BUlRJTkVaMRcwFQYDVQQKEw5QRVJTT05BIEZJU0lDQTELMAkGA1UEBhMCUFkxFDASBgNVBCoTC0VER0FSIERBUklPMREwDwYDVQQEEwhNQVJUSU5FWjESMBAGA1UEBRMJQ0kxNTk1MzQwMREwDwYDVQQLEwhGSVJNQSBGMjCCASIwDQYJKoZIhvcNAQEBBQADggEPADCCAQoCggEBALo5NYpFUr8LrL6x6jTuj+wR8tc08pvkP4z3qjDM4vsa5SBxHb7PFc74ImVNd/ZtQMM+GkoXyKzzNLbLGeeCiV7wFmoyu2zHGnU910uGNfxTPonvVyyfbkjA7KLRbT1a9surfFwTOMAkiwyDYqCcWSLvbeXkslUN0WJcNscOhEDI7fxBRM5lWpUwpyQ9fb8BFRKrO/8htm+CIZ5n2+Fyd5/c7n6DLhGtQSAynDt+H6FBQjyJ9d1DJj3KC+ztkmouoInr7U0aZan5jzrJjbb8fV5ylqOECKV1tgZO43RTxJz8+vK9Fo9kz5Obn5U1v2WDTYRYvKdxS8Dw3hvxsWEbZMsCAwEAAaOCA4EwggN9MA4GA1UdDwEB/wQEAwIF4DAMBgNVHRMBAf8EAjAAMCAGA1UdJQEB/wQWMBQGCCsGAQUFBwMCBggrBgEFBQcDBDAdBgNVHQ4EFgQUS2I22yjCIvjotU8Q/q/tJH0Zxeo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gYDVR0RBBswGYEXRURNQVJUSU5FWkBERUxPSVRURS5DT00wDQYJKoZIhvcNAQELBQADggIBAI7yum7vckOq6HegkDS63ZjWIAbVU4iouA8c9jQKze6KudJjpRRjaX/IVKTQhCw2K9QZEAYLt04BMHosBsF262yNhJuS0L5n9ym8f0GCZD+fnTjsqX8x6WOkBcyVUu2xiJQ8ejlDZN/GtU8UzF/L5T5CZ6KA8tA3QgicTUKigCs2z+EzbmwECmt7743Axvx142lg/ceepo9O6VHHX3e4+XIqxcwzP13nvzpF76naaDriWc7wz4Cx+fg5kKR1qXH0AF/3u7BszGYgdSr1bQGG59uUr+CgIpZ10flR69bpPpIy/tdNItQi+I0hsMK0rzkcBpk9hDq+8B6MqAWGdJubY0eBgJdbf1fgu35/etd2F5fgLFP7a2DoFBiSOYmo82smkJDOUdQFFc3nG8eA5dqmd3B31LH4nzeg/ta2SancjgLCfUiZJebCgM0v7WM6NUyETyYZ/9xROWVrYpHQ3cucz4ikgzSmJ2sT4u15RlEm0D7ok48MbPzZGp9AhJVnIFuQbYPxoxRUJZhL3WcD6iwrYb9Z+GCVyg1InKFW+O+T7OsipKdV69TtB5Vu63wHLl97jMiqTmFPQxJSJUC0G5xvlHEnAK0JAJdHW4BGtX4U7RiIoyxuSGZ0QgGk49l73PsUNQo9ItRgRmuD+Jqj2zVvTDVO8HMT79sO29dwiwsVfP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F2Dd8C0gQ13SPjSKGsbat8ReoKJaY1gSyBgwVxORtw0=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5HE/VN3F0ZZtm2+0ifHEdalXz+we00XrDBbH5gRm/Qc=</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nl1cCpEpQtkwXMfB/mcc4p804T4Dt43qZF8uRntDz2E=</DigestValue>
      </Reference>
      <Reference URI="/xl/drawings/drawing4.xml?ContentType=application/vnd.openxmlformats-officedocument.drawing+xml">
        <DigestMethod Algorithm="http://www.w3.org/2001/04/xmlenc#sha256"/>
        <DigestValue>XkmIxtMQRAaZnwi8PiQZTg7X4iQJvuQbOeikMED0s7s=</DigestValue>
      </Reference>
      <Reference URI="/xl/drawings/drawing5.xml?ContentType=application/vnd.openxmlformats-officedocument.drawing+xml">
        <DigestMethod Algorithm="http://www.w3.org/2001/04/xmlenc#sha256"/>
        <DigestValue>8NQGHoL8AIWUrbTAKGbJcUH+qKwVcg9HMNwFfCatg6w=</DigestValue>
      </Reference>
      <Reference URI="/xl/drawings/drawing6.xml?ContentType=application/vnd.openxmlformats-officedocument.drawing+xml">
        <DigestMethod Algorithm="http://www.w3.org/2001/04/xmlenc#sha256"/>
        <DigestValue>9AdAO151FHMK8sTKKOq64Yww0yyN7gTjv9AbI90MWhI=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gX93Wsqn+VHjTR2R0EZgmInovlxkNtG5/BxaK8vM25o=</DigestValue>
      </Reference>
      <Reference URI="/xl/drawings/drawing9.xml?ContentType=application/vnd.openxmlformats-officedocument.drawing+xml">
        <DigestMethod Algorithm="http://www.w3.org/2001/04/xmlenc#sha256"/>
        <DigestValue>vBoh0I/Jb9Vs0oZuO7YkA5JVBMIm4W9BMzQhB/GozyQ=</DigestValue>
      </Reference>
      <Reference URI="/xl/drawings/vmlDrawing1.vml?ContentType=application/vnd.openxmlformats-officedocument.vmlDrawing">
        <DigestMethod Algorithm="http://www.w3.org/2001/04/xmlenc#sha256"/>
        <DigestValue>iRWt1IpxZiJWzn6iZIOu1r1ZKIpI+UKTF8EpIpEAAR8=</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d64z04pcYOmVTiPOsigr1YpK/kPjXDeA80zMOYoo62w=</DigestValue>
      </Reference>
      <Reference URI="/xl/media/image4.emf?ContentType=image/x-emf">
        <DigestMethod Algorithm="http://www.w3.org/2001/04/xmlenc#sha256"/>
        <DigestValue>JXchlu7lSf7vbzeYSJFKG6KnnODkxCTf9lnLDEFVZb4=</DigestValue>
      </Reference>
      <Reference URI="/xl/media/image5.emf?ContentType=image/x-emf">
        <DigestMethod Algorithm="http://www.w3.org/2001/04/xmlenc#sha256"/>
        <DigestValue>UY6S5zsYIU5ER2wQaNCMOOGut9UbpxdFz/GHC/KG7M8=</DigestValue>
      </Reference>
      <Reference URI="/xl/media/image6.emf?ContentType=image/x-emf">
        <DigestMethod Algorithm="http://www.w3.org/2001/04/xmlenc#sha256"/>
        <DigestValue>BJ8/BOJY/oSOcGN+IZktmK7tSMzLvgPXCyXQU0sfhaE=</DigestValue>
      </Reference>
      <Reference URI="/xl/media/image7.emf?ContentType=image/x-emf">
        <DigestMethod Algorithm="http://www.w3.org/2001/04/xmlenc#sha256"/>
        <DigestValue>hzGsAjrLndfaBzEld8ZyNGlFUGixK9wdzbreg20yqyE=</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9BEDvEtLT0sYKxzC33m1GXOVCEz7eNWpAlAQTHxciJc=</DigestValue>
      </Reference>
      <Reference URI="/xl/printerSettings/printerSettings24.bin?ContentType=application/vnd.openxmlformats-officedocument.spreadsheetml.printerSettings">
        <DigestMethod Algorithm="http://www.w3.org/2001/04/xmlenc#sha256"/>
        <DigestValue>MXec2D+WMU8itUC5NxoyllqwEi3fXNlaIfg2JySEdZE=</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OGD3iF2+l78gTInlDCWFPycZVuHBpUE02raJ/Wr5XCI=</DigestValue>
      </Reference>
      <Reference URI="/xl/printerSettings/printerSettings28.bin?ContentType=application/vnd.openxmlformats-officedocument.spreadsheetml.printerSettings">
        <DigestMethod Algorithm="http://www.w3.org/2001/04/xmlenc#sha256"/>
        <DigestValue>MXec2D+WMU8itUC5NxoyllqwEi3fXNlaIfg2JySEdZE=</DigestValue>
      </Reference>
      <Reference URI="/xl/printerSettings/printerSettings29.bin?ContentType=application/vnd.openxmlformats-officedocument.spreadsheetml.printerSettings">
        <DigestMethod Algorithm="http://www.w3.org/2001/04/xmlenc#sha256"/>
        <DigestValue>nrwW2aOzrJ6w3s+3W+h5IvHukzB/6FZNl1merJBqyjs=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8ULINyTSns7e3+F/twyhXb2p4OEI5M6paxloUp/0tKM=</DigestValue>
      </Reference>
      <Reference URI="/xl/printerSettings/printerSettings32.bin?ContentType=application/vnd.openxmlformats-officedocument.spreadsheetml.printerSettings">
        <DigestMethod Algorithm="http://www.w3.org/2001/04/xmlenc#sha256"/>
        <DigestValue>8ULINyTSns7e3+F/twyhXb2p4OEI5M6paxloUp/0tKM=</DigestValue>
      </Reference>
      <Reference URI="/xl/printerSettings/printerSettings33.bin?ContentType=application/vnd.openxmlformats-officedocument.spreadsheetml.printerSettings">
        <DigestMethod Algorithm="http://www.w3.org/2001/04/xmlenc#sha256"/>
        <DigestValue>8ULINyTSns7e3+F/twyhXb2p4OEI5M6paxloUp/0tKM=</DigestValue>
      </Reference>
      <Reference URI="/xl/printerSettings/printerSettings34.bin?ContentType=application/vnd.openxmlformats-officedocument.spreadsheetml.printerSettings">
        <DigestMethod Algorithm="http://www.w3.org/2001/04/xmlenc#sha256"/>
        <DigestValue>eagKw4vkJta//EAXFo8pt3rkLlJe7nsQidLS/ebqtjQ=</DigestValue>
      </Reference>
      <Reference URI="/xl/printerSettings/printerSettings35.bin?ContentType=application/vnd.openxmlformats-officedocument.spreadsheetml.printerSettings">
        <DigestMethod Algorithm="http://www.w3.org/2001/04/xmlenc#sha256"/>
        <DigestValue>YE8L7X0odkmvBfLuwq0TSw4LKk7AsP9RKU8hniCLgyE=</DigestValue>
      </Reference>
      <Reference URI="/xl/printerSettings/printerSettings36.bin?ContentType=application/vnd.openxmlformats-officedocument.spreadsheetml.printerSettings">
        <DigestMethod Algorithm="http://www.w3.org/2001/04/xmlenc#sha256"/>
        <DigestValue>nrwW2aOzrJ6w3s+3W+h5IvHukzB/6FZNl1merJBqyjs=</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8Q+UYehsDIETlgtEv8wQ477lEayGoE57NiDAmAOfaP0=</DigestValue>
      </Reference>
      <Reference URI="/xl/styles.xml?ContentType=application/vnd.openxmlformats-officedocument.spreadsheetml.styles+xml">
        <DigestMethod Algorithm="http://www.w3.org/2001/04/xmlenc#sha256"/>
        <DigestValue>lBbfD06+6t8YbFR/mXiO5z4+4+vi7iy8H8W50D/nuoY=</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5+l2TeDHjvAhy7Vmkxa7ELYShAapeVIKlKGopCypSH0=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dSttE6mOEu2epbtAR6+aqg1OXVjQ+cHG1PnAlvkH8xE=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KZqL6rTLsCUXth8uQO5PSSHqKgaVCOSzYJQeqnfQDiE=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sheet1.xml?ContentType=application/vnd.openxmlformats-officedocument.spreadsheetml.worksheet+xml">
        <DigestMethod Algorithm="http://www.w3.org/2001/04/xmlenc#sha256"/>
        <DigestValue>myD8xq3a/nxIakOMSIXlsXf2cWGcvsjvEShQnq4U8Kc=</DigestValue>
      </Reference>
      <Reference URI="/xl/worksheets/sheet10.xml?ContentType=application/vnd.openxmlformats-officedocument.spreadsheetml.worksheet+xml">
        <DigestMethod Algorithm="http://www.w3.org/2001/04/xmlenc#sha256"/>
        <DigestValue>XZS3kcT0Zvs/sQh0gwcrTgGYG6d4E1T2fNUR1XWEPc4=</DigestValue>
      </Reference>
      <Reference URI="/xl/worksheets/sheet11.xml?ContentType=application/vnd.openxmlformats-officedocument.spreadsheetml.worksheet+xml">
        <DigestMethod Algorithm="http://www.w3.org/2001/04/xmlenc#sha256"/>
        <DigestValue>g3+d3UbegoGiDccZCYMGVUqgEunY+RTpTkVzgc/cymo=</DigestValue>
      </Reference>
      <Reference URI="/xl/worksheets/sheet12.xml?ContentType=application/vnd.openxmlformats-officedocument.spreadsheetml.worksheet+xml">
        <DigestMethod Algorithm="http://www.w3.org/2001/04/xmlenc#sha256"/>
        <DigestValue>otaC3YSgHl4JVY5twhg22XjszEihusbguTHXU/aP91g=</DigestValue>
      </Reference>
      <Reference URI="/xl/worksheets/sheet13.xml?ContentType=application/vnd.openxmlformats-officedocument.spreadsheetml.worksheet+xml">
        <DigestMethod Algorithm="http://www.w3.org/2001/04/xmlenc#sha256"/>
        <DigestValue>ZvPoMIEHVPsTNwNvYLvLLuIdRr6nZ+lyH8E/hoq4sIg=</DigestValue>
      </Reference>
      <Reference URI="/xl/worksheets/sheet14.xml?ContentType=application/vnd.openxmlformats-officedocument.spreadsheetml.worksheet+xml">
        <DigestMethod Algorithm="http://www.w3.org/2001/04/xmlenc#sha256"/>
        <DigestValue>cys5T1XS417li6+Aiclrxs2C37AChLjd0fp25qmvlM4=</DigestValue>
      </Reference>
      <Reference URI="/xl/worksheets/sheet2.xml?ContentType=application/vnd.openxmlformats-officedocument.spreadsheetml.worksheet+xml">
        <DigestMethod Algorithm="http://www.w3.org/2001/04/xmlenc#sha256"/>
        <DigestValue>b0MLK46cNZSS47I7O/Olr12EOTmurQaybUzy+W8uhX8=</DigestValue>
      </Reference>
      <Reference URI="/xl/worksheets/sheet3.xml?ContentType=application/vnd.openxmlformats-officedocument.spreadsheetml.worksheet+xml">
        <DigestMethod Algorithm="http://www.w3.org/2001/04/xmlenc#sha256"/>
        <DigestValue>eup6CoZSCexoCYtUXZii8Z1WaWvZd/vAV0UZI0EDOHY=</DigestValue>
      </Reference>
      <Reference URI="/xl/worksheets/sheet4.xml?ContentType=application/vnd.openxmlformats-officedocument.spreadsheetml.worksheet+xml">
        <DigestMethod Algorithm="http://www.w3.org/2001/04/xmlenc#sha256"/>
        <DigestValue>NZb5rwnEczw65IH0vdpU3rgs8UnacWZnLbvZlRee9bs=</DigestValue>
      </Reference>
      <Reference URI="/xl/worksheets/sheet5.xml?ContentType=application/vnd.openxmlformats-officedocument.spreadsheetml.worksheet+xml">
        <DigestMethod Algorithm="http://www.w3.org/2001/04/xmlenc#sha256"/>
        <DigestValue>IlnyhUuFRiaJ1BwPHay2+cxY1VoeBt9qnmNpPoBVinc=</DigestValue>
      </Reference>
      <Reference URI="/xl/worksheets/sheet6.xml?ContentType=application/vnd.openxmlformats-officedocument.spreadsheetml.worksheet+xml">
        <DigestMethod Algorithm="http://www.w3.org/2001/04/xmlenc#sha256"/>
        <DigestValue>TxtMDpMj155HN7f9zo1xL9oH1S5muJG7yFdd0exHjCc=</DigestValue>
      </Reference>
      <Reference URI="/xl/worksheets/sheet7.xml?ContentType=application/vnd.openxmlformats-officedocument.spreadsheetml.worksheet+xml">
        <DigestMethod Algorithm="http://www.w3.org/2001/04/xmlenc#sha256"/>
        <DigestValue>Hn1/txo0z6sXB3vwHt1PokKJu45+h00Yt/80kTOe/Dg=</DigestValue>
      </Reference>
      <Reference URI="/xl/worksheets/sheet8.xml?ContentType=application/vnd.openxmlformats-officedocument.spreadsheetml.worksheet+xml">
        <DigestMethod Algorithm="http://www.w3.org/2001/04/xmlenc#sha256"/>
        <DigestValue>KFo35hYJ2YQGjxD9+Fb4T6Sdiv/pX92j6rdRql6qDQg=</DigestValue>
      </Reference>
      <Reference URI="/xl/worksheets/sheet9.xml?ContentType=application/vnd.openxmlformats-officedocument.spreadsheetml.worksheet+xml">
        <DigestMethod Algorithm="http://www.w3.org/2001/04/xmlenc#sha256"/>
        <DigestValue>t078EiGsx72U+N+uMWzTEB89GJNy7qvF7FEA5zGQZYs=</DigestValue>
      </Reference>
    </Manifest>
    <SignatureProperties>
      <SignatureProperty Id="idSignatureTime" Target="#idPackageSignature">
        <mdssi:SignatureTime xmlns:mdssi="http://schemas.openxmlformats.org/package/2006/digital-signature">
          <mdssi:Format>YYYY-MM-DDThh:mm:ssTZD</mdssi:Format>
          <mdssi:Value>2022-04-01T03:53:01Z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 efectos de su identificación con nuestro informe de fecha 31/03/22 para su presentación ante la CNV</SignatureComments>
          <WindowsVersion>10.0</WindowsVersion>
          <OfficeVersion>16.0.13127/21</OfficeVersion>
          <ApplicationVersion>16.0.13127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2022-04-01T03:53:01Z</xd:SigningTime>
          <xd:SigningCertificate>
            <xd:Cert>
              <xd:CertDigest>
                <DigestMethod Algorithm="http://www.w3.org/2001/04/xmlenc#sha256"/>
                <DigestValue>LfKO5RtUDlhZrQJLXEh9UGHsfvGtZi81XPqQbNqPbz8=</DigestValue>
              </xd:CertDigest>
              <xd:IssuerSerial>
                <X509IssuerName>CN=CA-CODE100 S.A., C=PY, O=CODE100 S.A., SERIALNUMBER=RUC 80080610-7</X509IssuerName>
                <X509SerialNumber>2051668666256189238824334836286521845689110846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A efectos de su identificación con nuestro informe de fecha 31/03/22 para su presentación ante la CNV</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MQXYEutkMXYZYCLAfpoXTLazyrg=</DigestValue>
    </Reference>
    <Reference URI="#idOfficeObject" Type="http://www.w3.org/2000/09/xmldsig#Object">
      <DigestMethod Algorithm="http://www.w3.org/2000/09/xmldsig#sha1"/>
      <DigestValue>ePodI+HomOdXO3hOErJ0MOrMx+A=</DigestValue>
    </Reference>
    <Reference URI="#idValidSigLnImg" Type="http://www.w3.org/2000/09/xmldsig#Object">
      <DigestMethod Algorithm="http://www.w3.org/2000/09/xmldsig#sha1"/>
      <DigestValue>R7pBgKPjbpkl9TsRF/OBnw7I9RI=</DigestValue>
    </Reference>
    <Reference URI="#idInvalidSigLnImg" Type="http://www.w3.org/2000/09/xmldsig#Object">
      <DigestMethod Algorithm="http://www.w3.org/2000/09/xmldsig#sha1"/>
      <DigestValue>jz4ikGjgj6RQabuFOw0/1+7VKqw=</DigestValue>
    </Reference>
  </SignedInfo>
  <SignatureValue>
    RVAWEgl4ZoeXQEJNwlZSaBe9FKmOvPy2ior9Z+0EaUXLk0xey1QnLxIMEgDwyFJXP9cnEyyP
    VDyXaHjmQ0AaOkQ6XgS8TFkqqLHWR8EuARF9PL4oqesELRWrFp/btU6MycLJCeuYYtCgUb2S
    oNGbZa8vi33h6QUO+2O0RrAb4mkLWSaRjp1CnBZgk/oIh91GtDYPC4CFpjuuPoeE+8uoDI/w
    DsHA2IgcXDqPvx3WbR1CcCR4HXTQTyPyc1Xyu7E1Xpd3+9eB/GDIJd02yPPMlUqv5Ffzjaud
    anJbhR3ZqZSjn+PBFg/AxeHBj+vykCc2hgw/vPtUIJZNNCwUbEgKOA==
  </SignatureValue>
  <KeyInfo>
    <KeyValue>
      <RSAKeyValue>
        <Modulus>
            x+IrFZRyfdbZWmnrjDiWGU9hhexRbDxF8WXnu5VfAEnoRePpkRtanfoM+Z9ovH3hKI+e0ix5
            fl9IkADRzdhn0FRYKiHJGlBR1Zmru6uL7LMvTtiwovGKdIJL8UGAF7xYt3gZLk6y7m6l4eZk
            5iP9jVJk4PE4jGgESlRzj47jYJYnL9keTsM9/EJaT0LlWE34B/9xjWNFxu2JCL+BuE44NIJi
            Ps2j3GABix2M7jyPnxBknxkggY2GYt8UnbvOJTSuZgYu1MHQeS/ebU1YMrDJ0nh/e+yScVXx
            RvE6fS58U7hdORFMpCrMTGs16pENgxJbAQDeETT8ID2JD/1JgJLvBw==
          </Modulus>
        <Exponent>AQAB</Exponent>
      </RSAKeyValue>
    </KeyValue>
    <X509Data>
      <X509Certificate>
          MIIIETCCBfmgAwIBAgITXAAAiYA3IDiFCQ3TxAAAAACJgDANBgkqhkiG9w0BAQsFADBXMRcw
          FQYDVQQFEw5SVUMgODAwODA2MTAtNzEVMBMGA1UEChMMQ09ERTEwMCBTLkEuMQswCQYDVQQG
          EwJQWTEYMBYGA1UEAxMPQ0EtQ09ERTEwMCBTLkEuMB4XDTIxMDkwMzEyNDAyM1oXDTIzMDkw
          MzEyNDAyM1owgasxKDAmBgNVBAMTH0dVSUxMRVJNTyBBTEVYSVMgQ0VTUEVERVMgTUFaVVIx
          FzAVBgNVBAoTDlBFUlNPTkEgRklTSUNBMQswCQYDVQQGEwJQWTEZMBcGA1UEKhMQR1VJTExF
          Uk1PIEFMRVhJUzEXMBUGA1UEBBMOQ0VTUEVERVMgTUFaVVIxEjAQBgNVBAUTCUNJMjY3NzIw
          NDERMA8GA1UECxMIRklSTUEgRjIwggEiMA0GCSqGSIb3DQEBAQUAA4IBDwAwggEKAoIBAQDH
          4isVlHJ91tlaaeuMOJYZT2GF7FFsPEXxZee7lV8ASehF4+mRG1qd+gz5n2i8feEoj57SLHl+
          X0iQANHN2GfQVFgqIckaUFHVmau7q4vssy9O2LCi8Yp0gkvxQYAXvFi3eBkuTrLubqXh5mTm
          I/2NUmTg8TiMaARKVHOPjuNglicv2R5Owz38QlpPQuVYTfgH/3GNY0XG7YkIv4G4Tjg0gmI+
          zaPcYAGLHYzuPI+fEGSfGSCBjYZi3xSdu84lNK5mBi7UwdB5L95tTVgysMnSeH977JJxVfFG
          8Tp9LnxTuF05EUykKsxMazXqkQ2DElsBAN4RNPwgPYkP/UmAku8HAgMBAAGjggN/MIIDezAO
          BgNVHQ8BAf8EBAMCBeAwDAYDVR0TAQH/BAIwADAgBgNVHSUBAf8EFjAUBggrBgEFBQcDAgYI
          KwYBBQUHAwQwHQYDVR0OBBYEFIUfAH7ioEyVdnLsCcBfjnVLkEvKMB8GA1UdIwQYMBaAFCf2
          2jsLf5P4WRLQFapCz7KWlj1FMIGIBgNVHR8EgYAwfjB8oHqgeIY6aHR0cDovL2NhMS5jb2Rl
          MTAwLmNvbS5weS9maXJtYS1kaWdpdGFsL2NybC9DQS1DT0RFMTAwLmNybIY6aHR0cDovL2Nh
          Mi5jb2RlMTAwLmNvbS5weS9maXJtYS1kaWdpdGFsL2NybC9DQS1DT0RFMTAwLmNybDCB+AYI
          KwYBBQUHAQEEgeswgegwRgYIKwYBBQUHMAKGOmh0dHA6Ly9jYTEuY29kZTEwMC5jb20ucHkv
          ZmlybWEtZGlnaXRhbC9jZXIvQ0EtQ09ERTEwMC5jZXIwRgYIKwYBBQUHMAKGOmh0dHA6Ly9j
          YTIuY29kZTEwMC5jb20ucHkvZmlybWEtZGlnaXRhbC9jZXIvQ0EtQ09ERTEwMC5jZXIwKgYI
          KwYBBQUHMAGGHmh0dHA6Ly9jYTEuY29kZTEwMC5jb20ucHkvb2NzcDAqBggrBgEFBQcwAYYe
          aHR0cDovL2NhMi5jb2RlMTAwLmNvbS5weS9vY3NwMIIBTwYDVR0gBIIBRjCCAUIwggE+Bgwr
          BgEEAYLZSgEBAQYwggEsMGwGCCsGAQUFBwIBFmBodHRwOi8vd3d3LmNvZGUxMDAuY29tLnB5
          L2Zpcm1hLWRpZ2l0YWwvQ09ERTEwMCUyMFBvbGl0aWNhJTIwZGUlMjBDZXJ0aWZpY2FjaW9u
          JTIwRjIlMjB2Mi4wLnBkZgAwZgYIKwYBBQUHAgIwWh5YAFAAbwBsAGkAdABpAGMAYQAgAGQA
          ZQAgAGMAZQByAHQAaQBmAGkAYwBhAGMAaQBvAG4AIABGADIAIABkAGUAIABDAG8AZABlADEA
          MAAwACAAUwAuAEEALjBUBggrBgEFBQcCAjBIHkYAQwBvAGQAZQAgADEAMAAwACAAUwAuAEEA
          LgAgAEMAZQByAHQAaQBmAGkAYwBhAHQAZQAgAFAAbwBsAGkAYwB5ACAARgAyMCAGA1UdEQQZ
          MBeBFUdDRVNQRURFU1ZDQEdNQUlMLkNPTTANBgkqhkiG9w0BAQsFAAOCAgEAVUUHMB5tVq/3
          qspBt3UKHkh9A61OE++sCnGxHK6zLBtXy4rmBmXrqs+NxpnZH3ZHGGBY7J3uCifabwfOr8f9
          tPUX+37AXdBulAiSftZ91EuCeNhf0iCiuRfApSj1REPp3Qe7cfZCppCFwMJ8hmvcAd10V1D8
          BU599ogQLJyed0VGixop6bug2ARdkiajSbMvqzyE3wcRp84i985J15eFySI86AHLVsVskTdF
          0cR4GksDWwnIn+RdB0gwyLNm4ScSoXchUIPBhsUsVsSBf8jSK63StjxNJ9irfN/w/9IsYKI7
          bphBBBrJbeYhsp3Hfh/CNnge8f86UYBQ3uvKHkvzBTs3/2w0+4tuKvVeAqR6shoDP+bql61Z
          YAaX1l0uscqveaHtxn5HfdRrijELUh27Axt2PiDN/uNmVCP+kaNu6tedt3kAWFgoWetWliwp
          tVfoogcTDCP3CbL3b9uStg8dOL74oPZsmBXLJKdwbIo47AUnoAayoNg3Htkg5/7C5b5T0E6W
          At55nv54xAMvSPJJm0yuZSCdDvEexiNKuUHdCbom3WhkzmPt1q1F3TAlYw+4SIl4BFJMzGJm
          JQCT6Axunp5RT1XKobeQf9cmCZG96tWq9mTdIkQsLxC9xphBm5rxjLp/S0N2j03Q2RiOKlNg
          75DM42WcFJTXYbAqxY4C2Og=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SP62/2Hle3WTJ0WHFH23VKtHfPg=</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PreraMnMX+5DbJU7ltS8kLcvcck=</DigestValue>
      </Reference>
      <Reference URI="/xl/drawings/drawing1.xml?ContentType=application/vnd.openxmlformats-officedocument.drawing+xml">
        <DigestMethod Algorithm="http://www.w3.org/2000/09/xmldsig#sha1"/>
        <DigestValue>wKEZlNFpZRzkVGeW6CboFMelWKE=</DigestValue>
      </Reference>
      <Reference URI="/xl/drawings/drawing2.xml?ContentType=application/vnd.openxmlformats-officedocument.drawing+xml">
        <DigestMethod Algorithm="http://www.w3.org/2000/09/xmldsig#sha1"/>
        <DigestValue>NmsYqvIR/pGtwLHQQ6QJ8+lYFxw=</DigestValue>
      </Reference>
      <Reference URI="/xl/drawings/drawing3.xml?ContentType=application/vnd.openxmlformats-officedocument.drawing+xml">
        <DigestMethod Algorithm="http://www.w3.org/2000/09/xmldsig#sha1"/>
        <DigestValue>VADc0x/GrWkc28SVFuN2uR+Lj1A=</DigestValue>
      </Reference>
      <Reference URI="/xl/drawings/drawing4.xml?ContentType=application/vnd.openxmlformats-officedocument.drawing+xml">
        <DigestMethod Algorithm="http://www.w3.org/2000/09/xmldsig#sha1"/>
        <DigestValue>gag+wowVrGEPFXCDx/Vufmc0A6o=</DigestValue>
      </Reference>
      <Reference URI="/xl/drawings/drawing5.xml?ContentType=application/vnd.openxmlformats-officedocument.drawing+xml">
        <DigestMethod Algorithm="http://www.w3.org/2000/09/xmldsig#sha1"/>
        <DigestValue>QGal8oerLuTzaVjqb1vVzeLFhcg=</DigestValue>
      </Reference>
      <Reference URI="/xl/drawings/drawing6.xml?ContentType=application/vnd.openxmlformats-officedocument.drawing+xml">
        <DigestMethod Algorithm="http://www.w3.org/2000/09/xmldsig#sha1"/>
        <DigestValue>2jmnlemjE7VE5NOJhtZiLvkJR70=</DigestValue>
      </Reference>
      <Reference URI="/xl/drawings/drawing7.xml?ContentType=application/vnd.openxmlformats-officedocument.drawing+xml">
        <DigestMethod Algorithm="http://www.w3.org/2000/09/xmldsig#sha1"/>
        <DigestValue>W/2dGlSYPO4MKiNE17ClUi7W+N0=</DigestValue>
      </Reference>
      <Reference URI="/xl/drawings/drawing8.xml?ContentType=application/vnd.openxmlformats-officedocument.drawing+xml">
        <DigestMethod Algorithm="http://www.w3.org/2000/09/xmldsig#sha1"/>
        <DigestValue>/bFHejiG6js2ptxlxUrhdYG8ols=</DigestValue>
      </Reference>
      <Reference URI="/xl/drawings/drawing9.xml?ContentType=application/vnd.openxmlformats-officedocument.drawing+xml">
        <DigestMethod Algorithm="http://www.w3.org/2000/09/xmldsig#sha1"/>
        <DigestValue>jVg4ztexEoi0DNaTJynv9hVYmQ4=</DigestValue>
      </Reference>
      <Reference URI="/xl/drawings/vmlDrawing1.vml?ContentType=application/vnd.openxmlformats-officedocument.vmlDrawing">
        <DigestMethod Algorithm="http://www.w3.org/2000/09/xmldsig#sha1"/>
        <DigestValue>ZAc4RRlpiZPIabqEYreurJL8Bec=</DigestValue>
      </Reference>
      <Reference URI="/xl/media/image1.png?ContentType=image/png">
        <DigestMethod Algorithm="http://www.w3.org/2000/09/xmldsig#sha1"/>
        <DigestValue>1s1x+2L3Ec0u7idAkQxrMJotkpY=</DigestValue>
      </Reference>
      <Reference URI="/xl/media/image2.png?ContentType=image/png">
        <DigestMethod Algorithm="http://www.w3.org/2000/09/xmldsig#sha1"/>
        <DigestValue>JY3/2MbX3vtsvPZVrfbNYhHN8NE=</DigestValue>
      </Reference>
      <Reference URI="/xl/media/image3.emf?ContentType=image/x-emf">
        <DigestMethod Algorithm="http://www.w3.org/2000/09/xmldsig#sha1"/>
        <DigestValue>uJYdWkbyWSwQ7HKiAB804EAEkDY=</DigestValue>
      </Reference>
      <Reference URI="/xl/media/image4.emf?ContentType=image/x-emf">
        <DigestMethod Algorithm="http://www.w3.org/2000/09/xmldsig#sha1"/>
        <DigestValue>EjGVI43f9fp4iBXHKL2JnJ8qIIc=</DigestValue>
      </Reference>
      <Reference URI="/xl/media/image5.emf?ContentType=image/x-emf">
        <DigestMethod Algorithm="http://www.w3.org/2000/09/xmldsig#sha1"/>
        <DigestValue>bAbNjZQXAYpTrblTmeWGRRHa2Qo=</DigestValue>
      </Reference>
      <Reference URI="/xl/media/image6.emf?ContentType=image/x-emf">
        <DigestMethod Algorithm="http://www.w3.org/2000/09/xmldsig#sha1"/>
        <DigestValue>VWsidipgOBKj7lmgm7w+ewXs2HY=</DigestValue>
      </Reference>
      <Reference URI="/xl/media/image7.emf?ContentType=image/x-emf">
        <DigestMethod Algorithm="http://www.w3.org/2000/09/xmldsig#sha1"/>
        <DigestValue>AWOg8RyojY9ZAsRPMCG44cNQ8F8=</DigestValue>
      </Reference>
      <Reference URI="/xl/printerSettings/printerSettings1.bin?ContentType=application/vnd.openxmlformats-officedocument.spreadsheetml.printerSettings">
        <DigestMethod Algorithm="http://www.w3.org/2000/09/xmldsig#sha1"/>
        <DigestValue>pctJq8vWmj9olQeIcBNtrETsI4o=</DigestValue>
      </Reference>
      <Reference URI="/xl/printerSettings/printerSettings10.bin?ContentType=application/vnd.openxmlformats-officedocument.spreadsheetml.printerSettings">
        <DigestMethod Algorithm="http://www.w3.org/2000/09/xmldsig#sha1"/>
        <DigestValue>Nj4rEyDjDlWpaBuI/3gymi2Bm2w=</DigestValue>
      </Reference>
      <Reference URI="/xl/printerSettings/printerSettings11.bin?ContentType=application/vnd.openxmlformats-officedocument.spreadsheetml.printerSettings">
        <DigestMethod Algorithm="http://www.w3.org/2000/09/xmldsig#sha1"/>
        <DigestValue>Nj4rEyDjDlWpaBuI/3gymi2Bm2w=</DigestValue>
      </Reference>
      <Reference URI="/xl/printerSettings/printerSettings12.bin?ContentType=application/vnd.openxmlformats-officedocument.spreadsheetml.printerSettings">
        <DigestMethod Algorithm="http://www.w3.org/2000/09/xmldsig#sha1"/>
        <DigestValue>Nj4rEyDjDlWpaBuI/3gymi2Bm2w=</DigestValue>
      </Reference>
      <Reference URI="/xl/printerSettings/printerSettings13.bin?ContentType=application/vnd.openxmlformats-officedocument.spreadsheetml.printerSettings">
        <DigestMethod Algorithm="http://www.w3.org/2000/09/xmldsig#sha1"/>
        <DigestValue>uQefL+DycdQpbVCyhp66K4qfaQw=</DigestValue>
      </Reference>
      <Reference URI="/xl/printerSettings/printerSettings14.bin?ContentType=application/vnd.openxmlformats-officedocument.spreadsheetml.printerSettings">
        <DigestMethod Algorithm="http://www.w3.org/2000/09/xmldsig#sha1"/>
        <DigestValue>qK9Yh5DjwExX1Fp7mQFZa7rN4R0=</DigestValue>
      </Reference>
      <Reference URI="/xl/printerSettings/printerSettings15.bin?ContentType=application/vnd.openxmlformats-officedocument.spreadsheetml.printerSettings">
        <DigestMethod Algorithm="http://www.w3.org/2000/09/xmldsig#sha1"/>
        <DigestValue>J/SEctLjU43YIXVoQj0M0+9Lwr4=</DigestValue>
      </Reference>
      <Reference URI="/xl/printerSettings/printerSettings16.bin?ContentType=application/vnd.openxmlformats-officedocument.spreadsheetml.printerSettings">
        <DigestMethod Algorithm="http://www.w3.org/2000/09/xmldsig#sha1"/>
        <DigestValue>R5zahRrDY45qc1cuJ2UXZLO+2Lw=</DigestValue>
      </Reference>
      <Reference URI="/xl/printerSettings/printerSettings17.bin?ContentType=application/vnd.openxmlformats-officedocument.spreadsheetml.printerSettings">
        <DigestMethod Algorithm="http://www.w3.org/2000/09/xmldsig#sha1"/>
        <DigestValue>J/SEctLjU43YIXVoQj0M0+9Lwr4=</DigestValue>
      </Reference>
      <Reference URI="/xl/printerSettings/printerSettings18.bin?ContentType=application/vnd.openxmlformats-officedocument.spreadsheetml.printerSettings">
        <DigestMethod Algorithm="http://www.w3.org/2000/09/xmldsig#sha1"/>
        <DigestValue>pctJq8vWmj9olQeIcBNtrETsI4o=</DigestValue>
      </Reference>
      <Reference URI="/xl/printerSettings/printerSettings19.bin?ContentType=application/vnd.openxmlformats-officedocument.spreadsheetml.printerSettings">
        <DigestMethod Algorithm="http://www.w3.org/2000/09/xmldsig#sha1"/>
        <DigestValue>Nj4rEyDjDlWpaBuI/3gymi2Bm2w=</DigestValue>
      </Reference>
      <Reference URI="/xl/printerSettings/printerSettings2.bin?ContentType=application/vnd.openxmlformats-officedocument.spreadsheetml.printerSettings">
        <DigestMethod Algorithm="http://www.w3.org/2000/09/xmldsig#sha1"/>
        <DigestValue>uQefL+DycdQpbVCyhp66K4qfaQw=</DigestValue>
      </Reference>
      <Reference URI="/xl/printerSettings/printerSettings20.bin?ContentType=application/vnd.openxmlformats-officedocument.spreadsheetml.printerSettings">
        <DigestMethod Algorithm="http://www.w3.org/2000/09/xmldsig#sha1"/>
        <DigestValue>Nj4rEyDjDlWpaBuI/3gymi2Bm2w=</DigestValue>
      </Reference>
      <Reference URI="/xl/printerSettings/printerSettings21.bin?ContentType=application/vnd.openxmlformats-officedocument.spreadsheetml.printerSettings">
        <DigestMethod Algorithm="http://www.w3.org/2000/09/xmldsig#sha1"/>
        <DigestValue>Nj4rEyDjDlWpaBuI/3gymi2Bm2w=</DigestValue>
      </Reference>
      <Reference URI="/xl/printerSettings/printerSettings22.bin?ContentType=application/vnd.openxmlformats-officedocument.spreadsheetml.printerSettings">
        <DigestMethod Algorithm="http://www.w3.org/2000/09/xmldsig#sha1"/>
        <DigestValue>0P/Jyn9una3Totj2GGhIfZD0+vo=</DigestValue>
      </Reference>
      <Reference URI="/xl/printerSettings/printerSettings23.bin?ContentType=application/vnd.openxmlformats-officedocument.spreadsheetml.printerSettings">
        <DigestMethod Algorithm="http://www.w3.org/2000/09/xmldsig#sha1"/>
        <DigestValue>04WOmhh5ZzSEi6RCb1uTGtnE+xU=</DigestValue>
      </Reference>
      <Reference URI="/xl/printerSettings/printerSettings24.bin?ContentType=application/vnd.openxmlformats-officedocument.spreadsheetml.printerSettings">
        <DigestMethod Algorithm="http://www.w3.org/2000/09/xmldsig#sha1"/>
        <DigestValue>+4JzGjuIIh2/9H4vqOB2oKXwTAc=</DigestValue>
      </Reference>
      <Reference URI="/xl/printerSettings/printerSettings25.bin?ContentType=application/vnd.openxmlformats-officedocument.spreadsheetml.printerSettings">
        <DigestMethod Algorithm="http://www.w3.org/2000/09/xmldsig#sha1"/>
        <DigestValue>R5zahRrDY45qc1cuJ2UXZLO+2Lw=</DigestValue>
      </Reference>
      <Reference URI="/xl/printerSettings/printerSettings26.bin?ContentType=application/vnd.openxmlformats-officedocument.spreadsheetml.printerSettings">
        <DigestMethod Algorithm="http://www.w3.org/2000/09/xmldsig#sha1"/>
        <DigestValue>R5zahRrDY45qc1cuJ2UXZLO+2Lw=</DigestValue>
      </Reference>
      <Reference URI="/xl/printerSettings/printerSettings27.bin?ContentType=application/vnd.openxmlformats-officedocument.spreadsheetml.printerSettings">
        <DigestMethod Algorithm="http://www.w3.org/2000/09/xmldsig#sha1"/>
        <DigestValue>NDmAtGPKKyKSOw1pisxK68QL93E=</DigestValue>
      </Reference>
      <Reference URI="/xl/printerSettings/printerSettings28.bin?ContentType=application/vnd.openxmlformats-officedocument.spreadsheetml.printerSettings">
        <DigestMethod Algorithm="http://www.w3.org/2000/09/xmldsig#sha1"/>
        <DigestValue>+4JzGjuIIh2/9H4vqOB2oKXwTAc=</DigestValue>
      </Reference>
      <Reference URI="/xl/printerSettings/printerSettings29.bin?ContentType=application/vnd.openxmlformats-officedocument.spreadsheetml.printerSettings">
        <DigestMethod Algorithm="http://www.w3.org/2000/09/xmldsig#sha1"/>
        <DigestValue>pctJq8vWmj9olQeIcBNtrETsI4o=</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30.bin?ContentType=application/vnd.openxmlformats-officedocument.spreadsheetml.printerSettings">
        <DigestMethod Algorithm="http://www.w3.org/2000/09/xmldsig#sha1"/>
        <DigestValue>Qdbcey6flBge2XLbim19n+osb+E=</DigestValue>
      </Reference>
      <Reference URI="/xl/printerSettings/printerSettings31.bin?ContentType=application/vnd.openxmlformats-officedocument.spreadsheetml.printerSettings">
        <DigestMethod Algorithm="http://www.w3.org/2000/09/xmldsig#sha1"/>
        <DigestValue>Qdbcey6flBge2XLbim19n+osb+E=</DigestValue>
      </Reference>
      <Reference URI="/xl/printerSettings/printerSettings32.bin?ContentType=application/vnd.openxmlformats-officedocument.spreadsheetml.printerSettings">
        <DigestMethod Algorithm="http://www.w3.org/2000/09/xmldsig#sha1"/>
        <DigestValue>Qdbcey6flBge2XLbim19n+osb+E=</DigestValue>
      </Reference>
      <Reference URI="/xl/printerSettings/printerSettings33.bin?ContentType=application/vnd.openxmlformats-officedocument.spreadsheetml.printerSettings">
        <DigestMethod Algorithm="http://www.w3.org/2000/09/xmldsig#sha1"/>
        <DigestValue>Qdbcey6flBge2XLbim19n+osb+E=</DigestValue>
      </Reference>
      <Reference URI="/xl/printerSettings/printerSettings34.bin?ContentType=application/vnd.openxmlformats-officedocument.spreadsheetml.printerSettings">
        <DigestMethod Algorithm="http://www.w3.org/2000/09/xmldsig#sha1"/>
        <DigestValue>uQefL+DycdQpbVCyhp66K4qfaQw=</DigestValue>
      </Reference>
      <Reference URI="/xl/printerSettings/printerSettings35.bin?ContentType=application/vnd.openxmlformats-officedocument.spreadsheetml.printerSettings">
        <DigestMethod Algorithm="http://www.w3.org/2000/09/xmldsig#sha1"/>
        <DigestValue>cksaN+n9TE+aHcnI5TFVF8EOB/o=</DigestValue>
      </Reference>
      <Reference URI="/xl/printerSettings/printerSettings36.bin?ContentType=application/vnd.openxmlformats-officedocument.spreadsheetml.printerSettings">
        <DigestMethod Algorithm="http://www.w3.org/2000/09/xmldsig#sha1"/>
        <DigestValue>pctJq8vWmj9olQeIcBNtrETsI4o=</DigestValue>
      </Reference>
      <Reference URI="/xl/printerSettings/printerSettings4.bin?ContentType=application/vnd.openxmlformats-officedocument.spreadsheetml.printerSettings">
        <DigestMethod Algorithm="http://www.w3.org/2000/09/xmldsig#sha1"/>
        <DigestValue>R5zahRrDY45qc1cuJ2UXZLO+2Lw=</DigestValue>
      </Reference>
      <Reference URI="/xl/printerSettings/printerSettings5.bin?ContentType=application/vnd.openxmlformats-officedocument.spreadsheetml.printerSettings">
        <DigestMethod Algorithm="http://www.w3.org/2000/09/xmldsig#sha1"/>
        <DigestValue>R5zahRrDY45qc1cuJ2UXZLO+2Lw=</DigestValue>
      </Reference>
      <Reference URI="/xl/printerSettings/printerSettings6.bin?ContentType=application/vnd.openxmlformats-officedocument.spreadsheetml.printerSettings">
        <DigestMethod Algorithm="http://www.w3.org/2000/09/xmldsig#sha1"/>
        <DigestValue>R5zahRrDY45qc1cuJ2UXZLO+2Lw=</DigestValue>
      </Reference>
      <Reference URI="/xl/printerSettings/printerSettings7.bin?ContentType=application/vnd.openxmlformats-officedocument.spreadsheetml.printerSettings">
        <DigestMethod Algorithm="http://www.w3.org/2000/09/xmldsig#sha1"/>
        <DigestValue>pctJq8vWmj9olQeIcBNtrETsI4o=</DigestValue>
      </Reference>
      <Reference URI="/xl/printerSettings/printerSettings8.bin?ContentType=application/vnd.openxmlformats-officedocument.spreadsheetml.printerSettings">
        <DigestMethod Algorithm="http://www.w3.org/2000/09/xmldsig#sha1"/>
        <DigestValue>pctJq8vWmj9olQeIcBNtrETsI4o=</DigestValue>
      </Reference>
      <Reference URI="/xl/printerSettings/printerSettings9.bin?ContentType=application/vnd.openxmlformats-officedocument.spreadsheetml.printerSettings">
        <DigestMethod Algorithm="http://www.w3.org/2000/09/xmldsig#sha1"/>
        <DigestValue>0P/Jyn9una3Totj2GGhIfZD0+vo=</DigestValue>
      </Reference>
      <Reference URI="/xl/sharedStrings.xml?ContentType=application/vnd.openxmlformats-officedocument.spreadsheetml.sharedStrings+xml">
        <DigestMethod Algorithm="http://www.w3.org/2000/09/xmldsig#sha1"/>
        <DigestValue>1eEV1YF7s+NWxVyAQblCqFiBve4=</DigestValue>
      </Reference>
      <Reference URI="/xl/styles.xml?ContentType=application/vnd.openxmlformats-officedocument.spreadsheetml.styles+xml">
        <DigestMethod Algorithm="http://www.w3.org/2000/09/xmldsig#sha1"/>
        <DigestValue>Wr6jFFA6TL8SoTrYxcLBlLFB0CQ=</DigestValue>
      </Reference>
      <Reference URI="/xl/theme/theme1.xml?ContentType=application/vnd.openxmlformats-officedocument.theme+xml">
        <DigestMethod Algorithm="http://www.w3.org/2000/09/xmldsig#sha1"/>
        <DigestValue>xe17EtE9S3ouh8plhodOdqI2YuU=</DigestValue>
      </Reference>
      <Reference URI="/xl/workbook.xml?ContentType=application/vnd.openxmlformats-officedocument.spreadsheetml.sheet.main+xml">
        <DigestMethod Algorithm="http://www.w3.org/2000/09/xmldsig#sha1"/>
        <DigestValue>2wMzvYupLMNEvHdFAyYrpPvAAHk=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1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7PzJk+AS4uhbGbB7ohQxJTH5Lgs=</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2JmNphk+eVZaeWaXZhsQQQtR/m4=</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vg/PcDQkKC86tMqQeV9o4wUsvx8=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n/Ke3iQXOGmJGEpPFiNoOqV2XxE=</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reKpvsMjLP9mVkjTqTfzPhoHTbg=</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Transform>
          <Transform Algorithm="http://www.w3.org/TR/2001/REC-xml-c14n-20010315"/>
        </Transforms>
        <DigestMethod Algorithm="http://www.w3.org/2000/09/xmldsig#sha1"/>
        <DigestValue>2BY6CuOI+rXe9byE8izWYF4gN3A=</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iZ+wMbv7oWdE07dF8eCec4IqdaQ=</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po2CIS5qW4fotviygr+Ax/VQvY0=</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Z5KW924qUNur1p9KbjO5AGMJsPU=</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RUGy+UlP/1Pc6/Q0lHT1VTrtREg=</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TfGPdLqGyo15nzryYqbVUVD8HNY=</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1W/KTLxTJP7suDePsLxWFsbYVSI=</DigestValue>
      </Reference>
      <Reference URI="/xl/worksheets/sheet1.xml?ContentType=application/vnd.openxmlformats-officedocument.spreadsheetml.worksheet+xml">
        <DigestMethod Algorithm="http://www.w3.org/2000/09/xmldsig#sha1"/>
        <DigestValue>28GGHfsYOZ+fhrlCPBJ2StIEH70=</DigestValue>
      </Reference>
      <Reference URI="/xl/worksheets/sheet10.xml?ContentType=application/vnd.openxmlformats-officedocument.spreadsheetml.worksheet+xml">
        <DigestMethod Algorithm="http://www.w3.org/2000/09/xmldsig#sha1"/>
        <DigestValue>YZscJMuvKnZXhManHdQ3bGTdCzs=</DigestValue>
      </Reference>
      <Reference URI="/xl/worksheets/sheet11.xml?ContentType=application/vnd.openxmlformats-officedocument.spreadsheetml.worksheet+xml">
        <DigestMethod Algorithm="http://www.w3.org/2000/09/xmldsig#sha1"/>
        <DigestValue>o5vNTjXEIDzpg49oRqAFaaPdlxI=</DigestValue>
      </Reference>
      <Reference URI="/xl/worksheets/sheet12.xml?ContentType=application/vnd.openxmlformats-officedocument.spreadsheetml.worksheet+xml">
        <DigestMethod Algorithm="http://www.w3.org/2000/09/xmldsig#sha1"/>
        <DigestValue>wczVIC3FMfEeDJI/3dvCbOO5aSA=</DigestValue>
      </Reference>
      <Reference URI="/xl/worksheets/sheet13.xml?ContentType=application/vnd.openxmlformats-officedocument.spreadsheetml.worksheet+xml">
        <DigestMethod Algorithm="http://www.w3.org/2000/09/xmldsig#sha1"/>
        <DigestValue>4tY3ahdmw+ogs7GyeHeLiOO5vWM=</DigestValue>
      </Reference>
      <Reference URI="/xl/worksheets/sheet14.xml?ContentType=application/vnd.openxmlformats-officedocument.spreadsheetml.worksheet+xml">
        <DigestMethod Algorithm="http://www.w3.org/2000/09/xmldsig#sha1"/>
        <DigestValue>NdNVapsocQ1WQ77+RiiibZtuPpE=</DigestValue>
      </Reference>
      <Reference URI="/xl/worksheets/sheet2.xml?ContentType=application/vnd.openxmlformats-officedocument.spreadsheetml.worksheet+xml">
        <DigestMethod Algorithm="http://www.w3.org/2000/09/xmldsig#sha1"/>
        <DigestValue>zov1byepbJOP9i33vAzlZt2tMis=</DigestValue>
      </Reference>
      <Reference URI="/xl/worksheets/sheet3.xml?ContentType=application/vnd.openxmlformats-officedocument.spreadsheetml.worksheet+xml">
        <DigestMethod Algorithm="http://www.w3.org/2000/09/xmldsig#sha1"/>
        <DigestValue>/B/JspxnhG3Jx6nEVPTZozXUuzw=</DigestValue>
      </Reference>
      <Reference URI="/xl/worksheets/sheet4.xml?ContentType=application/vnd.openxmlformats-officedocument.spreadsheetml.worksheet+xml">
        <DigestMethod Algorithm="http://www.w3.org/2000/09/xmldsig#sha1"/>
        <DigestValue>o65S3hqWvkfvXOkKnxZksdRpo4k=</DigestValue>
      </Reference>
      <Reference URI="/xl/worksheets/sheet5.xml?ContentType=application/vnd.openxmlformats-officedocument.spreadsheetml.worksheet+xml">
        <DigestMethod Algorithm="http://www.w3.org/2000/09/xmldsig#sha1"/>
        <DigestValue>YvHWIlNEGGasOTGhkxTi14h3a5o=</DigestValue>
      </Reference>
      <Reference URI="/xl/worksheets/sheet6.xml?ContentType=application/vnd.openxmlformats-officedocument.spreadsheetml.worksheet+xml">
        <DigestMethod Algorithm="http://www.w3.org/2000/09/xmldsig#sha1"/>
        <DigestValue>1RxI40aH+pA3GJl48vgYY4rnZAs=</DigestValue>
      </Reference>
      <Reference URI="/xl/worksheets/sheet7.xml?ContentType=application/vnd.openxmlformats-officedocument.spreadsheetml.worksheet+xml">
        <DigestMethod Algorithm="http://www.w3.org/2000/09/xmldsig#sha1"/>
        <DigestValue>veSsHnWt556b9udStlLDJIEc0Vo=</DigestValue>
      </Reference>
      <Reference URI="/xl/worksheets/sheet8.xml?ContentType=application/vnd.openxmlformats-officedocument.spreadsheetml.worksheet+xml">
        <DigestMethod Algorithm="http://www.w3.org/2000/09/xmldsig#sha1"/>
        <DigestValue>lYAv/YJ9obCwZfaUrUicjo5AVJA=</DigestValue>
      </Reference>
      <Reference URI="/xl/worksheets/sheet9.xml?ContentType=application/vnd.openxmlformats-officedocument.spreadsheetml.worksheet+xml">
        <DigestMethod Algorithm="http://www.w3.org/2000/09/xmldsig#sha1"/>
        <DigestValue>Ecg/OdHoPxZ/1bvvFYAzJ6dxH0s=</DigestValue>
      </Reference>
    </Manifest>
    <SignatureProperties>
      <SignatureProperty Id="idSignatureTime" Target="#idPackageSignature">
        <mdssi:SignatureTime>
          <mdssi:Format>YYYY-MM-DDThh:mm:ssTZD</mdssi:Format>
          <mdssi:Value>2022-04-01T13:22:36Z</mdssi:Value>
        </mdssi:SignatureTime>
      </SignatureProperty>
    </SignatureProperties>
  </Object>
  <Object Id="idOfficeObject">
    <SignatureProperties>
      <SignatureProperty Id="idOfficeV1Details" Target="#idPackageSignature">
        <SignatureInfoV1 xmlns="http://schemas.microsoft.com/office/2006/digsig">
          <SetupID>{54349756-089F-4793-BEBA-53952DB26231}</SetupID>
          <SignatureText>Guillermo Cespedes</SignatureText>
          <SignatureImage/>
          <SignatureComments/>
          <WindowsVersion>6.2</WindowsVersion>
          <OfficeVersion>12.0</OfficeVersion>
          <ApplicationVersion>12.0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Id="idValidSigLnImg">AQAAAGwAAAAAAAAAAAAAAP8AAAB/AAAAAAAAAAAAAADYGAAAaQwAACBFTUYAAAEAkBUAAIYAAAAHAAAAAAAAAAAAAAAAAAAAgAcAADgEAADdAQAADAEAAAAAAAAAAAAAAAAAAEhHBwDgF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yQAAAAQAAAD2AAAAEAAAAMkAAAAEAAAALgAAAA0AAAAhAPAAAAAAAAAAAAAAAIA/AAAAAAAAAAAAAIA/AAAAAAAAAAAAAAAAAAAAAAAAAAAAAAAAAAAAAAAAAAAlAAAADAAAAAAAAIAoAAAADAAAAAMAAABSAAAAcAEAAAMAAAD1////AAAAAAAAAAAAAAAAkAEAAAAAAAEAAAAAdABhAGgAbwBtAGEAAAAAAAAAAAAAAAAAAAAAAAAAAAAAAAAAAAAAAAAAAAAAAAAAAAAAAAAAAAAAAAAAAAAAAAAAAADQJJ0EzNhaAAYAAACFFtj//////9wKAAACAAAAAAAAAAEAAAABAAAI/////9wKAAAB2AEAAA2aBAAAAACFFtj//////9wKAADvAAAA/wMAAAAAAAAADZoEAAAAAIUW2P841FoAgPqPAg4CEgAOAhIAAwEAANTUWgBjWEx3AABaALBVTHeHWEx3CAAAAAgAAAAAAAAADgISAH0AAAGA+o8CEISUAwAAAAAAAAAAAAAAAAAAAAAAAAAAAAAAAAAAAAAAAAAAAAAAAAEAAAAAAAAA////5wA4aQMQOGkDAAAAADjVWgAQOGkDAAAAAP////+ZDgAAAAAAAEjXWgBkdgAIAAAAACUAAAAMAAAAAwAAABgAAAAMAAAAAAAAAhIAAAAMAAAAAQAAAB4AAAAYAAAAyQAAAAQAAAD3AAAAEQAAAFQAAAB8AAAAygAAAAQAAAD1AAAAEAAAAAEAAAAAwMZBvoTGQcoAAAAEAAAACAAAAEwAAAAAAAAAAAAAAAAAAAD//////////1wAAAAxAC8ANAAvADIAMAAyADIABgAAAAQ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JcJ1G9iYgEAAAAAAAAA6K6fCQAguAsAAAQAAAAEAAAAAAAAAAAAUwBpAGcAbgBhAHQAdQByAGUATABpAG4AZQAAACYhW2KGIFtikCJACeSSoGL4R0pjALmWCAAABAD8ZVoALEteYhAZnQSxfltiSUteYnDyXXuQZloAAQAEAAAABAAAzJIJwCMAAAAABAD4ZVoAPv9nYgAwQAkAuZYIkGZaAJBmWgABAAQAAAAEAGBmWgAAAAAA/////yRmWgAAAFoAsX5bYicCaGLs8V17kGZaABAZnQRAm5kKAAAAADAAAAB0ZloAAAAAAHtVWmIAAAAAgAQsAwAAAAAAI0AJZHYACAAAAAAlAAAADAAAAAQAAAAYAAAADAAAAAAAAAISAAAADAAAAAEAAAAWAAAADAAAAAgAAABUAAAAVAAAAAoAAAA3AAAAHgAAAFoAAAABAAAAAMDGQb6ExkEKAAAAWwAAAAEAAABMAAAABAAAAAkAAAA3AAAAIAAAAFsAAABQAAAAWAAtVh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EUAAAC2AAAAVwAAACkAAABFAAAAjgAAABMAAAAhAPAAAAAAAAAAAAAAAIA/AAAAAAAAAAAAAIA/AAAAAAAAAAAAAAAAAAAAAAAAAAAAAAAAAAAAAAAAAAAlAAAADAAAAAAAAIAoAAAADAAAAAUAAABSAAAAcAEAAAUAAADw////AAAAAAAAAAAAAAAAkAEAAAAAAAEAAAAAdABhAGgAbwBtAGEAAAAAAAAAAAAAAAAAAAAAAAAAAAAAAAAAAAAAAAAAAAAAAAAAAAAAAAAAAAAAAAAAAAAAAAAAWmIAOGkDBQAAAIy3WgAKPAAAAQAAAAAAAACx4VtiADhpA4y3WgABAAAAhRYB2AEAAAD8t1oAjLdaAAS4WgCQtloAgl9aYli8QmMEuFoA1LdaALfLW2JYvEJjMzNrMgCAAAABAAAAxstbYgDY1QRBoVpiUCFdewC4WgA6AgAAAAAB2Li7QmO4u0JjtLZaAFy8WgCwXD9jAAAAAEGhWmIGoVpiANjVBP/////bq1xiANjVBAAAAAAAuFoAhRYB2AAArAjYl6wIVgsKgSYAAAA6AgAAJLdaAAgY/HYgrQR3CoEKAAwsnHaqV6J0VgsKgfD///9WCwqBJGeLAwC4WgBkdgAIAAAAACUAAAAMAAAABQAAABgAAAAMAAAAAAAAAhIAAAAMAAAAAQAAAB4AAAAYAAAAKQAAAEUAAAC3AAAAWAAAAFQAAAC4AAAAKgAAAEUAAAC1AAAAVwAAAAEAAAAAwMZBvoTGQSoAAABFAAAAEgAAAEwAAAAAAAAAAAAAAAAAAAD//////////3AAAABHAHUAaQBsAGwAZQByAG0AbwAgAEMAZQBzAHAAZQBkAGUAcwALAAAACQAAAAQAAAAEAAAABAAAAAgAAAAGAAAADgAAAAkAAAAFAAAACgAAAAgAAAAHAAAACQAAAAgAAAAJAAAACAAAAAcAAABLAAAAEAAAAAAAAAAFAAAAJQAAAAwAAAANAACAJwAAABgAAAAGAAAAAAAAAP///wIAAAAAJQAAAAwAAAAGAAAATAAAAGQAAAAAAAAAYAAAAP8AAAB8AAAAAAAAAGAAAAAAAQAAHQAAACEA8AAAAAAAAAAAAAAAgD8AAAAAAAAAAAAAgD8AAAAAAAAAAAAAAAAAAAAAAAAAAAAAAAAAAAAAAAAAACUAAAAMAAAAAAAAgCgAAAAMAAAABgAAACcAAAAYAAAABgAAAAAAAAD///8CAAAAACUAAAAMAAAABgAAAEwAAABkAAAACQAAAGAAAAD2AAAAbAAAAAkAAABgAAAA7gAAAA0AAAAhAPAAAAAAAAAAAAAAAIA/AAAAAAAAAAAAAIA/AAAAAAAAAAAAAAAAAAAAAAAAAAAAAAAAAAAAAAAAAAAlAAAADAAAAAAAAIAoAAAADAAAAAYAAAAlAAAADAAAAAMAAAAYAAAADAAAAAAAAAISAAAADAAAAAEAAAAeAAAAGAAAAAkAAABgAAAA9wAAAG0AAABUAAAAuAAAAAoAAABgAAAAZgAAAGwAAAABAAAAAMDGQb6ExkEKAAAAYAAAABIAAABMAAAAAAAAAAAAAAAAAAAA//////////9wAAAARwB1AGkAbABsAGUAcgBtAG8AIABDAOkAcwBwAGUAZABlAHMABwAAAAYAAAACAAAAAgAAAAIAAAAGAAAABAAAAAgAAAAGAAAAAwAAAAcAAAAGAAAABQAAAAYAAAAGAAAABgAAAAYAAAAFAAAASwAAABAAAAAAAAAABQAAACUAAAAMAAAADQAAgCcAAAAYAAAABgAAAAAAAAD///8CAAAAACUAAAAMAAAABgAAAEwAAABkAAAACQAAAHAAAAD2AAAAfAAAAAkAAABwAAAA7gAAAA0AAAAhAPAAAAAAAAAAAAAAAIA/AAAAAAAAAAAAAIA/AAAAAAAAAAAAAAAAAAAAAAAAAAAAAAAAAAAAAAAAAAAlAAAADAAAAAAAAIAoAAAADAAAAAYAAAAlAAAADAAAAAMAAAAYAAAADAAAAAAAAAISAAAADAAAAAEAAAAeAAAAGAAAAAkAAABwAAAA9wAAAH0AAABUAAAAeAAAAAoAAABwAAAAKgAAAHwAAAABAAAAAMDGQb6ExkEKAAAAcAAAAAcAAABMAAAAAAAAAAAAAAAAAAAA//////////9cAAAAUwBpAG4AZABpAGMAbwAAAAYAAAACAAAABgAAAAYAAAACAAAABQAAAAYAAABLAAAAEAAAAAAAAAAFAAAAJQAAAAwAAAANAACACgAAABAAAAAAAAAAAAAAAA4AAAAUAAAAAAAAABAAAAAUAAAA</Object>
  <Object Id="idInvalidSigLnImg">AQAAAGwAAAAAAAAAAAAAAP8AAAB/AAAAAAAAAAAAAADYGAAAaQwAACBFTUYAAAEAOBkAAIwAAAAHAAAAAAAAAAAAAAAAAAAAgAcAADgEAADdAQAADAEAAAAAAAAAAAAAAAAAAEhHBwDgF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SYA////pcvc2fH4YsnqLbrpW8jo6+/v//Tw/+/g/+vg/+jdw9HTaYib5urtIAD///+YvMT5/f3Z8Pi85/bU8vn6/Pr//fr/8On/7eD/5duzvL9khJXn6+5kAP///63a54SmraHH0JnD0Haarb3l88jy/4KdqrHS33CElJK2xG2Moebp7WUAcJiwdJqykKjAgqGygqGykKjAZoykYIigiaK5bYudkKjAa4ibUHCA5erscgAnAAAAGAAAAAMAAAAAAAAA////AgAAAAAlAAAADAAAAAMAAABMAAAAZAAAACIAAAAEAAAAawAAABAAAAAiAAAABAAAAEoAAAANAAAAIQDwAAAAAAAAAAAAAACAPwAAAAAAAAAAAACAPwAAAAAAAAAAAAAAAAAAAAAAAAAAAAAAAAAAAAAAAAAAJQAAAAwAAAAAAACAKAAAAAwAAAADAAAAUgAAAHABAAADAAAA9f///wAAAAAAAAAAAAAAAJABAAAAAAABAAAAAHQAYQBoAG8AbQBhAAAAAAAAAAAAAAAAAAAAAAAAAAAAAAAAAAAAAAAAAAAAAAAAAAAAAAAAAAAAAAAAAAAAAAAAAAAA0CSdBMzYWgAGAAAAhRbY///////cCgAAAgAAAAAAAAABAAAAAQAACP/////cCgAAAdgBAAANmgQAAAAAhRbY///////cCgAA7wAAAP8DAAAAAAAAAA2aBAAAAACFFtj/ONRaAID6jwIOAhIADgISAAMBAADU1FoAY1hMdwAAWgCwVUx3h1hMdwgAAAAIAAAAAAAAAA4CEgB9AAABgPqPAhCElAMAAAAAAAAAAAAAAAAAAAAAAAAAAAAAAAAAAAAAAAAAAAAAAAABAAAAAAAAAP///+cAOGkDEDhpAwAAAAA41VoAEDhpAwAAAAD/////mQ4AAAAAAABI11oAZHYACAAAAAAlAAAADAAAAAMAAAAYAAAADAAAAP8AAAISAAAADAAAAAEAAAAeAAAAGAAAACIAAAAEAAAAbAAAABEAAABUAAAAqAAAACMAAAAEAAAAagAAABAAAAABAAAAAMDGQb6ExkEjAAAABAAAAA8AAABMAAAAAAAAAAAAAAAAAAAA//////////9sAAAARgBpAHIAbQBhACAAbgBvACAAdgDhAGwAaQBkAGEAAAAGAAAAAgAAAAQAAAAIAAAABgAAAAMAAAAGAAAABgAAAAMAAAAGAAAABgAAAAIAAAAC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JcJ1G9iYgEAAAAAAAAA6K6fCQAguAsAAAQAAAAEAAAAAAAAAAAAUwBpAGcAbgBhAHQAdQByAGUATABpAG4AZQAAACYhW2KGIFtikCJACeSSoGL4R0pjALmWCAAABAD8ZVoALEteYhAZnQSxfltiSUteYnDyXXuQZloAAQAEAAAABAAAzJIJwCMAAAAABAD4ZVoAPv9nYgAwQAkAuZYIkGZaAJBmWgABAAQAAAAEAGBmWgAAAAAA/////yRmWgAAAFoAsX5bYicCaGLs8V17kGZaABAZnQRAm5kKAAAAADAAAAB0ZloAAAAAAHtVWmIAAAAAgAQsAwAAAAAAI0AJZHYACAAAAAAlAAAADAAAAAQAAAAYAAAADAAAAAAAAAISAAAADAAAAAEAAAAWAAAADAAAAAgAAABUAAAAVAAAAAoAAAA3AAAAHgAAAFoAAAABAAAAAMDGQb6ExkE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EUAAAC2AAAAVwAAACkAAABFAAAAjgAAABMAAAAhAPAAAAAAAAAAAAAAAIA/AAAAAAAAAAAAAIA/AAAAAAAAAAAAAAAAAAAAAAAAAAAAAAAAAAAAAAAAAAAlAAAADAAAAAAAAIAoAAAADAAAAAUAAABSAAAAcAEAAAUAAADw////AAAAAAAAAAAAAAAAkAEAAAAAAAEAAAAAdABhAGgAbwBtAGEAAAAAAAAAAAAAAAAAAAAAAAAAAAAAAAAAAAAAAAAAAAAAAAAAAAAAAAAAAAAAAAAAAAAAAAAAWmIAOGkDBQAAAIy3WgAKPAAAAQAAAAAAAACx4VtiADhpA4y3WgABAAAAhRYB2AEAAAD8t1oAjLdaAAS4WgCQtloAgl9aYli8QmMEuFoA1LdaALfLW2JYvEJjMzNrMgCAAAABAAAAxstbYgDY1QRBoVpiUCFdewC4WgA6AgAAAAAB2Li7QmO4u0JjtLZaAFy8WgCwXD9jAAAAAEGhWmIGoVpiANjVBP/////bq1xiANjVBAAAAAAAuFoAhRYB2AAArAjYl6wIVgsKgSYAAAA6AgAAJLdaAAgY/HYgrQR3CoEKAAwsnHaqV6J0VgsKgfD///9WCwqBJGeLAwC4WgBkdgAIAAAAACUAAAAMAAAABQAAABgAAAAMAAAAAAAAAhIAAAAMAAAAAQAAAB4AAAAYAAAAKQAAAEUAAAC3AAAAWAAAAFQAAAC4AAAAKgAAAEUAAAC1AAAAVwAAAAEAAAAAwMZBvoTGQSoAAABFAAAAEgAAAEwAAAAAAAAAAAAAAAAAAAD//////////3AAAABHAHUAaQBsAGwAZQByAG0AbwAgAEMAZQBzAHAAZQBkAGUAcwALAAAACQAAAAQAAAAEAAAABAAAAAgAAAAGAAAADgAAAAkAAAAFAAAACgAAAAgAAAAHAAAACQAAAAgAAAAJAAAACAAAAAcAAABLAAAAEAAAAAAAAAAFAAAAJQAAAAwAAAANAACAJwAAABgAAAAGAAAAAAAAAP///wIAAAAAJQAAAAwAAAAGAAAATAAAAGQAAAAAAAAAYAAAAP8AAAB8AAAAAAAAAGAAAAAAAQAAHQAAACEA8AAAAAAAAAAAAAAAgD8AAAAAAAAAAAAAgD8AAAAAAAAAAAAAAAAAAAAAAAAAAAAAAAAAAAAAAAAAACUAAAAMAAAAAAAAgCgAAAAMAAAABgAAACcAAAAYAAAABgAAAAAAAAD///8CAAAAACUAAAAMAAAABgAAAEwAAABkAAAACQAAAGAAAAD2AAAAbAAAAAkAAABgAAAA7gAAAA0AAAAhAPAAAAAAAAAAAAAAAIA/AAAAAAAAAAAAAIA/AAAAAAAAAAAAAAAAAAAAAAAAAAAAAAAAAAAAAAAAAAAlAAAADAAAAAAAAIAoAAAADAAAAAYAAAAlAAAADAAAAAMAAAAYAAAADAAAAAAAAAISAAAADAAAAAEAAAAeAAAAGAAAAAkAAABgAAAA9wAAAG0AAABUAAAAuAAAAAoAAABgAAAAZgAAAGwAAAABAAAAAMDGQb6ExkEKAAAAYAAAABIAAABMAAAAAAAAAAAAAAAAAAAA//////////9wAAAARwB1AGkAbABsAGUAcgBtAG8AIABDAOkAcwBwAGUAZABlAHMABwAAAAYAAAACAAAAAgAAAAIAAAAGAAAABAAAAAgAAAAGAAAAAwAAAAcAAAAGAAAABQAAAAYAAAAGAAAABgAAAAYAAAAFAAAASwAAABAAAAAAAAAABQAAACUAAAAMAAAADQAAgCcAAAAYAAAABgAAAAAAAAD///8CAAAAACUAAAAMAAAABgAAAEwAAABkAAAACQAAAHAAAAD2AAAAfAAAAAkAAABwAAAA7gAAAA0AAAAhAPAAAAAAAAAAAAAAAIA/AAAAAAAAAAAAAIA/AAAAAAAAAAAAAAAAAAAAAAAAAAAAAAAAAAAAAAAAAAAlAAAADAAAAAAAAIAoAAAADAAAAAYAAAAlAAAADAAAAAMAAAAYAAAADAAAAAAAAAISAAAADAAAAAEAAAAeAAAAGAAAAAkAAABwAAAA9wAAAH0AAABUAAAAeAAAAAoAAABwAAAAKgAAAHwAAAABAAAAAMDGQb6ExkEKAAAAcAAAAAcAAABMAAAAAAAAAAAAAAAAAAAA//////////9cAAAAUwBpAG4AZABpAGMAbwAAAAYAAAACAAAABgAAAAYAAAACAAAABQAAAAYAAABLAAAAEAAAAAAAAAAFAAAAJQAAAAwAAAANAACACgAAABAAAAAAAAAAAA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5000006715</EngagementID>
  <LogicalEMSServerID>-109903338106937214</LogicalEMSServerID>
  <WorkingPaperID>3851766724900000821</WorkingPaperID>
</DAEMSEngagementItemInfo>
</file>

<file path=customXml/itemProps1.xml><?xml version="1.0" encoding="utf-8"?>
<ds:datastoreItem xmlns:ds="http://schemas.openxmlformats.org/officeDocument/2006/customXml" ds:itemID="{3BE64B72-DB74-4EE8-9C0E-F8DEB5B03877}">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Índice</vt:lpstr>
      <vt:lpstr>IG</vt:lpstr>
      <vt:lpstr>BG</vt:lpstr>
      <vt:lpstr>EERR</vt:lpstr>
      <vt:lpstr>VPN</vt:lpstr>
      <vt:lpstr>EFE</vt:lpstr>
      <vt:lpstr>Nota 1 a Nota 4</vt:lpstr>
      <vt:lpstr>Cartera Propia</vt:lpstr>
      <vt:lpstr>Nota 6 a Nota 12</vt:lpstr>
      <vt:lpstr>Nota 5</vt:lpstr>
      <vt:lpstr>BG 2020</vt:lpstr>
      <vt:lpstr>CA EFE 312021</vt:lpstr>
      <vt:lpstr>BG 2021</vt:lpstr>
      <vt:lpstr>Clasificaciones</vt:lpstr>
      <vt:lpstr>BG!Área_de_impresión</vt:lpstr>
      <vt:lpstr>EERR!Área_de_impresión</vt:lpstr>
      <vt:lpstr>'Nota 5'!Área_de_impresión</vt:lpstr>
      <vt:lpstr>'Nota 6 a Nota 12'!Área_de_impresión</vt:lpstr>
      <vt:lpstr>VPN!Área_de_impresión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2022-03-11T21:51:15Z</cp:lastPrinted>
  <dcterms:created xsi:type="dcterms:W3CDTF">2016-08-27T16:35:25Z</dcterms:created>
  <dcterms:modified xsi:type="dcterms:W3CDTF">2022-04-01T02:02:39Z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2022-03-30T01:53:32Z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216ceaeb-752b-4373-b942-b7da27b430b1</vt:lpwstr>
  </property>
  <property fmtid="{D5CDD505-2E9C-101B-9397-08002B2CF9AE}" pid="8" name="MSIP_Label_ea60d57e-af5b-4752-ac57-3e4f28ca11dc_ContentBits">
    <vt:lpwstr>0</vt:lpwstr>
  </property>
</Properties>
</file>