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worksheets/sheet3.xml" ContentType="application/vnd.openxmlformats-officedocument.spreadsheetml.workshee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ersons/person.xml" ContentType="application/vnd.ms-excel.person+xml"/>
  <Override PartName="/xl/comments2.xml" ContentType="application/vnd.openxmlformats-officedocument.spreadsheetml.comments+xml"/>
  <Override PartName="/xl/comments1.xml" ContentType="application/vnd.openxmlformats-officedocument.spreadsheetml.comments+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codeName="ThisWorkbook"/>
  <mc:AlternateContent xmlns:mc="http://schemas.openxmlformats.org/markup-compatibility/2006">
    <mc:Choice Requires="x15">
      <x15ac:absPath xmlns:x15ac="http://schemas.microsoft.com/office/spreadsheetml/2010/11/ac" url="https://inpositivapy-my.sharepoint.com/personal/sady_pereira_inpositiva_com_py/Documents/10.Investor SA/Contabilidad/CNV_EEFF_Informes/2023/"/>
    </mc:Choice>
  </mc:AlternateContent>
  <xr:revisionPtr revIDLastSave="0" documentId="8_{F65BE86C-A0D6-AB41-9F9F-1B5558C7CF6A}" xr6:coauthVersionLast="47" xr6:coauthVersionMax="47" xr10:uidLastSave="{00000000-0000-0000-0000-000000000000}"/>
  <workbookProtection workbookAlgorithmName="SHA-512" workbookHashValue="cx+dxUPSmKYWQIISs9ZhUwf+RoidmXngBC2MbBb4I4/MKh7WLhUxbKZWkQ9h6OzQRnh+DVGyOP5QnoYBOT3zSA==" workbookSaltValue="YL9F2lJ7/QCzqzT3x80VRg==" workbookSpinCount="100000" lockStructure="1"/>
  <bookViews>
    <workbookView xWindow="-34460" yWindow="3140" windowWidth="26380" windowHeight="19440" tabRatio="870" firstSheet="2" activeTab="2" xr2:uid="{00000000-000D-0000-FFFF-FFFF00000000}"/>
  </bookViews>
  <sheets>
    <sheet name="Indice" sheetId="33" r:id="rId1"/>
    <sheet name="I.Infomac Gral Emp " sheetId="41" r:id="rId2"/>
    <sheet name="Balance Gral. Resol. 30" sheetId="1" r:id="rId3"/>
    <sheet name="Estado de Resultado Resol. 30" sheetId="2" r:id="rId4"/>
    <sheet name="Flujo de Efectivo Resol. Res 30" sheetId="34" r:id="rId5"/>
    <sheet name="Estado de Variacion PN " sheetId="35" r:id="rId6"/>
    <sheet name=" Flujo de Fondos Calculo INVEST" sheetId="39" state="hidden" r:id="rId7"/>
    <sheet name="NOTA A LOS ESTADOS CONTA. 1-4" sheetId="36" r:id="rId8"/>
    <sheet name="NOTA 5 A-C CRITERIOS ESPECIF." sheetId="37" r:id="rId9"/>
    <sheet name="NOTA D - DISPONIBILIDADES" sheetId="7" r:id="rId10"/>
    <sheet name="NOTA E - INVERSIONES TEMP Y PER" sheetId="40" r:id="rId11"/>
    <sheet name="NOTA F - CREDITOS" sheetId="9" r:id="rId12"/>
    <sheet name="NOTA G BIENES DE USO" sheetId="11" r:id="rId13"/>
    <sheet name="NOTA H CARGOS DIFERIDOS" sheetId="13" r:id="rId14"/>
    <sheet name=" NOTA I INTANGIBLES" sheetId="14" r:id="rId15"/>
    <sheet name="NOTA J OTROS ACTIVOS CTES y NO " sheetId="15" r:id="rId16"/>
    <sheet name="NOTA K PRESTAMOS" sheetId="17" r:id="rId17"/>
    <sheet name="NOTA L DOCUM y CTAS A PAG" sheetId="18" r:id="rId18"/>
    <sheet name="NOTAS M-Q ACREED y CTAS A PAG" sheetId="16" r:id="rId19"/>
    <sheet name="NOTA R SALDOS Y TRANSACC" sheetId="42" r:id="rId20"/>
    <sheet name="NOTA S RESULTADOS CON PERS" sheetId="21" r:id="rId21"/>
    <sheet name=" NOTA T PATRIMONIO Y PREVIS" sheetId="22" r:id="rId22"/>
    <sheet name="NOTA V INGRESOS OPERATIVOS" sheetId="23" r:id="rId23"/>
    <sheet name="NOTA W OTROS GASTOS OPER" sheetId="24" r:id="rId24"/>
    <sheet name="NOTA X OTROS INGRESOS Y EGR" sheetId="25" r:id="rId25"/>
    <sheet name="NOTA Y RESULTADOS FINANC" sheetId="27" r:id="rId26"/>
    <sheet name="NOTA Z RESULT EXTRA" sheetId="28" r:id="rId27"/>
    <sheet name="NOTA 6 INFORMACION REFERENTE" sheetId="26" r:id="rId28"/>
  </sheets>
  <externalReferences>
    <externalReference r:id="rId29"/>
    <externalReference r:id="rId30"/>
    <externalReference r:id="rId31"/>
    <externalReference r:id="rId32"/>
    <externalReference r:id="rId33"/>
    <externalReference r:id="rId34"/>
    <externalReference r:id="rId35"/>
  </externalReferences>
  <definedNames>
    <definedName name="_xlnm._FilterDatabase" localSheetId="2" hidden="1">'Balance Gral. Resol. 30'!$B$8:$K$8</definedName>
    <definedName name="_xlnm._FilterDatabase" localSheetId="3" hidden="1">'Estado de Resultado Resol. 30'!$B$50:$E$86</definedName>
    <definedName name="_xlnm._FilterDatabase" localSheetId="1" hidden="1">'I.Infomac Gral Emp '!$B$58:$L$148</definedName>
    <definedName name="_xlnm._FilterDatabase" localSheetId="9" hidden="1">'NOTA D - DISPONIBILIDADES'!$B$8:$D$70</definedName>
    <definedName name="_xlnm._FilterDatabase" localSheetId="10" hidden="1">'NOTA E - INVERSIONES TEMP Y PER'!$B$8:$K$68</definedName>
    <definedName name="_xlnm._FilterDatabase" localSheetId="19" hidden="1">'NOTA R SALDOS Y TRANSACC'!$B$6:$H$24</definedName>
    <definedName name="_MON_1268749014" localSheetId="8">#N/A</definedName>
    <definedName name="a" localSheetId="6">#REF!</definedName>
    <definedName name="a" localSheetId="5">#N/A</definedName>
    <definedName name="a" localSheetId="4">#N/A</definedName>
    <definedName name="a" localSheetId="8">#N/A</definedName>
    <definedName name="a" localSheetId="7">#N/A</definedName>
    <definedName name="a">#N/A</definedName>
    <definedName name="aa" localSheetId="6">#REF!</definedName>
    <definedName name="aa" localSheetId="5">#N/A</definedName>
    <definedName name="aa" localSheetId="4">#N/A</definedName>
    <definedName name="aa" localSheetId="8">#N/A</definedName>
    <definedName name="aa" localSheetId="7">#N/A</definedName>
    <definedName name="aa">#N/A</definedName>
    <definedName name="_xlnm.Print_Area" localSheetId="6">' Flujo de Fondos Calculo INVEST'!$A$59:$E$91</definedName>
    <definedName name="_xlnm.Print_Area" localSheetId="2">#N/A</definedName>
    <definedName name="_xlnm.Print_Area" localSheetId="3">#N/A</definedName>
    <definedName name="_xlnm.Print_Area" localSheetId="23">#N/A</definedName>
    <definedName name="Broker" localSheetId="19">#REF!</definedName>
    <definedName name="Broker">#REF!</definedName>
    <definedName name="BuiltIn_Print_Area" localSheetId="6">#N/A</definedName>
    <definedName name="BuiltIn_Print_Area" localSheetId="1">[1]anexos!#REF!</definedName>
    <definedName name="BuiltIn_Print_Area" localSheetId="19">[1]anexos!#REF!</definedName>
    <definedName name="BuiltIn_Print_Area">[1]anexos!#REF!</definedName>
    <definedName name="BuiltIn_Print_Area___0" localSheetId="6">#N/A</definedName>
    <definedName name="BuiltIn_Print_Area___0" localSheetId="1">'[1]Balance General Resol 950'!#REF!</definedName>
    <definedName name="BuiltIn_Print_Area___0">'[1]Balance General Resol 950'!#REF!</definedName>
    <definedName name="BuiltIn_Print_Area___0___0" localSheetId="6">#REF!</definedName>
    <definedName name="BuiltIn_Print_Area___0___0" localSheetId="5">#N/A</definedName>
    <definedName name="BuiltIn_Print_Area___0___0" localSheetId="4">#N/A</definedName>
    <definedName name="BuiltIn_Print_Area___0___0" localSheetId="8">#N/A</definedName>
    <definedName name="BuiltIn_Print_Area___0___0" localSheetId="7">#N/A</definedName>
    <definedName name="BuiltIn_Print_Area___0___0">#N/A</definedName>
    <definedName name="BuiltIn_Print_Area___0___0___0___0" localSheetId="6">'[2]Flujos de efectivo'!#REF!</definedName>
    <definedName name="BuiltIn_Print_Area___0___0___0___0" localSheetId="1">'[3]Flujos de efectivo'!#REF!</definedName>
    <definedName name="BuiltIn_Print_Area___0___0___0___0">'[3]Flujos de efectivo'!#REF!</definedName>
    <definedName name="BuiltIn_Print_Area___0___0___0___0___0" localSheetId="6">#REF!</definedName>
    <definedName name="BuiltIn_Print_Area___0___0___0___0___0" localSheetId="5">#N/A</definedName>
    <definedName name="BuiltIn_Print_Area___0___0___0___0___0" localSheetId="4">#N/A</definedName>
    <definedName name="BuiltIn_Print_Area___0___0___0___0___0" localSheetId="8">#N/A</definedName>
    <definedName name="BuiltIn_Print_Area___0___0___0___0___0" localSheetId="7">#N/A</definedName>
    <definedName name="BuiltIn_Print_Area___0___0___0___0___0">#N/A</definedName>
    <definedName name="Clientes" localSheetId="6">#REF!</definedName>
    <definedName name="Clientes" localSheetId="5">#N/A</definedName>
    <definedName name="Clientes" localSheetId="4">#N/A</definedName>
    <definedName name="Clientes" localSheetId="8">#N/A</definedName>
    <definedName name="Clientes" localSheetId="7">#N/A</definedName>
    <definedName name="Clientes">#N/A</definedName>
    <definedName name="DATA16" localSheetId="6">#REF!</definedName>
    <definedName name="DATA16" localSheetId="5">#N/A</definedName>
    <definedName name="DATA16" localSheetId="4">#N/A</definedName>
    <definedName name="DATA16" localSheetId="8">#N/A</definedName>
    <definedName name="DATA16" localSheetId="7">#N/A</definedName>
    <definedName name="DATA16">#N/A</definedName>
    <definedName name="DATA17" localSheetId="6">#REF!</definedName>
    <definedName name="DATA17" localSheetId="5">#N/A</definedName>
    <definedName name="DATA17" localSheetId="4">#N/A</definedName>
    <definedName name="DATA17" localSheetId="8">#N/A</definedName>
    <definedName name="DATA17" localSheetId="7">#N/A</definedName>
    <definedName name="DATA17">#N/A</definedName>
    <definedName name="DATA18" localSheetId="6">#REF!</definedName>
    <definedName name="DATA18" localSheetId="5">#N/A</definedName>
    <definedName name="DATA18" localSheetId="4">#N/A</definedName>
    <definedName name="DATA18" localSheetId="8">#N/A</definedName>
    <definedName name="DATA18" localSheetId="7">#N/A</definedName>
    <definedName name="DATA18">#N/A</definedName>
    <definedName name="DATA20" localSheetId="6">#REF!</definedName>
    <definedName name="DATA20" localSheetId="5">#N/A</definedName>
    <definedName name="DATA20" localSheetId="4">#N/A</definedName>
    <definedName name="DATA20" localSheetId="8">#N/A</definedName>
    <definedName name="DATA20" localSheetId="7">#N/A</definedName>
    <definedName name="DATA20">#N/A</definedName>
    <definedName name="datos" localSheetId="6">#REF!</definedName>
    <definedName name="datos" localSheetId="5">#N/A</definedName>
    <definedName name="datos" localSheetId="4">#N/A</definedName>
    <definedName name="datos" localSheetId="8">#N/A</definedName>
    <definedName name="datos" localSheetId="7">#N/A</definedName>
    <definedName name="datos">#N/A</definedName>
    <definedName name="k" localSheetId="6">#REF!</definedName>
    <definedName name="k" localSheetId="5">#N/A</definedName>
    <definedName name="k" localSheetId="4">#N/A</definedName>
    <definedName name="k" localSheetId="8">#N/A</definedName>
    <definedName name="k" localSheetId="7">#N/A</definedName>
    <definedName name="k">#N/A</definedName>
    <definedName name="klkl" localSheetId="6">#REF!</definedName>
    <definedName name="klkl" localSheetId="5">#N/A</definedName>
    <definedName name="klkl" localSheetId="4">#N/A</definedName>
    <definedName name="klkl" localSheetId="8">#N/A</definedName>
    <definedName name="klkl" localSheetId="7">#N/A</definedName>
    <definedName name="klkl">#N/A</definedName>
    <definedName name="klll" localSheetId="6">#REF!</definedName>
    <definedName name="klll" localSheetId="5">#N/A</definedName>
    <definedName name="klll" localSheetId="4">#N/A</definedName>
    <definedName name="klll" localSheetId="8">#N/A</definedName>
    <definedName name="klll" localSheetId="7">#N/A</definedName>
    <definedName name="klll">#N/A</definedName>
    <definedName name="ver" localSheetId="6">#REF!</definedName>
    <definedName name="ver" localSheetId="5">#N/A</definedName>
    <definedName name="ver" localSheetId="4">#N/A</definedName>
    <definedName name="ver" localSheetId="8">#N/A</definedName>
    <definedName name="ver" localSheetId="7">#N/A</definedName>
    <definedName name="ver">#N/A</definedName>
    <definedName name="verificar" localSheetId="6">#REF!</definedName>
    <definedName name="verificar" localSheetId="5">#N/A</definedName>
    <definedName name="verificar" localSheetId="4">#N/A</definedName>
    <definedName name="verificar" localSheetId="8">#N/A</definedName>
    <definedName name="verificar" localSheetId="7">#N/A</definedName>
    <definedName name="verificar">#N/A</definedName>
    <definedName name="zz" localSheetId="1">#REF!</definedName>
    <definedName name="zz" localSheetId="19">#REF!</definedName>
    <definedName name="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8" i="37" l="1"/>
  <c r="C11" i="9"/>
  <c r="D24" i="1"/>
  <c r="D26" i="1"/>
  <c r="D10" i="22" l="1"/>
  <c r="G23" i="42" l="1"/>
  <c r="G13" i="42"/>
  <c r="B24" i="42" l="1"/>
  <c r="C43" i="16"/>
  <c r="C46" i="16"/>
  <c r="F23" i="16"/>
  <c r="C12" i="16"/>
  <c r="C11" i="16"/>
  <c r="C21" i="18"/>
  <c r="C7" i="18"/>
  <c r="C17" i="18"/>
  <c r="C18" i="18"/>
  <c r="C47" i="17"/>
  <c r="D48" i="17"/>
  <c r="C44" i="17"/>
  <c r="C43" i="17"/>
  <c r="D40" i="17"/>
  <c r="D38" i="17"/>
  <c r="C33" i="17"/>
  <c r="C63" i="7"/>
  <c r="C21" i="17"/>
  <c r="C24" i="17"/>
  <c r="C25" i="17"/>
  <c r="D25" i="17" s="1"/>
  <c r="C18" i="17"/>
  <c r="C17" i="17"/>
  <c r="F8" i="13"/>
  <c r="D8" i="13"/>
  <c r="E9" i="13"/>
  <c r="G14" i="11" l="1"/>
  <c r="G15" i="11"/>
  <c r="G16" i="11"/>
  <c r="G17" i="11"/>
  <c r="G18" i="11"/>
  <c r="G13" i="11"/>
  <c r="L18" i="11"/>
  <c r="L17" i="11"/>
  <c r="L16" i="11"/>
  <c r="L15" i="11"/>
  <c r="L14" i="11"/>
  <c r="L13" i="11"/>
  <c r="L19" i="11"/>
  <c r="J19" i="11"/>
  <c r="C41" i="9"/>
  <c r="C45" i="9"/>
  <c r="C43" i="9"/>
  <c r="C42" i="9"/>
  <c r="C36" i="9"/>
  <c r="C28" i="9"/>
  <c r="C26" i="9"/>
  <c r="C25" i="9"/>
  <c r="C23" i="9"/>
  <c r="C21" i="9"/>
  <c r="C16" i="9"/>
  <c r="C12" i="9"/>
  <c r="C15" i="9" l="1"/>
  <c r="C17" i="9" s="1"/>
  <c r="I65" i="37"/>
  <c r="I66" i="37"/>
  <c r="I67" i="37"/>
  <c r="I68" i="37"/>
  <c r="I69" i="37"/>
  <c r="I70" i="37"/>
  <c r="I71" i="37"/>
  <c r="I72" i="37"/>
  <c r="I73" i="37"/>
  <c r="I74" i="37"/>
  <c r="I75" i="37"/>
  <c r="I76" i="37"/>
  <c r="I77" i="37"/>
  <c r="I78" i="37"/>
  <c r="I79" i="37"/>
  <c r="I80" i="37"/>
  <c r="I81" i="37"/>
  <c r="I82" i="37"/>
  <c r="I83" i="37"/>
  <c r="I84" i="37"/>
  <c r="I85" i="37"/>
  <c r="I86" i="37"/>
  <c r="I87" i="37"/>
  <c r="I88" i="37"/>
  <c r="I64" i="37"/>
  <c r="I22" i="37"/>
  <c r="I23" i="37"/>
  <c r="I24" i="37"/>
  <c r="I25" i="37"/>
  <c r="I26" i="37"/>
  <c r="I27" i="37"/>
  <c r="I28" i="37"/>
  <c r="I29" i="37"/>
  <c r="I30" i="37"/>
  <c r="I31" i="37"/>
  <c r="I32" i="37"/>
  <c r="I33" i="37"/>
  <c r="I34" i="37"/>
  <c r="I35" i="37"/>
  <c r="I36" i="37"/>
  <c r="I37" i="37"/>
  <c r="I38" i="37"/>
  <c r="I39" i="37"/>
  <c r="I40" i="37"/>
  <c r="I41" i="37"/>
  <c r="I42" i="37"/>
  <c r="I43" i="37"/>
  <c r="I44" i="37"/>
  <c r="I45" i="37"/>
  <c r="I46" i="37"/>
  <c r="I47" i="37"/>
  <c r="I48" i="37"/>
  <c r="I49" i="37"/>
  <c r="I50" i="37"/>
  <c r="I51" i="37"/>
  <c r="I52" i="37"/>
  <c r="I53" i="37"/>
  <c r="I54" i="37"/>
  <c r="I55" i="37"/>
  <c r="I56" i="37"/>
  <c r="I57" i="37"/>
  <c r="I21" i="37"/>
  <c r="K60" i="37"/>
  <c r="C42" i="39"/>
  <c r="C35" i="39"/>
  <c r="B41" i="39"/>
  <c r="B40" i="39" s="1"/>
  <c r="B43" i="39"/>
  <c r="B42" i="39"/>
  <c r="B46" i="39"/>
  <c r="B52" i="39"/>
  <c r="B51" i="39"/>
  <c r="B50" i="39"/>
  <c r="B44" i="39"/>
  <c r="B45" i="39"/>
  <c r="E26" i="39"/>
  <c r="H67" i="1"/>
  <c r="G67" i="1" l="1"/>
  <c r="G70" i="1" s="1"/>
  <c r="G79" i="1" s="1"/>
  <c r="K113" i="2" l="1"/>
  <c r="D103" i="2"/>
  <c r="D98" i="2"/>
  <c r="D99" i="2"/>
  <c r="D96" i="2"/>
  <c r="D48" i="2"/>
  <c r="D28" i="2"/>
  <c r="D42" i="2"/>
  <c r="D37" i="2"/>
  <c r="D102" i="2"/>
  <c r="D95" i="2"/>
  <c r="D27" i="2"/>
  <c r="D89" i="2"/>
  <c r="D26" i="2"/>
  <c r="D14" i="2"/>
  <c r="G12" i="1"/>
  <c r="G64" i="1"/>
  <c r="G78" i="1"/>
  <c r="G34" i="1"/>
  <c r="G27" i="1"/>
  <c r="G36" i="1"/>
  <c r="G21" i="1"/>
  <c r="G20" i="1"/>
  <c r="G19" i="1"/>
  <c r="G13" i="1"/>
  <c r="D35" i="1"/>
  <c r="D63" i="1"/>
  <c r="D62" i="1" s="1"/>
  <c r="D43" i="1"/>
  <c r="D46" i="1"/>
  <c r="D45" i="1"/>
  <c r="D34" i="1"/>
  <c r="D28" i="1"/>
  <c r="D25" i="1"/>
  <c r="D18" i="1"/>
  <c r="D19" i="1"/>
  <c r="D20" i="1"/>
  <c r="D11" i="1"/>
  <c r="G16" i="1" l="1"/>
  <c r="D14" i="1"/>
  <c r="D75" i="40" l="1"/>
  <c r="F67" i="40"/>
  <c r="G57" i="40"/>
  <c r="G56" i="40"/>
  <c r="F57" i="40"/>
  <c r="F56" i="40"/>
  <c r="E9" i="40"/>
  <c r="G49" i="40"/>
  <c r="G50" i="40"/>
  <c r="G51" i="40"/>
  <c r="G52" i="40"/>
  <c r="G53" i="40"/>
  <c r="G54" i="40"/>
  <c r="G55" i="40"/>
  <c r="F49" i="40"/>
  <c r="F50" i="40"/>
  <c r="F51" i="40"/>
  <c r="F52" i="40"/>
  <c r="F53" i="40"/>
  <c r="F54" i="40"/>
  <c r="F55" i="40"/>
  <c r="G48" i="40"/>
  <c r="F48" i="40"/>
  <c r="G46" i="40"/>
  <c r="F46" i="40"/>
  <c r="G10" i="40"/>
  <c r="D63" i="40"/>
  <c r="F63" i="40"/>
  <c r="E63" i="40"/>
  <c r="F10" i="40"/>
  <c r="D66" i="7"/>
  <c r="D8" i="7"/>
  <c r="C70" i="7"/>
  <c r="D70" i="7"/>
  <c r="D63" i="7"/>
  <c r="D72" i="7" s="1"/>
  <c r="G21" i="37" l="1"/>
  <c r="G32" i="37"/>
  <c r="G38" i="37"/>
  <c r="E65" i="37"/>
  <c r="G66" i="37"/>
  <c r="G69" i="37"/>
  <c r="G70" i="37"/>
  <c r="G64" i="37"/>
  <c r="E64" i="37" s="1"/>
  <c r="G24" i="37" l="1"/>
  <c r="G72" i="37"/>
  <c r="E59" i="34" l="1"/>
  <c r="K32" i="35"/>
  <c r="K26" i="35"/>
  <c r="K27" i="35"/>
  <c r="E113" i="2"/>
  <c r="E115" i="2" s="1"/>
  <c r="E80" i="1" l="1"/>
  <c r="H80" i="1"/>
  <c r="D20" i="17" l="1"/>
  <c r="C20" i="17"/>
  <c r="B25" i="17"/>
  <c r="B24" i="17"/>
  <c r="B23" i="17"/>
  <c r="B22" i="17"/>
  <c r="B21" i="17"/>
  <c r="C14" i="28" l="1"/>
  <c r="D9" i="28"/>
  <c r="C9" i="28"/>
  <c r="D22" i="23"/>
  <c r="D21" i="23"/>
  <c r="D20" i="23"/>
  <c r="C21" i="23"/>
  <c r="D15" i="23"/>
  <c r="D14" i="23"/>
  <c r="D13" i="23"/>
  <c r="D12" i="23"/>
  <c r="D11" i="23"/>
  <c r="D10" i="23"/>
  <c r="G6" i="42" l="1"/>
  <c r="B53" i="39" l="1"/>
  <c r="B11" i="39"/>
  <c r="B10" i="39" l="1"/>
  <c r="B49" i="39"/>
  <c r="C36" i="16"/>
  <c r="D49" i="39" l="1"/>
  <c r="C33" i="39" s="1"/>
  <c r="B47" i="39"/>
  <c r="C48" i="17"/>
  <c r="D27" i="17" l="1"/>
  <c r="C30" i="17"/>
  <c r="C27" i="17" s="1"/>
  <c r="D10" i="17"/>
  <c r="D43" i="17"/>
  <c r="D8" i="17" s="1"/>
  <c r="D10" i="14" l="1"/>
  <c r="D16" i="14"/>
  <c r="D12" i="14"/>
  <c r="L20" i="11"/>
  <c r="C19" i="11"/>
  <c r="C33" i="9"/>
  <c r="F9" i="40" l="1"/>
  <c r="C72" i="7"/>
  <c r="E26" i="35" l="1"/>
  <c r="J11" i="35"/>
  <c r="J12" i="35"/>
  <c r="J13" i="35"/>
  <c r="J15" i="35"/>
  <c r="J17" i="35"/>
  <c r="J18" i="35"/>
  <c r="J19" i="35"/>
  <c r="J21" i="35"/>
  <c r="J22" i="35"/>
  <c r="J23" i="35"/>
  <c r="C22" i="23" l="1"/>
  <c r="D67" i="1"/>
  <c r="D66" i="1"/>
  <c r="D71" i="1"/>
  <c r="D70" i="1"/>
  <c r="D69" i="1"/>
  <c r="D68" i="1"/>
  <c r="D48" i="1"/>
  <c r="D7" i="37" l="1"/>
  <c r="F77" i="40"/>
  <c r="C15" i="28"/>
  <c r="D52" i="24"/>
  <c r="C52" i="24"/>
  <c r="C12" i="23"/>
  <c r="C11" i="23"/>
  <c r="C13" i="23"/>
  <c r="C14" i="23"/>
  <c r="C15" i="23"/>
  <c r="B13" i="22"/>
  <c r="C32" i="16"/>
  <c r="C10" i="17"/>
  <c r="M15" i="11"/>
  <c r="M16" i="11"/>
  <c r="M17" i="11"/>
  <c r="M18" i="11"/>
  <c r="C32" i="17" l="1"/>
  <c r="C8" i="17"/>
  <c r="H24" i="42"/>
  <c r="C21" i="11"/>
  <c r="D77" i="40"/>
  <c r="E72" i="40"/>
  <c r="F72" i="40" s="1"/>
  <c r="F75" i="40" l="1"/>
  <c r="D88" i="2" l="1"/>
  <c r="D50" i="24" l="1"/>
  <c r="D51" i="24"/>
  <c r="C51"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C11" i="22"/>
  <c r="C12" i="22" s="1"/>
  <c r="C8" i="22"/>
  <c r="C9" i="22"/>
  <c r="C10" i="22"/>
  <c r="C7" i="22"/>
  <c r="J72" i="40" l="1"/>
  <c r="C45" i="16" l="1"/>
  <c r="D72" i="40"/>
  <c r="G68" i="40"/>
  <c r="G78" i="40" s="1"/>
  <c r="E71" i="40"/>
  <c r="D9" i="40"/>
  <c r="G71" i="40" l="1"/>
  <c r="F71" i="40"/>
  <c r="D68" i="40"/>
  <c r="E68" i="40"/>
  <c r="F68" i="40" l="1"/>
  <c r="E8" i="34" l="1"/>
  <c r="E95" i="37"/>
  <c r="E10" i="2" l="1"/>
  <c r="D24" i="39" l="1"/>
  <c r="D55" i="34"/>
  <c r="D15" i="39"/>
  <c r="E17" i="39"/>
  <c r="E31" i="39"/>
  <c r="E37" i="39"/>
  <c r="E35" i="39"/>
  <c r="E34" i="39"/>
  <c r="E33" i="39"/>
  <c r="E30" i="39"/>
  <c r="E25" i="39"/>
  <c r="E24" i="39"/>
  <c r="E21" i="39"/>
  <c r="E20" i="39"/>
  <c r="E19" i="39" s="1"/>
  <c r="E18" i="39"/>
  <c r="E16" i="39"/>
  <c r="E15" i="39"/>
  <c r="E12" i="39"/>
  <c r="E13" i="39" s="1"/>
  <c r="E9" i="39"/>
  <c r="C89" i="39" s="1"/>
  <c r="E38" i="39" l="1"/>
  <c r="E22" i="39"/>
  <c r="E23" i="39" s="1"/>
  <c r="E39" i="39" l="1"/>
  <c r="E158" i="41" l="1"/>
  <c r="H157" i="41"/>
  <c r="G157" i="41"/>
  <c r="H156" i="41"/>
  <c r="G156" i="41"/>
  <c r="H155" i="41"/>
  <c r="G155" i="41"/>
  <c r="H154" i="41"/>
  <c r="G154" i="41"/>
  <c r="H153" i="41"/>
  <c r="G153" i="41"/>
  <c r="H152" i="41"/>
  <c r="G152" i="41"/>
  <c r="J147" i="41"/>
  <c r="I147" i="41"/>
  <c r="J146" i="41"/>
  <c r="I146" i="41"/>
  <c r="J145" i="41"/>
  <c r="I145" i="41"/>
  <c r="J144" i="41"/>
  <c r="I144" i="41"/>
  <c r="J143" i="41"/>
  <c r="I143" i="41"/>
  <c r="J142" i="41"/>
  <c r="I142" i="41"/>
  <c r="J141" i="41"/>
  <c r="I141" i="41"/>
  <c r="F141" i="41"/>
  <c r="J140" i="41"/>
  <c r="I140" i="41"/>
  <c r="F140" i="41"/>
  <c r="J139" i="41"/>
  <c r="I139" i="41"/>
  <c r="F139" i="41"/>
  <c r="J138" i="41"/>
  <c r="I138" i="41"/>
  <c r="J137" i="41"/>
  <c r="I137" i="41"/>
  <c r="J136" i="41"/>
  <c r="I136" i="41"/>
  <c r="J135" i="41"/>
  <c r="I135" i="41"/>
  <c r="J134" i="41"/>
  <c r="I134" i="41"/>
  <c r="G133" i="41"/>
  <c r="I133" i="41" s="1"/>
  <c r="G132" i="41"/>
  <c r="J132" i="41" s="1"/>
  <c r="G131" i="41"/>
  <c r="I131" i="41" s="1"/>
  <c r="G130" i="41"/>
  <c r="J130" i="41" s="1"/>
  <c r="G129" i="41"/>
  <c r="I129" i="41" s="1"/>
  <c r="G128" i="41"/>
  <c r="J128" i="41" s="1"/>
  <c r="G127" i="41"/>
  <c r="I127" i="41" s="1"/>
  <c r="G126" i="41"/>
  <c r="J126" i="41" s="1"/>
  <c r="G125" i="41"/>
  <c r="I125" i="41" s="1"/>
  <c r="G124" i="41"/>
  <c r="J124" i="41" s="1"/>
  <c r="G123" i="41"/>
  <c r="I123" i="41" s="1"/>
  <c r="G122" i="41"/>
  <c r="J122" i="41" s="1"/>
  <c r="G121" i="41"/>
  <c r="I121" i="41" s="1"/>
  <c r="G120" i="41"/>
  <c r="J120" i="41" s="1"/>
  <c r="G119" i="41"/>
  <c r="I119" i="41" s="1"/>
  <c r="G118" i="41"/>
  <c r="J118" i="41" s="1"/>
  <c r="G117" i="41"/>
  <c r="I117" i="41" s="1"/>
  <c r="G116" i="41"/>
  <c r="J116" i="41" s="1"/>
  <c r="F111" i="41"/>
  <c r="E112" i="41" s="1"/>
  <c r="F112" i="41" s="1"/>
  <c r="F107" i="41"/>
  <c r="G107" i="41" s="1"/>
  <c r="F106" i="41"/>
  <c r="G106" i="41" s="1"/>
  <c r="G105" i="41"/>
  <c r="J105" i="41" s="1"/>
  <c r="G104" i="41"/>
  <c r="I104" i="41" s="1"/>
  <c r="G103" i="41"/>
  <c r="J103" i="41" s="1"/>
  <c r="G102" i="41"/>
  <c r="I102" i="41" s="1"/>
  <c r="G101" i="41"/>
  <c r="J101" i="41" s="1"/>
  <c r="G100" i="41"/>
  <c r="J100" i="41" s="1"/>
  <c r="G99" i="41"/>
  <c r="J99" i="41" s="1"/>
  <c r="G98" i="41"/>
  <c r="I98" i="41" s="1"/>
  <c r="G97" i="41"/>
  <c r="J97" i="41" s="1"/>
  <c r="G96" i="41"/>
  <c r="I96" i="41" s="1"/>
  <c r="G95" i="41"/>
  <c r="J95" i="41" s="1"/>
  <c r="G94" i="41"/>
  <c r="J94" i="41" s="1"/>
  <c r="G93" i="41"/>
  <c r="J93" i="41" s="1"/>
  <c r="G92" i="41"/>
  <c r="J92" i="41" s="1"/>
  <c r="G91" i="41"/>
  <c r="J91" i="41" s="1"/>
  <c r="G90" i="41"/>
  <c r="I90" i="41" s="1"/>
  <c r="G89" i="41"/>
  <c r="J89" i="41" s="1"/>
  <c r="F88" i="41"/>
  <c r="G88" i="41" s="1"/>
  <c r="I88" i="41" s="1"/>
  <c r="G87" i="41"/>
  <c r="J87" i="41" s="1"/>
  <c r="G86" i="41"/>
  <c r="I86" i="41" s="1"/>
  <c r="G85" i="41"/>
  <c r="J85" i="41" s="1"/>
  <c r="G84" i="41"/>
  <c r="J84" i="41" s="1"/>
  <c r="G83" i="41"/>
  <c r="J83" i="41" s="1"/>
  <c r="G82" i="41"/>
  <c r="I82" i="41" s="1"/>
  <c r="G81" i="41"/>
  <c r="J81" i="41" s="1"/>
  <c r="G80" i="41"/>
  <c r="I80" i="41" s="1"/>
  <c r="G79" i="41"/>
  <c r="J79" i="41" s="1"/>
  <c r="G78" i="41"/>
  <c r="J78" i="41" s="1"/>
  <c r="G77" i="41"/>
  <c r="J77" i="41" s="1"/>
  <c r="G76" i="41"/>
  <c r="J76" i="41" s="1"/>
  <c r="G75" i="41"/>
  <c r="J75" i="41" s="1"/>
  <c r="G74" i="41"/>
  <c r="J74" i="41" s="1"/>
  <c r="G73" i="41"/>
  <c r="J73" i="41" s="1"/>
  <c r="G72" i="41"/>
  <c r="J72" i="41" s="1"/>
  <c r="G71" i="41"/>
  <c r="J71" i="41" s="1"/>
  <c r="G70" i="41"/>
  <c r="I70" i="41" s="1"/>
  <c r="G69" i="41"/>
  <c r="J69" i="41" s="1"/>
  <c r="G68" i="41"/>
  <c r="J68" i="41" s="1"/>
  <c r="G67" i="41"/>
  <c r="J67" i="41" s="1"/>
  <c r="G66" i="41"/>
  <c r="J66" i="41" s="1"/>
  <c r="G65" i="41"/>
  <c r="J65" i="41" s="1"/>
  <c r="G64" i="41"/>
  <c r="I64" i="41" s="1"/>
  <c r="G63" i="41"/>
  <c r="J63" i="41" s="1"/>
  <c r="G62" i="41"/>
  <c r="I62" i="41" s="1"/>
  <c r="G61" i="41"/>
  <c r="J61" i="41" s="1"/>
  <c r="G60" i="41"/>
  <c r="J60" i="41" s="1"/>
  <c r="G59" i="41"/>
  <c r="J64" i="41" l="1"/>
  <c r="J80" i="41"/>
  <c r="I72" i="41"/>
  <c r="G111" i="41"/>
  <c r="I111" i="41" s="1"/>
  <c r="I60" i="41"/>
  <c r="I76" i="41"/>
  <c r="I68" i="41"/>
  <c r="I84" i="41"/>
  <c r="I103" i="41"/>
  <c r="H158" i="41"/>
  <c r="I155" i="41" s="1"/>
  <c r="I66" i="41"/>
  <c r="I74" i="41"/>
  <c r="I78" i="41"/>
  <c r="I105" i="41"/>
  <c r="J62" i="41"/>
  <c r="J70" i="41"/>
  <c r="J82" i="41"/>
  <c r="J86" i="41"/>
  <c r="I101" i="41"/>
  <c r="G112" i="41"/>
  <c r="E113" i="41"/>
  <c r="F113" i="41" s="1"/>
  <c r="J106" i="41"/>
  <c r="I106" i="41"/>
  <c r="J107" i="41"/>
  <c r="I107" i="41"/>
  <c r="I94" i="41"/>
  <c r="J117" i="41"/>
  <c r="J119" i="41"/>
  <c r="J121" i="41"/>
  <c r="J123" i="41"/>
  <c r="J125" i="41"/>
  <c r="J127" i="41"/>
  <c r="J129" i="41"/>
  <c r="J131" i="41"/>
  <c r="J133" i="41"/>
  <c r="I92" i="41"/>
  <c r="I100" i="41"/>
  <c r="J88" i="41"/>
  <c r="J90" i="41"/>
  <c r="J96" i="41"/>
  <c r="J98" i="41"/>
  <c r="J102" i="41"/>
  <c r="J104" i="41"/>
  <c r="E108" i="41"/>
  <c r="F108" i="41" s="1"/>
  <c r="I116" i="41"/>
  <c r="I118" i="41"/>
  <c r="I120" i="41"/>
  <c r="I122" i="41"/>
  <c r="I124" i="41"/>
  <c r="I126" i="41"/>
  <c r="I128" i="41"/>
  <c r="I130" i="41"/>
  <c r="I132" i="41"/>
  <c r="I59" i="41"/>
  <c r="I61" i="41"/>
  <c r="I63" i="41"/>
  <c r="I65" i="41"/>
  <c r="I67" i="41"/>
  <c r="I69" i="41"/>
  <c r="I71" i="41"/>
  <c r="I73" i="41"/>
  <c r="I75" i="41"/>
  <c r="I77" i="41"/>
  <c r="I79" i="41"/>
  <c r="I81" i="41"/>
  <c r="I83" i="41"/>
  <c r="I85" i="41"/>
  <c r="I87" i="41"/>
  <c r="J59" i="41"/>
  <c r="I89" i="41"/>
  <c r="I91" i="41"/>
  <c r="I93" i="41"/>
  <c r="I95" i="41"/>
  <c r="I97" i="41"/>
  <c r="I99" i="41"/>
  <c r="J111" i="41" l="1"/>
  <c r="I154" i="41"/>
  <c r="I153" i="41"/>
  <c r="I156" i="41"/>
  <c r="I152" i="41"/>
  <c r="I157" i="41"/>
  <c r="E114" i="41"/>
  <c r="F114" i="41" s="1"/>
  <c r="G113" i="41"/>
  <c r="J112" i="41"/>
  <c r="I112" i="41"/>
  <c r="E109" i="41"/>
  <c r="F109" i="41" s="1"/>
  <c r="G108" i="41"/>
  <c r="I158" i="41" l="1"/>
  <c r="J113" i="41"/>
  <c r="I113" i="41"/>
  <c r="J108" i="41"/>
  <c r="I108" i="41"/>
  <c r="E110" i="41"/>
  <c r="F110" i="41" s="1"/>
  <c r="G110" i="41" s="1"/>
  <c r="G109" i="41"/>
  <c r="E115" i="41"/>
  <c r="F115" i="41" s="1"/>
  <c r="G115" i="41" s="1"/>
  <c r="G114" i="41"/>
  <c r="J109" i="41" l="1"/>
  <c r="I109" i="41"/>
  <c r="J110" i="41"/>
  <c r="I110" i="41"/>
  <c r="G148" i="41"/>
  <c r="I114" i="41"/>
  <c r="J114" i="41"/>
  <c r="I115" i="41"/>
  <c r="J115" i="41"/>
  <c r="J148" i="41" l="1"/>
  <c r="I148" i="41"/>
  <c r="K115" i="41"/>
  <c r="K110" i="41"/>
  <c r="K137" i="41"/>
  <c r="K145" i="41"/>
  <c r="K140" i="41"/>
  <c r="K138" i="41"/>
  <c r="K142" i="41"/>
  <c r="K146" i="41"/>
  <c r="K92" i="41"/>
  <c r="K60" i="41"/>
  <c r="K66" i="41"/>
  <c r="K75" i="41"/>
  <c r="K141" i="41"/>
  <c r="K63" i="41"/>
  <c r="K135" i="41"/>
  <c r="K99" i="41"/>
  <c r="K101" i="41"/>
  <c r="K124" i="41"/>
  <c r="K76" i="41"/>
  <c r="K64" i="41"/>
  <c r="K100" i="41"/>
  <c r="K72" i="41"/>
  <c r="K70" i="41"/>
  <c r="K79" i="41"/>
  <c r="K71" i="41"/>
  <c r="K144" i="41"/>
  <c r="K89" i="41"/>
  <c r="K147" i="41"/>
  <c r="K73" i="41"/>
  <c r="K105" i="41"/>
  <c r="K97" i="41"/>
  <c r="K118" i="41"/>
  <c r="K84" i="41"/>
  <c r="K74" i="41"/>
  <c r="K134" i="41"/>
  <c r="K87" i="41"/>
  <c r="K139" i="41"/>
  <c r="K83" i="41"/>
  <c r="K85" i="41"/>
  <c r="K81" i="41"/>
  <c r="K120" i="41"/>
  <c r="K62" i="41"/>
  <c r="K67" i="41"/>
  <c r="K65" i="41"/>
  <c r="K126" i="41"/>
  <c r="K61" i="41"/>
  <c r="K78" i="41"/>
  <c r="K103" i="41"/>
  <c r="K94" i="41"/>
  <c r="K68" i="41"/>
  <c r="K95" i="41"/>
  <c r="K77" i="41"/>
  <c r="K82" i="41"/>
  <c r="K80" i="41"/>
  <c r="K91" i="41"/>
  <c r="K122" i="41"/>
  <c r="K128" i="41"/>
  <c r="K116" i="41"/>
  <c r="K143" i="41"/>
  <c r="K132" i="41"/>
  <c r="K86" i="41"/>
  <c r="K69" i="41"/>
  <c r="K136" i="41"/>
  <c r="K93" i="41"/>
  <c r="K130" i="41"/>
  <c r="K104" i="41"/>
  <c r="K123" i="41"/>
  <c r="K98" i="41"/>
  <c r="K117" i="41"/>
  <c r="K119" i="41"/>
  <c r="K111" i="41"/>
  <c r="K106" i="41"/>
  <c r="K90" i="41"/>
  <c r="K121" i="41"/>
  <c r="K125" i="41"/>
  <c r="K88" i="41"/>
  <c r="K102" i="41"/>
  <c r="K131" i="41"/>
  <c r="K129" i="41"/>
  <c r="K127" i="41"/>
  <c r="K133" i="41"/>
  <c r="K107" i="41"/>
  <c r="K96" i="41"/>
  <c r="K59" i="41"/>
  <c r="K112" i="41"/>
  <c r="K108" i="41"/>
  <c r="K113" i="41"/>
  <c r="K114" i="41"/>
  <c r="K109" i="41"/>
  <c r="K148" i="41" l="1"/>
  <c r="C50" i="24" l="1"/>
  <c r="C39" i="16"/>
  <c r="D18" i="14" l="1"/>
  <c r="D17" i="14"/>
  <c r="E10" i="13"/>
  <c r="J65" i="37"/>
  <c r="J66" i="37"/>
  <c r="J67" i="37"/>
  <c r="J68" i="37"/>
  <c r="J69" i="37"/>
  <c r="J70" i="37"/>
  <c r="J71" i="37"/>
  <c r="J72" i="37"/>
  <c r="J73" i="37"/>
  <c r="J74" i="37"/>
  <c r="J75" i="37"/>
  <c r="J76" i="37"/>
  <c r="J77" i="37"/>
  <c r="J78" i="37"/>
  <c r="J79" i="37"/>
  <c r="J80" i="37"/>
  <c r="J81" i="37"/>
  <c r="J82" i="37"/>
  <c r="J83" i="37"/>
  <c r="J84" i="37"/>
  <c r="J85" i="37"/>
  <c r="J86" i="37"/>
  <c r="J87" i="37"/>
  <c r="J88" i="37"/>
  <c r="J64"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54" i="37"/>
  <c r="J55" i="37"/>
  <c r="J56" i="37"/>
  <c r="J57" i="37"/>
  <c r="J20" i="37"/>
  <c r="D45" i="2" l="1"/>
  <c r="D34" i="2"/>
  <c r="D12" i="2"/>
  <c r="G12" i="2" s="1"/>
  <c r="D101" i="2"/>
  <c r="D97" i="2" l="1"/>
  <c r="D94" i="2"/>
  <c r="D39" i="2"/>
  <c r="I14" i="2" l="1"/>
  <c r="B54" i="39"/>
  <c r="D43" i="2"/>
  <c r="D86" i="2" s="1"/>
  <c r="D92" i="2"/>
  <c r="D109" i="2" l="1"/>
  <c r="D113" i="2" s="1"/>
  <c r="B57" i="39" s="1"/>
  <c r="G74" i="1"/>
  <c r="F8" i="22" s="1"/>
  <c r="F9" i="22"/>
  <c r="F12" i="22" s="1"/>
  <c r="G50" i="1"/>
  <c r="G60" i="1" s="1"/>
  <c r="D60" i="1"/>
  <c r="D26" i="21"/>
  <c r="C26" i="21"/>
  <c r="D11" i="28"/>
  <c r="D14" i="28"/>
  <c r="D15" i="28" s="1"/>
  <c r="D13" i="27"/>
  <c r="D12" i="27"/>
  <c r="D9" i="27"/>
  <c r="D8" i="27"/>
  <c r="D8" i="25"/>
  <c r="D7" i="25" s="1"/>
  <c r="D10" i="25"/>
  <c r="D9" i="25" s="1"/>
  <c r="E21" i="11"/>
  <c r="F21" i="11"/>
  <c r="H21" i="11"/>
  <c r="I21" i="11"/>
  <c r="J21" i="11"/>
  <c r="K21" i="11"/>
  <c r="L21" i="11"/>
  <c r="G65" i="1" l="1"/>
  <c r="F7" i="22"/>
  <c r="D7" i="22" s="1"/>
  <c r="G75" i="40"/>
  <c r="D70" i="40"/>
  <c r="D78" i="40" s="1"/>
  <c r="D14" i="27"/>
  <c r="D10" i="27"/>
  <c r="D15" i="27" s="1"/>
  <c r="D11" i="25"/>
  <c r="B86" i="40" l="1"/>
  <c r="D85" i="40"/>
  <c r="D86" i="40" s="1"/>
  <c r="C85" i="40"/>
  <c r="C86" i="40" s="1"/>
  <c r="G77" i="40"/>
  <c r="G76" i="40"/>
  <c r="E74" i="40"/>
  <c r="E73" i="40"/>
  <c r="F73" i="40" s="1"/>
  <c r="H9" i="40"/>
  <c r="H68" i="40" s="1"/>
  <c r="G74" i="40" l="1"/>
  <c r="F74" i="40"/>
  <c r="E70" i="40"/>
  <c r="E78" i="40" s="1"/>
  <c r="G72" i="40"/>
  <c r="G73" i="40"/>
  <c r="F70" i="40" l="1"/>
  <c r="F78" i="40" s="1"/>
  <c r="K8" i="35"/>
  <c r="G15" i="22"/>
  <c r="F25" i="16"/>
  <c r="C14" i="16"/>
  <c r="F16" i="13"/>
  <c r="D16" i="28"/>
  <c r="D16" i="27"/>
  <c r="D13" i="25"/>
  <c r="G20" i="24"/>
  <c r="D19" i="24"/>
  <c r="D18" i="24"/>
  <c r="D17" i="24"/>
  <c r="D16" i="24"/>
  <c r="D15" i="24"/>
  <c r="G14" i="24" s="1"/>
  <c r="D14" i="24"/>
  <c r="D13" i="24"/>
  <c r="D12" i="24"/>
  <c r="D11" i="24"/>
  <c r="D10" i="24"/>
  <c r="D9" i="24"/>
  <c r="G9" i="24" s="1"/>
  <c r="C10" i="24"/>
  <c r="C14" i="24"/>
  <c r="C15" i="24"/>
  <c r="F14" i="24" s="1"/>
  <c r="C16" i="24"/>
  <c r="C17" i="24"/>
  <c r="C18" i="24"/>
  <c r="C19" i="24"/>
  <c r="C20" i="24"/>
  <c r="F20" i="24" s="1"/>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D16" i="23"/>
  <c r="D8" i="23"/>
  <c r="D8" i="24" s="1"/>
  <c r="D6" i="25" s="1"/>
  <c r="D6" i="27" s="1"/>
  <c r="D7" i="28" s="1"/>
  <c r="B15" i="23"/>
  <c r="F6" i="22"/>
  <c r="F22" i="16"/>
  <c r="F24" i="16" s="1"/>
  <c r="C13" i="16"/>
  <c r="D27" i="9"/>
  <c r="C8" i="33"/>
  <c r="G7" i="33"/>
  <c r="G5" i="33"/>
  <c r="F64" i="37"/>
  <c r="H8" i="1"/>
  <c r="G8" i="1"/>
  <c r="C10" i="35"/>
  <c r="D50" i="39"/>
  <c r="F40" i="39"/>
  <c r="G40" i="39" s="1"/>
  <c r="F52" i="39"/>
  <c r="M52" i="39" s="1"/>
  <c r="F44" i="39"/>
  <c r="G44" i="39" s="1"/>
  <c r="B34" i="39"/>
  <c r="F34" i="39" s="1"/>
  <c r="B33" i="39"/>
  <c r="F33" i="39" s="1"/>
  <c r="I56" i="39"/>
  <c r="B63" i="39" s="1"/>
  <c r="F49" i="39"/>
  <c r="L49" i="39" s="1"/>
  <c r="F46" i="39"/>
  <c r="L46" i="39" s="1"/>
  <c r="F43" i="39"/>
  <c r="M43" i="39" s="1"/>
  <c r="B74" i="39" s="1"/>
  <c r="D39" i="34" s="1"/>
  <c r="F42" i="39"/>
  <c r="M42" i="39" s="1"/>
  <c r="F36" i="39"/>
  <c r="F32" i="39"/>
  <c r="F29" i="39"/>
  <c r="L29" i="39" s="1"/>
  <c r="F27" i="39"/>
  <c r="N27" i="39" s="1"/>
  <c r="B83" i="39" s="1"/>
  <c r="D47" i="34" s="1"/>
  <c r="Q26" i="39"/>
  <c r="P26" i="39"/>
  <c r="R25" i="39"/>
  <c r="C25" i="39"/>
  <c r="R24" i="39"/>
  <c r="R23" i="39"/>
  <c r="R22" i="39"/>
  <c r="R21" i="39"/>
  <c r="D16" i="39"/>
  <c r="F14" i="39"/>
  <c r="F28" i="39"/>
  <c r="J28" i="39" s="1"/>
  <c r="D51" i="39"/>
  <c r="C21" i="39" s="1"/>
  <c r="F41" i="39"/>
  <c r="H41" i="39" s="1"/>
  <c r="H56" i="39" s="1"/>
  <c r="B62" i="39" s="1"/>
  <c r="D13" i="34" s="1"/>
  <c r="C12" i="27"/>
  <c r="C12" i="24"/>
  <c r="C10" i="25"/>
  <c r="C9" i="25" s="1"/>
  <c r="C8" i="25"/>
  <c r="C7" i="25" s="1"/>
  <c r="C13" i="27"/>
  <c r="C11" i="24"/>
  <c r="B25" i="39"/>
  <c r="B20" i="39"/>
  <c r="F20" i="39" s="1"/>
  <c r="B31" i="39"/>
  <c r="F31" i="39" s="1"/>
  <c r="N31" i="39" s="1"/>
  <c r="C26" i="35"/>
  <c r="D8" i="22"/>
  <c r="E14" i="33"/>
  <c r="E15" i="33"/>
  <c r="D23" i="23"/>
  <c r="C35" i="16"/>
  <c r="E12" i="13"/>
  <c r="C12" i="13"/>
  <c r="C35" i="9"/>
  <c r="B36" i="9"/>
  <c r="B35" i="9"/>
  <c r="D74" i="7"/>
  <c r="D14" i="37"/>
  <c r="H14" i="37"/>
  <c r="E97" i="37"/>
  <c r="D93" i="37"/>
  <c r="G60" i="37"/>
  <c r="C11" i="28"/>
  <c r="C16" i="28" s="1"/>
  <c r="F11" i="13"/>
  <c r="D21" i="34"/>
  <c r="C9" i="27"/>
  <c r="C8" i="27"/>
  <c r="C10" i="23"/>
  <c r="D12" i="13"/>
  <c r="F20" i="37"/>
  <c r="F21" i="37" s="1"/>
  <c r="E21" i="37" s="1"/>
  <c r="G26" i="35"/>
  <c r="F26" i="35"/>
  <c r="I10" i="35"/>
  <c r="H10" i="35"/>
  <c r="F10" i="35"/>
  <c r="G10" i="35"/>
  <c r="E10" i="35"/>
  <c r="D26" i="35"/>
  <c r="D24" i="35" s="1"/>
  <c r="D10" i="35"/>
  <c r="D48" i="39"/>
  <c r="F48" i="39" s="1"/>
  <c r="L48" i="39" s="1"/>
  <c r="C9" i="24"/>
  <c r="F9" i="24" s="1"/>
  <c r="B30" i="39"/>
  <c r="C13" i="24"/>
  <c r="D15" i="9"/>
  <c r="D17" i="9" s="1"/>
  <c r="C27" i="9"/>
  <c r="B28" i="9"/>
  <c r="B45" i="9" s="1"/>
  <c r="B13" i="13"/>
  <c r="J60" i="37"/>
  <c r="F60" i="37"/>
  <c r="C20" i="23"/>
  <c r="F93" i="37"/>
  <c r="B27" i="9"/>
  <c r="B12" i="13" s="1"/>
  <c r="C44" i="9"/>
  <c r="E11" i="22"/>
  <c r="D95" i="37"/>
  <c r="D97" i="37" s="1"/>
  <c r="D96" i="37"/>
  <c r="D98" i="37" s="1"/>
  <c r="F8" i="15"/>
  <c r="F9" i="15"/>
  <c r="F10" i="15"/>
  <c r="F11" i="15"/>
  <c r="C12" i="15"/>
  <c r="F12" i="15" s="1"/>
  <c r="E12" i="15"/>
  <c r="D12" i="15"/>
  <c r="F7" i="15"/>
  <c r="B44" i="9"/>
  <c r="F10" i="39"/>
  <c r="L10" i="39" s="1"/>
  <c r="D59" i="9" l="1"/>
  <c r="D60" i="9" s="1"/>
  <c r="F16" i="35"/>
  <c r="I24" i="35"/>
  <c r="J10" i="35"/>
  <c r="D53" i="39"/>
  <c r="F47" i="39"/>
  <c r="L47" i="39" s="1"/>
  <c r="C8" i="7"/>
  <c r="C66" i="7" s="1"/>
  <c r="B7" i="39"/>
  <c r="D8" i="34"/>
  <c r="D29" i="9"/>
  <c r="D10" i="2"/>
  <c r="J8" i="35" s="1"/>
  <c r="R26" i="39"/>
  <c r="C20" i="35"/>
  <c r="J20" i="35" s="1"/>
  <c r="F65" i="37"/>
  <c r="F51" i="39"/>
  <c r="N51" i="39" s="1"/>
  <c r="C16" i="23"/>
  <c r="C23" i="23"/>
  <c r="C25" i="23" s="1"/>
  <c r="E14" i="35"/>
  <c r="F30" i="39"/>
  <c r="N30" i="39" s="1"/>
  <c r="B84" i="39" s="1"/>
  <c r="D45" i="34" s="1"/>
  <c r="C59" i="9"/>
  <c r="F22" i="37"/>
  <c r="G20" i="37"/>
  <c r="E99" i="37"/>
  <c r="E101" i="37" s="1"/>
  <c r="C10" i="27"/>
  <c r="F50" i="39"/>
  <c r="L50" i="39" s="1"/>
  <c r="C14" i="27"/>
  <c r="C11" i="25"/>
  <c r="C13" i="25" s="1"/>
  <c r="D29" i="35"/>
  <c r="D31" i="35" s="1"/>
  <c r="F25" i="39"/>
  <c r="G25" i="39" s="1"/>
  <c r="G24" i="35"/>
  <c r="G16" i="35" s="1"/>
  <c r="J16" i="35" s="1"/>
  <c r="F29" i="35"/>
  <c r="F31" i="35" s="1"/>
  <c r="F45" i="39"/>
  <c r="K45" i="39" s="1"/>
  <c r="K56" i="39" s="1"/>
  <c r="B64" i="39" s="1"/>
  <c r="D12" i="34" s="1"/>
  <c r="C31" i="35"/>
  <c r="D19" i="23"/>
  <c r="C8" i="23"/>
  <c r="F12" i="13"/>
  <c r="M26" i="11"/>
  <c r="B13" i="15"/>
  <c r="B33" i="17" s="1"/>
  <c r="B18" i="14"/>
  <c r="B17" i="14"/>
  <c r="B12" i="15" s="1"/>
  <c r="B32" i="17" s="1"/>
  <c r="D8" i="14"/>
  <c r="F53" i="39" l="1"/>
  <c r="L53" i="39" s="1"/>
  <c r="C11" i="39"/>
  <c r="F11" i="39" s="1"/>
  <c r="J11" i="39" s="1"/>
  <c r="J56" i="39" s="1"/>
  <c r="B66" i="39" s="1"/>
  <c r="D27" i="34" s="1"/>
  <c r="D54" i="39"/>
  <c r="E29" i="35"/>
  <c r="E31" i="35" s="1"/>
  <c r="J14" i="35"/>
  <c r="F66" i="37"/>
  <c r="F67" i="37"/>
  <c r="F23" i="37"/>
  <c r="C15" i="27"/>
  <c r="C16" i="27" s="1"/>
  <c r="G29" i="35"/>
  <c r="G31" i="35" s="1"/>
  <c r="C19" i="23"/>
  <c r="C8" i="24"/>
  <c r="C6" i="25" s="1"/>
  <c r="C6" i="27" s="1"/>
  <c r="C7" i="28" s="1"/>
  <c r="B44" i="17"/>
  <c r="B18" i="18"/>
  <c r="B12" i="16" s="1"/>
  <c r="B17" i="18"/>
  <c r="B11" i="16" s="1"/>
  <c r="B43" i="17"/>
  <c r="D56" i="39" l="1"/>
  <c r="C37" i="39"/>
  <c r="F54" i="39"/>
  <c r="L54" i="39" s="1"/>
  <c r="B22" i="16"/>
  <c r="B35" i="16" s="1"/>
  <c r="B45" i="16" s="1"/>
  <c r="B23" i="42"/>
  <c r="C56" i="39"/>
  <c r="F68" i="37"/>
  <c r="G23" i="37"/>
  <c r="F24" i="37"/>
  <c r="B23" i="16"/>
  <c r="B36" i="16" s="1"/>
  <c r="B46" i="16" s="1"/>
  <c r="B12" i="22" l="1"/>
  <c r="B26" i="21"/>
  <c r="D57" i="39"/>
  <c r="F69" i="37"/>
  <c r="G68" i="37"/>
  <c r="F25" i="37"/>
  <c r="F70" i="37" l="1"/>
  <c r="F26" i="37"/>
  <c r="G25" i="37"/>
  <c r="F71" i="37" l="1"/>
  <c r="F27" i="37"/>
  <c r="G26" i="37"/>
  <c r="F72" i="37" l="1"/>
  <c r="E71" i="37"/>
  <c r="F74" i="37"/>
  <c r="F28" i="37"/>
  <c r="E28" i="37" s="1"/>
  <c r="G27" i="37"/>
  <c r="F73" i="37" l="1"/>
  <c r="E72" i="37"/>
  <c r="F75" i="37"/>
  <c r="G74" i="37"/>
  <c r="F29" i="37"/>
  <c r="F76" i="37" l="1"/>
  <c r="G75" i="37"/>
  <c r="F30" i="37"/>
  <c r="G29" i="37"/>
  <c r="F77" i="37" l="1"/>
  <c r="G76" i="37"/>
  <c r="F31" i="37"/>
  <c r="G30" i="37"/>
  <c r="G77" i="37" l="1"/>
  <c r="F78" i="37"/>
  <c r="F32" i="37"/>
  <c r="G31" i="37"/>
  <c r="F79" i="37" l="1"/>
  <c r="G78" i="37"/>
  <c r="F33" i="37"/>
  <c r="F80" i="37" l="1"/>
  <c r="G79" i="37"/>
  <c r="F34" i="37"/>
  <c r="G33" i="37"/>
  <c r="F81" i="37" l="1"/>
  <c r="G80" i="37"/>
  <c r="F35" i="37"/>
  <c r="E35" i="37" s="1"/>
  <c r="G34" i="37"/>
  <c r="G81" i="37" l="1"/>
  <c r="F82" i="37"/>
  <c r="F36" i="37"/>
  <c r="G82" i="37" l="1"/>
  <c r="F83" i="37"/>
  <c r="G36" i="37"/>
  <c r="F37" i="37"/>
  <c r="F84" i="37" l="1"/>
  <c r="G83" i="37"/>
  <c r="F38" i="37"/>
  <c r="F85" i="37" l="1"/>
  <c r="G84" i="37"/>
  <c r="F39" i="37"/>
  <c r="G85" i="37" l="1"/>
  <c r="F86" i="37"/>
  <c r="F40" i="37"/>
  <c r="G39" i="37"/>
  <c r="F87" i="37" l="1"/>
  <c r="G86" i="37"/>
  <c r="G40" i="37"/>
  <c r="F41" i="37"/>
  <c r="G87" i="37" l="1"/>
  <c r="F88" i="37"/>
  <c r="E88" i="37" s="1"/>
  <c r="F42" i="37"/>
  <c r="G41" i="37"/>
  <c r="G42" i="37" l="1"/>
  <c r="F43" i="37"/>
  <c r="F44" i="37" l="1"/>
  <c r="G43" i="37"/>
  <c r="F45" i="37" l="1"/>
  <c r="G44" i="37"/>
  <c r="F46" i="37" l="1"/>
  <c r="G45" i="37"/>
  <c r="G46" i="37" l="1"/>
  <c r="F47" i="37"/>
  <c r="G47" i="37" l="1"/>
  <c r="F48" i="37"/>
  <c r="G48" i="37" l="1"/>
  <c r="F49" i="37"/>
  <c r="G49" i="37" l="1"/>
  <c r="F50" i="37"/>
  <c r="F51" i="37" l="1"/>
  <c r="G50" i="37"/>
  <c r="F52" i="37" l="1"/>
  <c r="G51" i="37"/>
  <c r="F53" i="37" l="1"/>
  <c r="G52" i="37"/>
  <c r="G53" i="37" l="1"/>
  <c r="F54" i="37"/>
  <c r="G54" i="37" l="1"/>
  <c r="F55" i="37"/>
  <c r="F56" i="37" l="1"/>
  <c r="G55" i="37"/>
  <c r="G56" i="37" l="1"/>
  <c r="F57" i="37"/>
  <c r="G57" i="37" s="1"/>
  <c r="G22" i="37"/>
  <c r="C29" i="9" l="1"/>
  <c r="C37" i="9"/>
  <c r="C46" i="9"/>
  <c r="E32" i="37"/>
  <c r="E38" i="37"/>
  <c r="B18" i="39"/>
  <c r="F18" i="39" s="1"/>
  <c r="E70" i="37"/>
  <c r="G31" i="1"/>
  <c r="C38" i="16" s="1"/>
  <c r="D38" i="1" l="1"/>
  <c r="B21" i="39" s="1"/>
  <c r="F21" i="39" s="1"/>
  <c r="M21" i="39" s="1"/>
  <c r="E24" i="37"/>
  <c r="B37" i="39"/>
  <c r="F37" i="39" s="1"/>
  <c r="D11" i="22"/>
  <c r="D12" i="22" s="1"/>
  <c r="F11" i="22"/>
  <c r="D115" i="2"/>
  <c r="I26" i="35"/>
  <c r="I25" i="35" s="1"/>
  <c r="J25" i="35" s="1"/>
  <c r="G22" i="1"/>
  <c r="D47" i="17" s="1"/>
  <c r="D22" i="1"/>
  <c r="B15" i="39" s="1"/>
  <c r="F15" i="39" s="1"/>
  <c r="M15" i="39" s="1"/>
  <c r="B72" i="39" s="1"/>
  <c r="D50" i="1"/>
  <c r="B26" i="39"/>
  <c r="F26" i="39" s="1"/>
  <c r="L26" i="39" s="1"/>
  <c r="C20" i="18"/>
  <c r="H26" i="35"/>
  <c r="B35" i="39"/>
  <c r="F35" i="39" s="1"/>
  <c r="F10" i="22"/>
  <c r="E12" i="22" s="1"/>
  <c r="D72" i="1"/>
  <c r="B12" i="39"/>
  <c r="F12" i="39" s="1"/>
  <c r="G12" i="39" s="1"/>
  <c r="G56" i="39" s="1"/>
  <c r="D31" i="1"/>
  <c r="B13" i="39" l="1"/>
  <c r="F13" i="39" s="1"/>
  <c r="L13" i="39" s="1"/>
  <c r="L56" i="39" s="1"/>
  <c r="B65" i="39" s="1"/>
  <c r="D23" i="34" s="1"/>
  <c r="F15" i="13"/>
  <c r="B16" i="39"/>
  <c r="F16" i="39" s="1"/>
  <c r="M16" i="39" s="1"/>
  <c r="B70" i="39" s="1"/>
  <c r="H24" i="35"/>
  <c r="J24" i="35" s="1"/>
  <c r="J26" i="35"/>
  <c r="C60" i="9"/>
  <c r="D37" i="34"/>
  <c r="D64" i="1"/>
  <c r="B17" i="39"/>
  <c r="F17" i="39" s="1"/>
  <c r="M17" i="39" s="1"/>
  <c r="C74" i="7"/>
  <c r="B9" i="39"/>
  <c r="D39" i="1"/>
  <c r="I29" i="35"/>
  <c r="I31" i="35" s="1"/>
  <c r="F15" i="22"/>
  <c r="G38" i="1"/>
  <c r="C48" i="16" s="1"/>
  <c r="B61" i="39"/>
  <c r="D20" i="14"/>
  <c r="B19" i="39"/>
  <c r="F19" i="39" s="1"/>
  <c r="M19" i="39" s="1"/>
  <c r="B24" i="39"/>
  <c r="B71" i="39" l="1"/>
  <c r="C78" i="39" s="1"/>
  <c r="D79" i="1"/>
  <c r="D80" i="1" s="1"/>
  <c r="D33" i="34"/>
  <c r="M56" i="39"/>
  <c r="G39" i="1"/>
  <c r="D36" i="34"/>
  <c r="D90" i="39"/>
  <c r="F9" i="39"/>
  <c r="O9" i="39" s="1"/>
  <c r="B22" i="39"/>
  <c r="K29" i="35"/>
  <c r="J32" i="35"/>
  <c r="D11" i="34"/>
  <c r="D16" i="34" s="1"/>
  <c r="D25" i="34" s="1"/>
  <c r="C68" i="39"/>
  <c r="B38" i="39"/>
  <c r="F24" i="39"/>
  <c r="N24" i="39" s="1"/>
  <c r="H29" i="35"/>
  <c r="H31" i="35" s="1"/>
  <c r="J29" i="35"/>
  <c r="J31" i="35" s="1"/>
  <c r="G61" i="1" l="1"/>
  <c r="G80" i="1" s="1"/>
  <c r="D83" i="1" s="1"/>
  <c r="D29" i="34"/>
  <c r="B39" i="39"/>
  <c r="B82" i="39"/>
  <c r="N56" i="39"/>
  <c r="D41" i="34"/>
  <c r="B23" i="39"/>
  <c r="F23" i="39" s="1"/>
  <c r="F56" i="39" s="1"/>
  <c r="D78" i="39"/>
  <c r="O56" i="39" l="1"/>
  <c r="O57" i="39" s="1"/>
  <c r="D46" i="34"/>
  <c r="D50" i="34" s="1"/>
  <c r="D54" i="34" s="1"/>
  <c r="D56" i="34" s="1"/>
  <c r="C86" i="39"/>
  <c r="C88" i="39" s="1"/>
  <c r="C90" i="39" s="1"/>
  <c r="E90" i="39" s="1"/>
  <c r="D88" i="39" l="1"/>
  <c r="D59" i="34"/>
  <c r="D58" i="34"/>
  <c r="E88" i="39"/>
  <c r="E73" i="37"/>
  <c r="E66" i="37"/>
  <c r="E67" i="37"/>
  <c r="M13" i="11" l="1"/>
  <c r="M14" i="11" l="1"/>
  <c r="G19" i="11"/>
  <c r="M19" i="11" s="1"/>
  <c r="G20" i="11"/>
  <c r="M20" i="11" s="1"/>
  <c r="D21" i="11"/>
  <c r="M21" i="11" l="1"/>
  <c r="M25" i="11" s="1"/>
  <c r="G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5" authorId="0" shapeId="0" xr:uid="{00000000-0006-0000-06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La Casa de Bolsa brinda servicios de INTERMEDIACION 
</t>
        </r>
        <r>
          <rPr>
            <sz val="10"/>
            <color rgb="FF000000"/>
            <rFont val="Tahoma"/>
            <family val="2"/>
          </rPr>
          <t xml:space="preserve">Por ello los ingresos netos:
</t>
        </r>
        <r>
          <rPr>
            <sz val="10"/>
            <color rgb="FF000000"/>
            <rFont val="Tahoma"/>
            <family val="2"/>
          </rPr>
          <t xml:space="preserve">Importe reciibido de clientes mas Ingresos por intermediacion  menos pagos de clientes, costos de servicios
</t>
        </r>
      </text>
    </comment>
    <comment ref="E7" authorId="0" shapeId="0" xr:uid="{00000000-0006-0000-0600-000002000000}">
      <text>
        <r>
          <rPr>
            <b/>
            <sz val="10"/>
            <color rgb="FF000000"/>
            <rFont val="Tahoma"/>
            <family val="2"/>
          </rPr>
          <t>Microsoft Office User:</t>
        </r>
        <r>
          <rPr>
            <sz val="10"/>
            <color rgb="FF000000"/>
            <rFont val="Tahoma"/>
            <family val="2"/>
          </rPr>
          <t xml:space="preserve">
</t>
        </r>
        <r>
          <rPr>
            <sz val="10"/>
            <color rgb="FF000000"/>
            <rFont val="Tahoma"/>
            <family val="2"/>
          </rPr>
          <t>Fijate siempre que los Datos correspondan al AÑO ANTERIOR....sumas globales u particulares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tc={EACBCB32-E259-4B42-BD51-69056D5CDC0B}</author>
  </authors>
  <commentList>
    <comment ref="G5" authorId="0" shapeId="0" xr:uid="{EACBCB32-E259-4B42-BD51-69056D5CDC0B}">
      <text>
        <t>[Comentario encadenado]
Tu versión de Excel te permite leer este comentario encadenado; sin embargo, las ediciones que se apliquen se quitarán si el archivo se abre en una versión más reciente de Excel. Más información: https://go.microsoft.com/fwlink/?linkid=870924
Comentario:
    Aca se registran los SALDO DEL BALANCE GENERAL, A COBRAR Y PAGAR.
Empresas y personas vinculadas</t>
      </text>
    </comment>
  </commentList>
</comments>
</file>

<file path=xl/sharedStrings.xml><?xml version="1.0" encoding="utf-8"?>
<sst xmlns="http://schemas.openxmlformats.org/spreadsheetml/2006/main" count="1889" uniqueCount="1056">
  <si>
    <t>INVESTOR CASA DE BOLSA S.A.</t>
  </si>
  <si>
    <t>Fecha Presentación:</t>
  </si>
  <si>
    <t>INDICE</t>
  </si>
  <si>
    <t>REF.</t>
  </si>
  <si>
    <t>Balance General</t>
  </si>
  <si>
    <t>Cuadro de Resultados</t>
  </si>
  <si>
    <t>Flujo de Efectivo</t>
  </si>
  <si>
    <t>Calculo de IRACIS</t>
  </si>
  <si>
    <t>Balance del Sistema</t>
  </si>
  <si>
    <t>Informe del Sindico</t>
  </si>
  <si>
    <t>Informe del Auditor Externo</t>
  </si>
  <si>
    <t>Memoria del Directorio</t>
  </si>
  <si>
    <t>Nota 1- Consideraciones de EEFF</t>
  </si>
  <si>
    <t>e. Inversiones</t>
  </si>
  <si>
    <t>i. Bienes Intangibles</t>
  </si>
  <si>
    <t>j. Otros Activos</t>
  </si>
  <si>
    <t>n. Administración de Carteras</t>
  </si>
  <si>
    <t>s. Resultados con Relacionadas</t>
  </si>
  <si>
    <t>u. Previsiones</t>
  </si>
  <si>
    <t>x. Otros Ingresos y Egresos</t>
  </si>
  <si>
    <t>y. Resultados Financieros</t>
  </si>
  <si>
    <t>z. Resultados Extraordinarios</t>
  </si>
  <si>
    <t>Nota 6- Información Referente a Contingencias</t>
  </si>
  <si>
    <t>a.Compromisios Directos</t>
  </si>
  <si>
    <t>Nota 7- Hechos posteriores</t>
  </si>
  <si>
    <t>Nota 8- Limitaciones a libre disponibilidad</t>
  </si>
  <si>
    <t>Nota 9- Cambios Contables</t>
  </si>
  <si>
    <t>Nota 10- Restricciones para Distribuir Utilidades</t>
  </si>
  <si>
    <t>Nota 11- Sanciones</t>
  </si>
  <si>
    <t>1 01</t>
  </si>
  <si>
    <t>1 01 01</t>
  </si>
  <si>
    <t xml:space="preserve"> (Expresado en Guaraníes)</t>
  </si>
  <si>
    <t>ACTIVO</t>
  </si>
  <si>
    <t>PASIVO</t>
  </si>
  <si>
    <t>1 01 01 01</t>
  </si>
  <si>
    <t>ACTIVO CORRIENTE Nota 5 a</t>
  </si>
  <si>
    <t>PASIVO CORRIENTE</t>
  </si>
  <si>
    <t>1 01 01 03</t>
  </si>
  <si>
    <t>DISPONIBILIDADES Nota 5 d</t>
  </si>
  <si>
    <t>Caja</t>
  </si>
  <si>
    <t>Recaudaciones a Depositar</t>
  </si>
  <si>
    <t>Acreedores Varios  - Nota 5 l</t>
  </si>
  <si>
    <t>Bancos</t>
  </si>
  <si>
    <t>Obligaciones por Administracion de Carteras</t>
  </si>
  <si>
    <t>1 01 03</t>
  </si>
  <si>
    <t>PRESTAMOS FINANCIEROS - Nota 5 k</t>
  </si>
  <si>
    <t>1 01 03 01</t>
  </si>
  <si>
    <t>Titulos de Renta Variable</t>
  </si>
  <si>
    <t>Sobregiros en cuenta corriente</t>
  </si>
  <si>
    <t>Titulos de Renta Fija</t>
  </si>
  <si>
    <t>Documentos a pagar</t>
  </si>
  <si>
    <t>Menos: Prevision por disminución de valor</t>
  </si>
  <si>
    <t>Intereses a Devengar</t>
  </si>
  <si>
    <t>CREDITOS Nota 5 f</t>
  </si>
  <si>
    <t>PROVISIONES</t>
  </si>
  <si>
    <t>Deudores por Intermediacion</t>
  </si>
  <si>
    <t>Impuesto a la Renta a pagar</t>
  </si>
  <si>
    <t>Documentos y  Cuentas a Cobrar</t>
  </si>
  <si>
    <t>IVA a Pagar</t>
  </si>
  <si>
    <t>Deudores Varios</t>
  </si>
  <si>
    <t>Retenciones de Impuestos</t>
  </si>
  <si>
    <t>Menos: Prevision por Incobrables</t>
  </si>
  <si>
    <t>Aportes y Retenciones a Pagar</t>
  </si>
  <si>
    <t>Cuentas por Cobrar a Personas y Emp. Relacionadas</t>
  </si>
  <si>
    <t>Provisiones Varias</t>
  </si>
  <si>
    <t>1 01 03 11</t>
  </si>
  <si>
    <t>Menos: Prevision por Incobrables a Personas y Emp Relacionadas</t>
  </si>
  <si>
    <t>1 01 03 13</t>
  </si>
  <si>
    <t>Derechos sobre titulos por Contratos de Underwiting</t>
  </si>
  <si>
    <t>1 01 03 14</t>
  </si>
  <si>
    <t>OTROS ACTIVOS</t>
  </si>
  <si>
    <t>OTROS PASIVOS</t>
  </si>
  <si>
    <t>1 01 15</t>
  </si>
  <si>
    <t>1 01 15 02</t>
  </si>
  <si>
    <t>1 01 15 03</t>
  </si>
  <si>
    <t>Dividendos a Pagar</t>
  </si>
  <si>
    <t>2 01 15 03</t>
  </si>
  <si>
    <t>Otros Pasivos Corrientes</t>
  </si>
  <si>
    <t>1 01 20</t>
  </si>
  <si>
    <t>Total Activo Corriente</t>
  </si>
  <si>
    <t>Total Pasivo Corriente</t>
  </si>
  <si>
    <t>1 01 20 01</t>
  </si>
  <si>
    <t>ACTIVO NO CORRIENTE</t>
  </si>
  <si>
    <t>PASIVOS NO CORRIENTE</t>
  </si>
  <si>
    <t>1 01 20 02</t>
  </si>
  <si>
    <t>INVERSIONES PERMANENTES Nota 5 e</t>
  </si>
  <si>
    <t>PRESTAMOS FINANCIEROS</t>
  </si>
  <si>
    <t>Préstamos en Bancos</t>
  </si>
  <si>
    <t>Titulo de Renta Fija</t>
  </si>
  <si>
    <t>Acciones en la Bolsa de Valores</t>
  </si>
  <si>
    <t>Otros Valores</t>
  </si>
  <si>
    <t>PREVISIONES</t>
  </si>
  <si>
    <t>1 02</t>
  </si>
  <si>
    <t xml:space="preserve">Instrumentos Financieros Cedidos </t>
  </si>
  <si>
    <t>1 02 01</t>
  </si>
  <si>
    <t>Prevision para Indeminzacion</t>
  </si>
  <si>
    <t>1 02 01 09</t>
  </si>
  <si>
    <t>Otras Contingencias</t>
  </si>
  <si>
    <t>CREDITOS</t>
  </si>
  <si>
    <t>Otros Pasivos No Corrientes</t>
  </si>
  <si>
    <t>1 02 02</t>
  </si>
  <si>
    <t>1 02 02 01</t>
  </si>
  <si>
    <t>Deudores por Gestion en Cobro</t>
  </si>
  <si>
    <t>Total  Pasivo no Corriente</t>
  </si>
  <si>
    <t>1 02 02 02</t>
  </si>
  <si>
    <t>Total Pasivo</t>
  </si>
  <si>
    <t>1 02 02 03</t>
  </si>
  <si>
    <t>PATRIMONIO NETO  Nota 5 t</t>
  </si>
  <si>
    <t>Capital realizado</t>
  </si>
  <si>
    <t>1 02 10</t>
  </si>
  <si>
    <t>BIENES DE USO Nota 5 g</t>
  </si>
  <si>
    <t>Reservas</t>
  </si>
  <si>
    <t>Bienes en operación</t>
  </si>
  <si>
    <t>Reserva Legal</t>
  </si>
  <si>
    <t>Depreciación acumulada</t>
  </si>
  <si>
    <t>Reserva de revalúo</t>
  </si>
  <si>
    <t>Utilidad por valuación BVPSA</t>
  </si>
  <si>
    <t>ACTIVOS INTANGIBLES  Nota 5 i</t>
  </si>
  <si>
    <t>Licencias</t>
  </si>
  <si>
    <t>Marcas</t>
  </si>
  <si>
    <t>Membresia BVPASA</t>
  </si>
  <si>
    <t>Sistemas Informaticos</t>
  </si>
  <si>
    <t>Resultados Acumulados</t>
  </si>
  <si>
    <t>Amortización Acumulada</t>
  </si>
  <si>
    <t>Resultado del Ejercicio</t>
  </si>
  <si>
    <t>1 02 10 01</t>
  </si>
  <si>
    <t>Total Patrimonio Neto</t>
  </si>
  <si>
    <t>1 02 10 02</t>
  </si>
  <si>
    <t>Total Pasivo y Patrimonio Neto</t>
  </si>
  <si>
    <t>1 02 20</t>
  </si>
  <si>
    <t>Gastos de Constitución</t>
  </si>
  <si>
    <t>1 02 20 01</t>
  </si>
  <si>
    <t>Seguros Pagados por Adelantado</t>
  </si>
  <si>
    <t>1 02 20 02</t>
  </si>
  <si>
    <t>1 02 20 03</t>
  </si>
  <si>
    <t>Total Activo no Corriente</t>
  </si>
  <si>
    <t>1 02 20 04</t>
  </si>
  <si>
    <t>Total de Activos</t>
  </si>
  <si>
    <t>1 02 30</t>
  </si>
  <si>
    <t>1 02 30 01</t>
  </si>
  <si>
    <t>1 02 30 02</t>
  </si>
  <si>
    <t>1 02 30 03</t>
  </si>
  <si>
    <t xml:space="preserve">2 01 </t>
  </si>
  <si>
    <t>2 01 01</t>
  </si>
  <si>
    <t>2 01 01 02</t>
  </si>
  <si>
    <t>2 01 01 04</t>
  </si>
  <si>
    <t>2 01 05</t>
  </si>
  <si>
    <t>2 01 05 01</t>
  </si>
  <si>
    <t>2 01 05 02</t>
  </si>
  <si>
    <t>2 01 05 04</t>
  </si>
  <si>
    <t>2 01 10</t>
  </si>
  <si>
    <t>2 01 10 01</t>
  </si>
  <si>
    <t>2 01 10 04</t>
  </si>
  <si>
    <t>2 01 10 05</t>
  </si>
  <si>
    <t>2 01 20</t>
  </si>
  <si>
    <t>2 01 20 04</t>
  </si>
  <si>
    <t>2 02</t>
  </si>
  <si>
    <t>2 02 01</t>
  </si>
  <si>
    <t>2 02 01 01</t>
  </si>
  <si>
    <t>2 02 01 02</t>
  </si>
  <si>
    <t>2 02 02</t>
  </si>
  <si>
    <t>2 02 02 01</t>
  </si>
  <si>
    <t>3 02 02 01</t>
  </si>
  <si>
    <t>2 03</t>
  </si>
  <si>
    <t>2 03 01</t>
  </si>
  <si>
    <t>2 03 01 03</t>
  </si>
  <si>
    <t>2 03 01 04</t>
  </si>
  <si>
    <t>2 03 02</t>
  </si>
  <si>
    <t>2 03 02 01</t>
  </si>
  <si>
    <t>2 03 02 03</t>
  </si>
  <si>
    <t>2 03 02 04</t>
  </si>
  <si>
    <t>2 03 02 05</t>
  </si>
  <si>
    <t>2 03 03</t>
  </si>
  <si>
    <t>2 03 03 01</t>
  </si>
  <si>
    <t>2 03 03 02</t>
  </si>
  <si>
    <t>ESTADO DE RESULTADOS</t>
  </si>
  <si>
    <t>(Expresado en guaraníes)</t>
  </si>
  <si>
    <t>Comisiones por Operaciones en Rueda</t>
  </si>
  <si>
    <t>Por intermediacion por Acciones en Rueda</t>
  </si>
  <si>
    <t>Por intermediacion de Renta Fija en Rueda</t>
  </si>
  <si>
    <t>Comisiones por Operaciones fuera de Rueda</t>
  </si>
  <si>
    <t>Por intermediacion por Acciones fuera de Rueda</t>
  </si>
  <si>
    <t>Por intermediacion de Renta Fija fuera de  Rueda</t>
  </si>
  <si>
    <t>Comisiones por Contratos de Colocaciones Primarias</t>
  </si>
  <si>
    <t>Comisiones por Contratos de Colocaciones Primarias de acciones</t>
  </si>
  <si>
    <t>Comisiones por Contratos de Colocaciones Primarias de renta fija</t>
  </si>
  <si>
    <t>Ingresos Por Asesoria Financiera</t>
  </si>
  <si>
    <t>Ingresos por Intereses y Dividendos de Cartera Propia</t>
  </si>
  <si>
    <t>Ingresos por Venta de Cartera Propia</t>
  </si>
  <si>
    <t>Ingresos por Venta de Cartera Propia a Personas y Empresas Relacionadas</t>
  </si>
  <si>
    <t>Ingresos por Operciones y Servicios a personas relacionadas</t>
  </si>
  <si>
    <t>Otros Ingresos Operativos</t>
  </si>
  <si>
    <t>Ganancia por Venta de Titulos - Bonos</t>
  </si>
  <si>
    <t>Gastos por Comisiones y Servicios</t>
  </si>
  <si>
    <t>Aranceles por negociación Bolsa de Valores</t>
  </si>
  <si>
    <t>Resultado Operativo Bruto</t>
  </si>
  <si>
    <t>Gastos de Comercialización</t>
  </si>
  <si>
    <t>Publicidad</t>
  </si>
  <si>
    <t>Folletos e impresiones</t>
  </si>
  <si>
    <t>Otros Gastos de Comercializacion</t>
  </si>
  <si>
    <t>Gastos de administración</t>
  </si>
  <si>
    <t>Aporte Patronal</t>
  </si>
  <si>
    <t>Resultado Operativo Neto</t>
  </si>
  <si>
    <t>Otros Ingresos</t>
  </si>
  <si>
    <t>Otros Egresos</t>
  </si>
  <si>
    <t>Generados por Activos</t>
  </si>
  <si>
    <t>Intereses cobrados</t>
  </si>
  <si>
    <t>Diferencia de Cambio</t>
  </si>
  <si>
    <t>Generados por Pasivos</t>
  </si>
  <si>
    <t>Intereses pagados</t>
  </si>
  <si>
    <t>Ganancias</t>
  </si>
  <si>
    <t>Pérdidas</t>
  </si>
  <si>
    <t>Ajuste de Resultados de Ejercicios Anteriores</t>
  </si>
  <si>
    <t>Ingresos</t>
  </si>
  <si>
    <t>Egresos</t>
  </si>
  <si>
    <t xml:space="preserve">Ganancias (o pérdidas) </t>
  </si>
  <si>
    <t>Impuesto a la Renta</t>
  </si>
  <si>
    <t>Ganancias (o pérdidas) netas a distribuir</t>
  </si>
  <si>
    <t>ESTADO DE FLUJO DE EFECTIVO</t>
  </si>
  <si>
    <t>Flujo de efectivo por las actividades operativas</t>
  </si>
  <si>
    <t>Importe en efectivo de comisiones y otros ingresos operativos</t>
  </si>
  <si>
    <t>Efectivo pagado a empleados</t>
  </si>
  <si>
    <t>Efectivo generado por otras actividades</t>
  </si>
  <si>
    <t xml:space="preserve">Total de efectivo de las actividades operativas antes de cambios en </t>
  </si>
  <si>
    <t>los activos de operaciones.</t>
  </si>
  <si>
    <t xml:space="preserve">(Aumento) disminución en los activos de operación </t>
  </si>
  <si>
    <t>Fondos colocados a corto plazo</t>
  </si>
  <si>
    <t>Aumento (disminución) en pasivos operativos</t>
  </si>
  <si>
    <t>Efectivo Neto de actividades de operación antes de impuestos</t>
  </si>
  <si>
    <t xml:space="preserve">Efectivo Neto de actividades de operación </t>
  </si>
  <si>
    <t>Flujo de efectivo por actividades de inversión</t>
  </si>
  <si>
    <t>Inversiones en otras empresas</t>
  </si>
  <si>
    <t>Inversiones Temporarias</t>
  </si>
  <si>
    <t>Fondos con destino especial</t>
  </si>
  <si>
    <t>Compra de propiedad, planta y equipo</t>
  </si>
  <si>
    <t>Adquisicion de acciones y titulos de deuda</t>
  </si>
  <si>
    <t>Intereses percibidos</t>
  </si>
  <si>
    <t>Dividendos percibidos</t>
  </si>
  <si>
    <t>Efectivo Neto por (o usado) en actividades de inversión</t>
  </si>
  <si>
    <t>Flujo de efectivo por actividades de financiamiento</t>
  </si>
  <si>
    <t>Aportes de capital</t>
  </si>
  <si>
    <t>Préstamos y Otras Deudas</t>
  </si>
  <si>
    <t>Dividendos pagados</t>
  </si>
  <si>
    <t>Efectivo neto en actividades financieras</t>
  </si>
  <si>
    <t>Efectos de las ganancias o pérdidas de cambio en el efectivo y sus equivalentes</t>
  </si>
  <si>
    <t xml:space="preserve">Aumento (o disminución) neto de efectivos y sus equivalentes </t>
  </si>
  <si>
    <t>Efectivo y su equivalente al comienzo del periodo</t>
  </si>
  <si>
    <t>Efectivo y su equivalente al cierre del periodo</t>
  </si>
  <si>
    <t>ESTADO DE VARIACION DEL PATRIMONIO NETO.</t>
  </si>
  <si>
    <t>CAPITAL</t>
  </si>
  <si>
    <t>RESERVAS</t>
  </si>
  <si>
    <t>RESULTADOS</t>
  </si>
  <si>
    <t>PATRIMONIO NETO</t>
  </si>
  <si>
    <t>CUENTAS</t>
  </si>
  <si>
    <t>AP. FUT. INTEGRAC.</t>
  </si>
  <si>
    <t>INTEGRADO</t>
  </si>
  <si>
    <t>LEGAL</t>
  </si>
  <si>
    <t>REVALÚO</t>
  </si>
  <si>
    <t>ACUMULADOS</t>
  </si>
  <si>
    <t>DEL EJERCICIO</t>
  </si>
  <si>
    <t>Saldo al inicio del ejercicio</t>
  </si>
  <si>
    <t>Mov. Subsecuentes</t>
  </si>
  <si>
    <t>Reserva Legal  y otros del Ejercicio</t>
  </si>
  <si>
    <t>-</t>
  </si>
  <si>
    <t>Revaluo del Ejercicio</t>
  </si>
  <si>
    <t>Aportes a Cta. Fut Capitalizaciones</t>
  </si>
  <si>
    <t>Retiros a Cta. De Utilidades</t>
  </si>
  <si>
    <t>Aporte Capital</t>
  </si>
  <si>
    <t xml:space="preserve">NOTA A LOS ESTADOS CONTABLES </t>
  </si>
  <si>
    <t>NOTA 1: CONSIDERACION DE LOS ESTADOS CONTABLES</t>
  </si>
  <si>
    <t>NOTA 2:  INFORMACIÓN BÁSICA DE LA EMPRESA</t>
  </si>
  <si>
    <t>Inscripta en la Comisión Nacional de Valores según Resolución 1275/10 de fecha 19 de mayo de 2010 y en la Bolsa de Valores y Productos de Asunción S.A. según resolución 915/10 de fecha 31 de mayo de 2010, bajo el número 021.</t>
  </si>
  <si>
    <t>La Sociedad tiene por objeto efectuar las siguientes operaciones:</t>
  </si>
  <si>
    <t>Prestar asesoría en materia de valores y operaciones de bolsa, así como brindar a sus clientes un sistema de información y procesamiento de datos;</t>
  </si>
  <si>
    <t>Suscribir transitoriamente, con recursos propios, parte o la totalidad de emisiones primaria de valores;</t>
  </si>
  <si>
    <t>Promover el lanzamiento de emisiones de valores públicos y privados y facilitar su colocación;</t>
  </si>
  <si>
    <t>Actuar como representante de los obligacionistas;</t>
  </si>
  <si>
    <t>Prestar servicios de administración de carteras y custodia de valores;</t>
  </si>
  <si>
    <t>Llevar el registro contable de valores de sus clientes con sujeción a lo establecido en la Ley del Mercado de Valores o en las reglamentaciones que dicte la Comisión Nacional de Valores al efecto;</t>
  </si>
  <si>
    <t>Otorgar créditos, con sus propios recursos, únicamente con el objeto de facilitar la adquisición de valores por sus comitentes, estén o no inscriptos en una bolsa de valores y con la garantía de tales valores;</t>
  </si>
  <si>
    <t>Recibir créditos de empresas del sistema financiero para la realización de las actividades que le son propias;</t>
  </si>
  <si>
    <t>Efectuar todas las operaciones y servicios que sean compatibles con la actividad de intermediación en el mercado de valores y que previamente y por las reglas de carácter general autorice la Comisión Nacional de Valores y la Bolsa de Valores que integra.</t>
  </si>
  <si>
    <t>NOTA 3: PRINCIPALES POLÍTICAS Y PRÁCTICAS CONTABLES APLICADAS</t>
  </si>
  <si>
    <t>3.1.  Base de preparación de los estados contables</t>
  </si>
  <si>
    <t>3.2. Criterios de valuación</t>
  </si>
  <si>
    <t>3.3. Previsión para cuentas incobrables</t>
  </si>
  <si>
    <t xml:space="preserve">La entidad no posee previsión para cuentas incobrables. </t>
  </si>
  <si>
    <t>Las depreciaciones se calculan por el método de línea recta, en base a la vida útil estimada del bien.</t>
  </si>
  <si>
    <t>3.5. Reconocimiento de ingresos y gastos</t>
  </si>
  <si>
    <t>Los ingresos y egresos son reconocidos de acuerdo al criterio contable de lo devengado. Bajo tal criterio los efectos de las transacciones y otros eventos son reconocidos cuando ocurren y no cuando el efectivo es recibido o pagado.</t>
  </si>
  <si>
    <t>3.6. Base de preparación del estado de flujos de efectivo</t>
  </si>
  <si>
    <t>La base de preparación del estado de flujo de efectivo es El Método Directo, con la clasificación de flujo de efectivo por actividades operativas, de inversión y de financiamiento.</t>
  </si>
  <si>
    <t>NOTA 4: CAMBIO DE POLITICA Y PROCEDIMIENTOS DE CONTABILIDAD</t>
  </si>
  <si>
    <t>La entidad no posee cambios de políticas y procedimientos contables en el trascurso del presente ejercicio.</t>
  </si>
  <si>
    <t>NOTA 5: CRITERIOS ESPECÍFICOS DE VALUACIÓN</t>
  </si>
  <si>
    <t>Tipos de Cambio</t>
  </si>
  <si>
    <t>Comprador</t>
  </si>
  <si>
    <t>Vendedor</t>
  </si>
  <si>
    <t>Activos y Pasivos en Moneda Extranjera</t>
  </si>
  <si>
    <t>DETALLE</t>
  </si>
  <si>
    <t>MONEDA EXTRANJERA CLASE</t>
  </si>
  <si>
    <t>MONEDA EXTRANJERA MONTO</t>
  </si>
  <si>
    <t>ACTIVO CORRIENTE</t>
  </si>
  <si>
    <t>DISPONIBILIDADES</t>
  </si>
  <si>
    <t>Dólares</t>
  </si>
  <si>
    <t>Creditos Fiscales</t>
  </si>
  <si>
    <t>Dividendos a Cobrar</t>
  </si>
  <si>
    <t>Otros Creditos</t>
  </si>
  <si>
    <t>Anticipo IRE</t>
  </si>
  <si>
    <t>ANTICIPOS</t>
  </si>
  <si>
    <t>Anticipo a Proveedores</t>
  </si>
  <si>
    <t>Anticipos Honorarios-Servicios</t>
  </si>
  <si>
    <t>Intereses a Vencer</t>
  </si>
  <si>
    <t>Seguros a Vencer</t>
  </si>
  <si>
    <t>Intereses a Cobrar</t>
  </si>
  <si>
    <t>INVERSIONES PERMANENTES</t>
  </si>
  <si>
    <t>Titulo de Renta Variables- Acciones</t>
  </si>
  <si>
    <t>Titulo de Renta Fija (Bonos+CDA)</t>
  </si>
  <si>
    <t>Acciones en la Bolsa de Valores y otras inversiones</t>
  </si>
  <si>
    <t>PROPIEDAD, PLANTA Y EQUIPO</t>
  </si>
  <si>
    <t>Bienes en Operación</t>
  </si>
  <si>
    <t>Depreciación Acumulada</t>
  </si>
  <si>
    <t>ACTIVOS INTANGIBLES</t>
  </si>
  <si>
    <t>Membresias</t>
  </si>
  <si>
    <t>Garantia de Alquiler</t>
  </si>
  <si>
    <t>CUENTAS A PAGAR</t>
  </si>
  <si>
    <t>Proveedores Varios</t>
  </si>
  <si>
    <t>Acreedores por intermediacion</t>
  </si>
  <si>
    <t>Anticipo de Clientes</t>
  </si>
  <si>
    <t>Documentos a Pagar</t>
  </si>
  <si>
    <t>Intereses a Pagar</t>
  </si>
  <si>
    <t>Impuesto a la Renta a Pagar</t>
  </si>
  <si>
    <t>Sueldos a Pagar</t>
  </si>
  <si>
    <t>Seguros a Pagar</t>
  </si>
  <si>
    <t>PASIVO NO CORRIENTE</t>
  </si>
  <si>
    <t>Ganancias a Devengar</t>
  </si>
  <si>
    <t>Cuentas a Pagar por Compra de Acciones</t>
  </si>
  <si>
    <t>CONCEPTO</t>
  </si>
  <si>
    <t>TIPO DE CAMBIO PERIODO ACTUAL</t>
  </si>
  <si>
    <t>MONTO AJUSTADO PERIODO ACTUAL</t>
  </si>
  <si>
    <t>TIPO DE CAMBIO PERIODO ANTERIOR</t>
  </si>
  <si>
    <t>MONTO AJUSTADO PERIODO ANTERIOR</t>
  </si>
  <si>
    <t>Ganancias por valuación de Activos en Moneda Extrajera</t>
  </si>
  <si>
    <t>Ganancias por valuación de Pasivos en Moneda Extrajera</t>
  </si>
  <si>
    <t>Pérdidas por valuación de Activos en Moneda Extranajera</t>
  </si>
  <si>
    <t>Pérdidas por valuación de Pasivos en Moneda Extranajera</t>
  </si>
  <si>
    <t>Efecto Neto</t>
  </si>
  <si>
    <t>Saldos de Cuentas</t>
  </si>
  <si>
    <t>Banco Familiar 22-02962092 Gs.</t>
  </si>
  <si>
    <t>Banco Familiar Comp. Usd</t>
  </si>
  <si>
    <t>Banco Gnb Gs 1-219468-002</t>
  </si>
  <si>
    <t>Banco Gnb Usd 1-219468-003</t>
  </si>
  <si>
    <t>Bancop Gs 0410022837</t>
  </si>
  <si>
    <t>Bancop Usd 0310024650</t>
  </si>
  <si>
    <t>Broker Interactive U$S</t>
  </si>
  <si>
    <t>Crisol Y Encarnacion Financiera (Cefisa) U$S</t>
  </si>
  <si>
    <t>Crisol Y Encarnacion Financiera (Cefisa)Gs</t>
  </si>
  <si>
    <t>Fic De Finanzas Gs. 0131000778</t>
  </si>
  <si>
    <t>Fic De Finanzas U$D 0131000849</t>
  </si>
  <si>
    <t>Financiera Rio 100165400-0</t>
  </si>
  <si>
    <t>Finexpar Gs 155000841</t>
  </si>
  <si>
    <t>Finexpar Usd 0192356</t>
  </si>
  <si>
    <t>Interfisa Banco Gs 874</t>
  </si>
  <si>
    <t>Interfisa Banco U$D 10208646</t>
  </si>
  <si>
    <t>Itau Cta. Cte. Gs 741</t>
  </si>
  <si>
    <t>Itau Cta. Cte. U$S -75080051-6</t>
  </si>
  <si>
    <t>Itau Cta.Cte. Gs Nº 734</t>
  </si>
  <si>
    <t>Itau Cta.Cte. U$S Nº 75080052-3</t>
  </si>
  <si>
    <t>Itau Internacional Usd 75080363-6</t>
  </si>
  <si>
    <t>Sudameris Cta. Cte. Gs 1862952</t>
  </si>
  <si>
    <t>Sudameris Cta.Cte.U$S-186295/2</t>
  </si>
  <si>
    <t>TOTAL DISPONIBILIDADES</t>
  </si>
  <si>
    <t/>
  </si>
  <si>
    <t xml:space="preserve">                INFORMACION SOBRE EL DOCUMENTO Y EL EMISOR</t>
  </si>
  <si>
    <t xml:space="preserve">TITULOS DE RENTA FIJA </t>
  </si>
  <si>
    <t>TIPO DE</t>
  </si>
  <si>
    <t>CANTIDAD DE</t>
  </si>
  <si>
    <t>VALOR</t>
  </si>
  <si>
    <t>RESULTADO</t>
  </si>
  <si>
    <t>P.NETO</t>
  </si>
  <si>
    <t>EMISOR</t>
  </si>
  <si>
    <t>TITULO</t>
  </si>
  <si>
    <t>TITULOS</t>
  </si>
  <si>
    <t>NOMINAL</t>
  </si>
  <si>
    <t>CONTABLE</t>
  </si>
  <si>
    <t>CDA</t>
  </si>
  <si>
    <t>CANTIDAD</t>
  </si>
  <si>
    <t>VALOR NOMINAL</t>
  </si>
  <si>
    <t>Inversiones Temporales</t>
  </si>
  <si>
    <t>Inversiones Permanentes</t>
  </si>
  <si>
    <t>DEUDORES POR INTERMEDIACION</t>
  </si>
  <si>
    <t>GUARANIES</t>
  </si>
  <si>
    <t>Corto Plazo Gs.</t>
  </si>
  <si>
    <t>Largo Plazo Gs.</t>
  </si>
  <si>
    <t xml:space="preserve"> </t>
  </si>
  <si>
    <t>DERECHO SOBRE TITULOS POR CONTRATOS DE UNDERWRITING</t>
  </si>
  <si>
    <t>INSTRUMENTO</t>
  </si>
  <si>
    <t>CANTIDAD DE  TITULOS</t>
  </si>
  <si>
    <t>FECHA DE</t>
  </si>
  <si>
    <t>VALOR DE SUSCRIPCIÓN</t>
  </si>
  <si>
    <t>UNITARIO</t>
  </si>
  <si>
    <t>VENCIMIENTO</t>
  </si>
  <si>
    <t>DEL CONTRATO</t>
  </si>
  <si>
    <t>NO APLICABLE</t>
  </si>
  <si>
    <t>Total actual G.</t>
  </si>
  <si>
    <t>Total anterior G.</t>
  </si>
  <si>
    <t>VALORES DE ORIGEN</t>
  </si>
  <si>
    <t>DEPRECIACIONES</t>
  </si>
  <si>
    <t>Valores al Inicio del Ejercicio</t>
  </si>
  <si>
    <t>Altas</t>
  </si>
  <si>
    <t>Bajas</t>
  </si>
  <si>
    <t>Revalúo del Periodo</t>
  </si>
  <si>
    <t>Valores al cierre del Periodo</t>
  </si>
  <si>
    <t>Acumuladas al inicio del Ejercicio</t>
  </si>
  <si>
    <t>Acumuladas Al Cierre</t>
  </si>
  <si>
    <t>Neto Resultante</t>
  </si>
  <si>
    <t>SALDO INICIAL</t>
  </si>
  <si>
    <t>AUMENTOS</t>
  </si>
  <si>
    <t>AMORTIZACIONES</t>
  </si>
  <si>
    <t>SALDO NETO FINAL</t>
  </si>
  <si>
    <t>CUENTA</t>
  </si>
  <si>
    <t>Marcas y Licencias</t>
  </si>
  <si>
    <t>Marca Investor C.B. S.A.</t>
  </si>
  <si>
    <t>Licencias Informáticas</t>
  </si>
  <si>
    <t>Licencias para PCS</t>
  </si>
  <si>
    <t>Sistemas Informáticos</t>
  </si>
  <si>
    <t>Sistemas: Contable y Operativo</t>
  </si>
  <si>
    <t>Licencia Actividad Bursatil</t>
  </si>
  <si>
    <t>Deudores varios</t>
  </si>
  <si>
    <t>Cupones a cobrar</t>
  </si>
  <si>
    <t>Seguros pagados por adelantado</t>
  </si>
  <si>
    <t>Anticipos a proveedores y otros</t>
  </si>
  <si>
    <t>INSTITUCION</t>
  </si>
  <si>
    <t>CORTO PLAZO GS.</t>
  </si>
  <si>
    <t>LARGO PLAZO GS.</t>
  </si>
  <si>
    <t>Prestamos por Repos</t>
  </si>
  <si>
    <t>CORRIENTE G.</t>
  </si>
  <si>
    <t>NO CORRIENTE G.</t>
  </si>
  <si>
    <t>A la fecha la entidad no registra administración de Cartera a Corto y Largo Plazo</t>
  </si>
  <si>
    <t xml:space="preserve"> No aplicable</t>
  </si>
  <si>
    <t>Corriente Gs.</t>
  </si>
  <si>
    <t>No corrientes Gs.</t>
  </si>
  <si>
    <t>r)       Saldos y Transacciones con personas y empresas relacionadas (Corriente y No Corriente)</t>
  </si>
  <si>
    <t>SALDOS (Deudores y Acreedores mantenidos)</t>
  </si>
  <si>
    <t>NOMBRE</t>
  </si>
  <si>
    <t>RELACION</t>
  </si>
  <si>
    <t>TIPO DE OPERACIÓN</t>
  </si>
  <si>
    <t>Empresa Vinculada</t>
  </si>
  <si>
    <t>Cuentas a cobrar</t>
  </si>
  <si>
    <t>Director y Accionista</t>
  </si>
  <si>
    <t>ANTIGÜEDAD DE LA DEUDA</t>
  </si>
  <si>
    <t>PERSONA O EMPRESA RELACIONADA</t>
  </si>
  <si>
    <t>Total Egresos</t>
  </si>
  <si>
    <t>Edge S.A.</t>
  </si>
  <si>
    <t>Codesarrollos S.A.</t>
  </si>
  <si>
    <t>Investor AFPI SA</t>
  </si>
  <si>
    <t>t) Patrimonio</t>
  </si>
  <si>
    <t>SALDO AL INICIO DEL EJERCICIO</t>
  </si>
  <si>
    <t>DISMINUCIÓN</t>
  </si>
  <si>
    <t>Capital Integrado</t>
  </si>
  <si>
    <t>Aportes no capitalizados</t>
  </si>
  <si>
    <t>La entidad no registra previsiones a la fecha.</t>
  </si>
  <si>
    <t>Ingresos por Operaciones</t>
  </si>
  <si>
    <t>Por intermediación de Acciones en Rueda</t>
  </si>
  <si>
    <t>Por intermediación de Renta Fija en Rueda</t>
  </si>
  <si>
    <t>Ingresos por Asesoría Financiera</t>
  </si>
  <si>
    <t>Ingresos por venta cartera propia</t>
  </si>
  <si>
    <t>Totales</t>
  </si>
  <si>
    <t>Ganancia por venta de Titulos</t>
  </si>
  <si>
    <t xml:space="preserve">Dividendos Cobrados </t>
  </si>
  <si>
    <t>Otros ingresos</t>
  </si>
  <si>
    <t>Total</t>
  </si>
  <si>
    <t>w) Otros Gastos Operativos, de comercialización y de administración</t>
  </si>
  <si>
    <t>Otros Gastos Operativos</t>
  </si>
  <si>
    <t>Perdida por venta de valores</t>
  </si>
  <si>
    <t>Generados Por Activos</t>
  </si>
  <si>
    <t>Intereses Cobrados</t>
  </si>
  <si>
    <t>Generados Por Pasivos</t>
  </si>
  <si>
    <t>Intereses Pagados</t>
  </si>
  <si>
    <t>Ingresos Extraordinarios</t>
  </si>
  <si>
    <t>Egresos Extraordinarios</t>
  </si>
  <si>
    <t>Perdida por Venta de Activo</t>
  </si>
  <si>
    <t>NOTA 6. INFORMACION REFERENTE A CONTINGENCIAS Y COMPROMISOS</t>
  </si>
  <si>
    <t>No registra</t>
  </si>
  <si>
    <t>NOTA 7. HECHOS POSTERIORES AL CIERRE DEL EJERCICIO</t>
  </si>
  <si>
    <t>No corresponde al presente periodo.</t>
  </si>
  <si>
    <t>No registra.</t>
  </si>
  <si>
    <t>NOTA 9. CAMBIOS CONTABLES</t>
  </si>
  <si>
    <t>NOTA 10. RESTRICIONES PARA DISTRIBUCIÓN DE UTILIDADES</t>
  </si>
  <si>
    <t>NOTA 11. SANCIONES</t>
  </si>
  <si>
    <t>No Registra.</t>
  </si>
  <si>
    <t>Rolando Natalizia</t>
  </si>
  <si>
    <t>Anibal Acosta</t>
  </si>
  <si>
    <t>Ingresos por Operaciones y Servicios Extrabursatiles</t>
  </si>
  <si>
    <t>Investor no ha reconocido en este Ejercicio los resultados de sus subsidiarias en sus Estados de Resultado Individual.</t>
  </si>
  <si>
    <t>Banco Nacional de Fomento U$S</t>
  </si>
  <si>
    <t>Itau Cta Cte. Gs  571</t>
  </si>
  <si>
    <t>Market Data SA</t>
  </si>
  <si>
    <t xml:space="preserve">Balance Gral. Resol. </t>
  </si>
  <si>
    <t xml:space="preserve">Estado de Resultado Resol. </t>
  </si>
  <si>
    <t xml:space="preserve">Flujo de Efectivo </t>
  </si>
  <si>
    <t>Estado de Resultado Resol.</t>
  </si>
  <si>
    <t xml:space="preserve">Balance Final </t>
  </si>
  <si>
    <t>Basa 139-5 Usd</t>
  </si>
  <si>
    <t>Obligaciones  por Contratos de Underwriting</t>
  </si>
  <si>
    <t>INVERSIONES TEMPORARIAS</t>
  </si>
  <si>
    <t>Ingresos por Administracion de Carteras</t>
  </si>
  <si>
    <t>Ingresos por Custodia de Valores</t>
  </si>
  <si>
    <t>Acciones</t>
  </si>
  <si>
    <t xml:space="preserve"> -   </t>
  </si>
  <si>
    <t>Procampo</t>
  </si>
  <si>
    <t>Acreedores por Intermediación. Nota 5 m</t>
  </si>
  <si>
    <t>Cuentas por Pagar a Personas y Emp. Relacionadas. Nota o</t>
  </si>
  <si>
    <t>PROVISIONES. Nota q</t>
  </si>
  <si>
    <t>Provisiones varias</t>
  </si>
  <si>
    <t>Investor Afpisa</t>
  </si>
  <si>
    <t>Incubate Sa</t>
  </si>
  <si>
    <t>Albaro Acosta</t>
  </si>
  <si>
    <t>Investor Real Estate S.A</t>
  </si>
  <si>
    <t>Federico Sebastian Oporto</t>
  </si>
  <si>
    <t>Fabio Zarza</t>
  </si>
  <si>
    <t>Adrian Aponte</t>
  </si>
  <si>
    <t>Federico Callizo Pecci</t>
  </si>
  <si>
    <t xml:space="preserve">Market Data </t>
  </si>
  <si>
    <t>Identificación</t>
  </si>
  <si>
    <t>INVESTOR CASA DE BOLSA S.A., R.U.C.: 80060213-7</t>
  </si>
  <si>
    <t>E-mail: aacosta@investor.com.py</t>
  </si>
  <si>
    <t>Antecedentes de la Constitución de la Sociedad y Reformas Estatutarias</t>
  </si>
  <si>
    <t>Administración</t>
  </si>
  <si>
    <t>Auditor Externo Independiente</t>
  </si>
  <si>
    <t>Personas Vinculadas</t>
  </si>
  <si>
    <t>Nombres y Apellidos</t>
  </si>
  <si>
    <t>Cargo</t>
  </si>
  <si>
    <t>Federico Sebastián Oporto Leiva</t>
  </si>
  <si>
    <t>Accionista/Presidente</t>
  </si>
  <si>
    <t>Accionista/Vice -Presidente</t>
  </si>
  <si>
    <t>Albaro José Acosta Ferreira</t>
  </si>
  <si>
    <t>Accionista/Director Titular</t>
  </si>
  <si>
    <t>Ana Cristina Neffa Persano</t>
  </si>
  <si>
    <t>Director Titular</t>
  </si>
  <si>
    <t>Fabio Daniel Zarza</t>
  </si>
  <si>
    <t>Juan José Talavera Saguier</t>
  </si>
  <si>
    <t>Síndico titular</t>
  </si>
  <si>
    <t>Oficial de cumplimiento</t>
  </si>
  <si>
    <t>Operador</t>
  </si>
  <si>
    <t>Auditor Interno</t>
  </si>
  <si>
    <t>Acciones en Empresas</t>
  </si>
  <si>
    <t>% Participación</t>
  </si>
  <si>
    <t>Investor AFPISA</t>
  </si>
  <si>
    <t>Market Data</t>
  </si>
  <si>
    <t>Capital y Propiedad:</t>
  </si>
  <si>
    <t xml:space="preserve">Codesarrollos </t>
  </si>
  <si>
    <t>Otros Activos</t>
  </si>
  <si>
    <t>Otros Costos de Operaciones</t>
  </si>
  <si>
    <t>Seguros a Vencer M/L</t>
  </si>
  <si>
    <t>Intereses a Vencer M/L</t>
  </si>
  <si>
    <t>Intereses a Vencer M/E</t>
  </si>
  <si>
    <t>Albaro Acosta - Director</t>
  </si>
  <si>
    <t>Federico Sebastián Oporto Leiva Espínola - Director</t>
  </si>
  <si>
    <t>Federico Callizo-Director</t>
  </si>
  <si>
    <t>Procampo SA</t>
  </si>
  <si>
    <t>Fabio Zarza Director</t>
  </si>
  <si>
    <t>Ana Neffa - Director</t>
  </si>
  <si>
    <t>Ingresos por intereses de Cartera propia - Empresas y Personas Relacionadas</t>
  </si>
  <si>
    <t>Nro.</t>
  </si>
  <si>
    <t>Accionista</t>
  </si>
  <si>
    <t>Serie</t>
  </si>
  <si>
    <t>Del Número</t>
  </si>
  <si>
    <t>Al Número</t>
  </si>
  <si>
    <t>Cantidad de Acciones</t>
  </si>
  <si>
    <t>Clase</t>
  </si>
  <si>
    <t>Votos</t>
  </si>
  <si>
    <t>Monto</t>
  </si>
  <si>
    <t>Albaro Jose Acosta Ferreira</t>
  </si>
  <si>
    <t>Ordinaria Nominativa</t>
  </si>
  <si>
    <t>Anibal David Acosta Ferreira</t>
  </si>
  <si>
    <t>Rolando Jose Natalizia Nasser</t>
  </si>
  <si>
    <t>Federico Sebastian Oporto Leiva Espinola</t>
  </si>
  <si>
    <t>Voto</t>
  </si>
  <si>
    <t>La composición de los fondos disponibles en Bancos, es como sigue:</t>
  </si>
  <si>
    <t xml:space="preserve">Otros Activos </t>
  </si>
  <si>
    <t xml:space="preserve">Investor Casa de Bolsa. S.A. posee Acciones de la Empresa Market Data S.A., constituida en Asunción-Paraguay, por valor de Gs. 499.000.000 que representan el 99,80 % del Capital Social. </t>
  </si>
  <si>
    <t>Investor Casa de Bolsa. S.A. ha adquirido Acciones de la Empresa Codesarrollos S.A., constituida en Asunción-Paraguay, por precio pagado de Gs. 5.498.595.000 que representan una participación del 70% del Capital Social.  Valor Nominal de las Acciones adquiridas Gs. 1.050.000.000-</t>
  </si>
  <si>
    <t>Domicilio</t>
  </si>
  <si>
    <t>Actividad</t>
  </si>
  <si>
    <t>Brasilia 764-Asunción</t>
  </si>
  <si>
    <t>Comunicaciones</t>
  </si>
  <si>
    <t>Admin de Fondos</t>
  </si>
  <si>
    <t>Admin. Estab. Ganad</t>
  </si>
  <si>
    <t>Cuadro del Capital Suscripto</t>
  </si>
  <si>
    <t>DOCUMENTOS Y CUENTAS A PAGAR</t>
  </si>
  <si>
    <t>INVERSIONES TEMPORARIAS  NOTA 5 E</t>
  </si>
  <si>
    <t xml:space="preserve">RESULTADOS   </t>
  </si>
  <si>
    <t>Valor Llave Compra Acciones en Emp.</t>
  </si>
  <si>
    <t>Dividendos  Cobrados</t>
  </si>
  <si>
    <t>CAMBIO CIERRE PERIODO ACTUAL GUARANIES</t>
  </si>
  <si>
    <t>CAMBIO CIERRE PERIODO ANTERIOR GUARANIES</t>
  </si>
  <si>
    <t xml:space="preserve">CAMBIO CIERRE PERIODO ACTUAL </t>
  </si>
  <si>
    <t xml:space="preserve">CAMBIO CIERRE PERIODO ANTERIOR </t>
  </si>
  <si>
    <t>TOTAL BANCOS</t>
  </si>
  <si>
    <t xml:space="preserve">BANCOS </t>
  </si>
  <si>
    <t xml:space="preserve">Caja </t>
  </si>
  <si>
    <t>Fondo Fijo</t>
  </si>
  <si>
    <t>Banco Regional Cta Comp. Usd 369</t>
  </si>
  <si>
    <t>Vision Banco Cta.Cte Usd 123</t>
  </si>
  <si>
    <t>Continental Cta.Cte.U$S 306</t>
  </si>
  <si>
    <t>Atlas Cta Comp Usd 950</t>
  </si>
  <si>
    <t>Financiera Rio Saeca U$S 009</t>
  </si>
  <si>
    <t>Solar S.A. De Ahorro Y Prestamo U$D 353</t>
  </si>
  <si>
    <t>Financiera Paraguaya Japonesa U$S 065</t>
  </si>
  <si>
    <t>Bco. Familiar Comp. Gs-761</t>
  </si>
  <si>
    <t>Vision Banco Cta.Cte.Gs 116</t>
  </si>
  <si>
    <t>Continental Cta.Cte.Gs 205</t>
  </si>
  <si>
    <t>Atlas Gs. 256</t>
  </si>
  <si>
    <t>Basa Gs 599</t>
  </si>
  <si>
    <t>Banco Nacional de Fomento Gs 626</t>
  </si>
  <si>
    <t>Solar S.A. De Ahorro Y Prestamo Gs. 352</t>
  </si>
  <si>
    <t>Financiera Paraguaya Japonesa Gs. 064</t>
  </si>
  <si>
    <t>La composición de los fondos disponibles en Caja y Recaudaciones a Depositar, es como sigue:</t>
  </si>
  <si>
    <t>TOTAL CAJA/RECAUDACIONES A DEPOSITAR</t>
  </si>
  <si>
    <t>Accion</t>
  </si>
  <si>
    <t>VALOR DE MERCADO</t>
  </si>
  <si>
    <t>TITULOS DE RENTA VARIABLE</t>
  </si>
  <si>
    <t>Acciones en  Market Data SA</t>
  </si>
  <si>
    <t>Acciones en AFPISA</t>
  </si>
  <si>
    <t>Acciones en Procampo Gerenciamientos SA</t>
  </si>
  <si>
    <t>Acciones en  Codesarrollos SA</t>
  </si>
  <si>
    <t>Accion en BVPASA</t>
  </si>
  <si>
    <t xml:space="preserve"> UNITARIO</t>
  </si>
  <si>
    <t>VALOR DE</t>
  </si>
  <si>
    <t xml:space="preserve"> COTIZACION</t>
  </si>
  <si>
    <t xml:space="preserve">VALOR NOMINAL </t>
  </si>
  <si>
    <t xml:space="preserve">VALOR </t>
  </si>
  <si>
    <t>DE COTIZACION</t>
  </si>
  <si>
    <t>DOCUMENTOS Y  CUENTAS A COBRAR</t>
  </si>
  <si>
    <t>CUENTAS POR COBRAR A PERSONAS Y EMP. RELACIONADAS</t>
  </si>
  <si>
    <t>f)       Créditos</t>
  </si>
  <si>
    <t>Balance Gral. Resol. 6'!A1</t>
  </si>
  <si>
    <t>Balance Gral. Resol. 30'!A1</t>
  </si>
  <si>
    <t xml:space="preserve">Intereses a Vencer -  </t>
  </si>
  <si>
    <t>GASTOS NO DEVENGADOS - Nota 5 h</t>
  </si>
  <si>
    <t xml:space="preserve">Seguros a Vencer </t>
  </si>
  <si>
    <t xml:space="preserve">Garantía de Alquiler  </t>
  </si>
  <si>
    <t>GASTOS NO DEVENGADOS  - Nota 5 j</t>
  </si>
  <si>
    <t>Se componen de la siguiente manera;</t>
  </si>
  <si>
    <t>Cuentas a cobrar a Directores y Accionistas</t>
  </si>
  <si>
    <t>DEUDORES VARIOS</t>
  </si>
  <si>
    <t>Garantia de Alquiler - Estacionamiento</t>
  </si>
  <si>
    <t>Los saldos de la cuentas estan compuestas como siguen;</t>
  </si>
  <si>
    <t>i)   Intangibles</t>
  </si>
  <si>
    <t>Las cuentas que la componen son las siguientes;</t>
  </si>
  <si>
    <t>Valor llave por compra Acciones Codesa</t>
  </si>
  <si>
    <t>Diferencia entre el Precio de Venta y el Valor nominal</t>
  </si>
  <si>
    <t>Licencia de windows</t>
  </si>
  <si>
    <t>Prestamos Bancarios</t>
  </si>
  <si>
    <t>IPS a pagar</t>
  </si>
  <si>
    <t>S/Vcto</t>
  </si>
  <si>
    <t>Cattle SA</t>
  </si>
  <si>
    <t>Be Live SA</t>
  </si>
  <si>
    <t>Estado de Resultado Resol. 30'!A1</t>
  </si>
  <si>
    <t>Ingresos Operativos - Nota v</t>
  </si>
  <si>
    <t>Gastos de Comercialización -Nota w</t>
  </si>
  <si>
    <t>Gastos Operativos - Nota W</t>
  </si>
  <si>
    <t>Resultados financieros Nota y</t>
  </si>
  <si>
    <t>Otros ingresos y Egresos - Nota x</t>
  </si>
  <si>
    <t>Resultados  extraordinarias -Nota z</t>
  </si>
  <si>
    <t>Intereses Diferidos M/L</t>
  </si>
  <si>
    <t>OTROS PASIVOS - Nota q</t>
  </si>
  <si>
    <t>Las 25 notas que se acompañan forman parte integrante de los Estados Financieros</t>
  </si>
  <si>
    <t>N/A</t>
  </si>
  <si>
    <t>Constructora</t>
  </si>
  <si>
    <t>N.º de Documento</t>
  </si>
  <si>
    <t>Estado de Variación Patrimonial</t>
  </si>
  <si>
    <t>Nota 2 - Información de la Empresa</t>
  </si>
  <si>
    <t>Nota 3 - Principales Políticas y Practicas Contables</t>
  </si>
  <si>
    <t>Nota 4 - Cambio de Políticas y Proceda. Contables</t>
  </si>
  <si>
    <t>Nota 5 - Criterios Específicos de Valuación</t>
  </si>
  <si>
    <t>a. Valuación Moneda Extranjera</t>
  </si>
  <si>
    <t>posición Moneda Extranjera</t>
  </si>
  <si>
    <t>diferencia de cambio</t>
  </si>
  <si>
    <t>d. Disponibilidades</t>
  </si>
  <si>
    <t>créditos</t>
  </si>
  <si>
    <t>g. Bienes de Cambio</t>
  </si>
  <si>
    <t>cargos Diferidos</t>
  </si>
  <si>
    <t xml:space="preserve">préstamos </t>
  </si>
  <si>
    <t>documentos y Ctas a Cobrar</t>
  </si>
  <si>
    <t>acreedores por Intermediación</t>
  </si>
  <si>
    <t>o. Cuentas a Pagar - Relacionadas -</t>
  </si>
  <si>
    <t>obligaciones Contrato de Underwriting</t>
  </si>
  <si>
    <t>otros Pasivos</t>
  </si>
  <si>
    <t>r. Saldos y Transacciones - Relacionadas -</t>
  </si>
  <si>
    <t>patrimonio</t>
  </si>
  <si>
    <t>ingresos Operativos</t>
  </si>
  <si>
    <t>w. Otros Gastos Operativos</t>
  </si>
  <si>
    <t>contingencias Legales</t>
  </si>
  <si>
    <t>garantías Constituidas</t>
  </si>
  <si>
    <t>Información Gral de la Empresa</t>
  </si>
  <si>
    <t>Nota A Los Estados Contables</t>
  </si>
  <si>
    <t>Nota 5 A-C Criterios Especif.</t>
  </si>
  <si>
    <t>Nota D - Disponibilidades</t>
  </si>
  <si>
    <t>Nota E - Inversiones</t>
  </si>
  <si>
    <t>Nota F - Creditos</t>
  </si>
  <si>
    <t>Nota G Bienes De Uso</t>
  </si>
  <si>
    <t>Nota H Cargos Diferidos</t>
  </si>
  <si>
    <t xml:space="preserve"> Nota I Intangibles</t>
  </si>
  <si>
    <t>Nota J Otros Activos Ctes Y No Corrientes</t>
  </si>
  <si>
    <t>Nota K Prestamos</t>
  </si>
  <si>
    <t>Nota L Documentos Y Ctas A Pagar</t>
  </si>
  <si>
    <t>Notas M-Q Acreedores Cto Plazo</t>
  </si>
  <si>
    <t xml:space="preserve">Nota R Saldos Y Transacciones </t>
  </si>
  <si>
    <t>Nota S Resultados Con Personas</t>
  </si>
  <si>
    <t xml:space="preserve"> Nota T Patrimonio</t>
  </si>
  <si>
    <t>Nota V Ingresos Operativos</t>
  </si>
  <si>
    <t>Nota W Otros Gastos Operativos</t>
  </si>
  <si>
    <t>Nota X Otros Ingresos Y Egresos</t>
  </si>
  <si>
    <t>Nota Y Resultados Financieros</t>
  </si>
  <si>
    <t>Nota Z Result Extraord</t>
  </si>
  <si>
    <t>Nota 6 Informacion Referente</t>
  </si>
  <si>
    <t xml:space="preserve">Calculo De Iracis </t>
  </si>
  <si>
    <t>I-Información General De Investor Casa De Bolsa Sa</t>
  </si>
  <si>
    <t>II-Estados Financieros Basicos</t>
  </si>
  <si>
    <t>III Notas a los Estados Contables</t>
  </si>
  <si>
    <t>Rendimientos de Inversiones</t>
  </si>
  <si>
    <t>Otros Prestamos</t>
  </si>
  <si>
    <t>Valuación Inversiones Permanentes</t>
  </si>
  <si>
    <t>Otros Pasivos</t>
  </si>
  <si>
    <t>APORTES DE CAPITAL A CUENTA</t>
  </si>
  <si>
    <t>Aporte a Cuenta de Futuras Capitalizaciones</t>
  </si>
  <si>
    <t>Prima de Emision Suscriptas</t>
  </si>
  <si>
    <t>Sueldos Y Otras Remuneraciones Al Person</t>
  </si>
  <si>
    <t>Sueldos Y Jornales</t>
  </si>
  <si>
    <t>Otros Beneficios Al Personal</t>
  </si>
  <si>
    <t>Capacitacion Al Personal</t>
  </si>
  <si>
    <t>Bonificación Familiar</t>
  </si>
  <si>
    <t>Gastos De Representación</t>
  </si>
  <si>
    <t>Servicios Prestados Por Terceros</t>
  </si>
  <si>
    <t>Honorarios Profesionales</t>
  </si>
  <si>
    <t>Servicios Contratados Ire</t>
  </si>
  <si>
    <t>Servicios Personales Irp</t>
  </si>
  <si>
    <t>Agua, Luz, Teléfono E Internet</t>
  </si>
  <si>
    <t>Movilidad Y Viaticos</t>
  </si>
  <si>
    <t>Combustibles Y Lubricantes</t>
  </si>
  <si>
    <t>Reparaciones Y Mantenimientos</t>
  </si>
  <si>
    <t>Seguros Devengados</t>
  </si>
  <si>
    <t>Refrigerio Y Cafeteria</t>
  </si>
  <si>
    <t>Comunicaciones Y Propagandas</t>
  </si>
  <si>
    <t>Papeleria E Impresos</t>
  </si>
  <si>
    <t>Gastos No Deducibles</t>
  </si>
  <si>
    <t>Dominios Y Suscripciones</t>
  </si>
  <si>
    <t>Gastos de encomiendas y envíos</t>
  </si>
  <si>
    <t>Gastos Informaticos</t>
  </si>
  <si>
    <t>Gastos De Impuestos</t>
  </si>
  <si>
    <t>Iva Gnd</t>
  </si>
  <si>
    <t>Impuestos, Patentes, Tasas Y Otras Contr</t>
  </si>
  <si>
    <t>Otros Beneficios Al Personal de Ventas</t>
  </si>
  <si>
    <t>Comisiones Pagadas por Ventas</t>
  </si>
  <si>
    <t>Publicidad Y Propaganda</t>
  </si>
  <si>
    <t>FLUJO DE EFECTIVO</t>
  </si>
  <si>
    <t>(+) Debe</t>
  </si>
  <si>
    <t>(+) Entrada Efectivo</t>
  </si>
  <si>
    <t>(-) Haber</t>
  </si>
  <si>
    <t>(-) Salida de Dinero</t>
  </si>
  <si>
    <t>ACTIVIDADES</t>
  </si>
  <si>
    <t>ACTIVIDADES DE</t>
  </si>
  <si>
    <t>BALANCE   Y</t>
  </si>
  <si>
    <t>ELIMINACIONES</t>
  </si>
  <si>
    <t>VARIACIÓN</t>
  </si>
  <si>
    <t>ACTIVIDADES DE OPERACIÓN</t>
  </si>
  <si>
    <t>DE INVERSION</t>
  </si>
  <si>
    <t>FINANCIAMIENTOS</t>
  </si>
  <si>
    <t>TOTAL</t>
  </si>
  <si>
    <t>DEBITOS</t>
  </si>
  <si>
    <t>RECIBIDO DE</t>
  </si>
  <si>
    <t>OTROS</t>
  </si>
  <si>
    <t>PAGOS PROVEED.</t>
  </si>
  <si>
    <t>PAGOS IMP</t>
  </si>
  <si>
    <t xml:space="preserve">PAGO A </t>
  </si>
  <si>
    <t>COBROS (PAGOS)</t>
  </si>
  <si>
    <t>(USADOS)</t>
  </si>
  <si>
    <t>(CREDITOS)</t>
  </si>
  <si>
    <t>CLIENTES</t>
  </si>
  <si>
    <t>BENEFICIOS</t>
  </si>
  <si>
    <t>P/MERCAD.</t>
  </si>
  <si>
    <t>RENTA</t>
  </si>
  <si>
    <t>EMPLEADOS</t>
  </si>
  <si>
    <t>ENTES RELACIONADOS</t>
  </si>
  <si>
    <t>PROVISTOS</t>
  </si>
  <si>
    <t xml:space="preserve">ACTIVO </t>
  </si>
  <si>
    <t xml:space="preserve">CREDITOS FISCALES </t>
  </si>
  <si>
    <t>ANTICIPO DE IRACIS</t>
  </si>
  <si>
    <t>DEUDORES VARIOS Y OTROS CREDITOS</t>
  </si>
  <si>
    <t xml:space="preserve">(PREVISIÓN P/ INCOBRABLES)   </t>
  </si>
  <si>
    <t>INVERSIONES EN VALORES PUBLICOS Y PRIVADOS</t>
  </si>
  <si>
    <t xml:space="preserve">INVERSIONES EN OTRAS EMPRESAS </t>
  </si>
  <si>
    <t xml:space="preserve">BIENES DE USO                           </t>
  </si>
  <si>
    <t xml:space="preserve">(DEPRE. ACUMULADAS)              </t>
  </si>
  <si>
    <t>BIENES INTANGIBLES</t>
  </si>
  <si>
    <t>(AMORTIZACION DE INTANGIBLES)</t>
  </si>
  <si>
    <t>GASTOS DIFERIDOS O NO DEVENGADOS</t>
  </si>
  <si>
    <t>TOTAL ACTIVO</t>
  </si>
  <si>
    <t xml:space="preserve">PASIVO  </t>
  </si>
  <si>
    <t xml:space="preserve">PRESTAMOS EN BANCOS              </t>
  </si>
  <si>
    <t xml:space="preserve">ACREEDORES POR INTERMEDIACION                               </t>
  </si>
  <si>
    <t>OTRAS DEUDAS (NO INCLUIDAS ANTERIORMENTE)</t>
  </si>
  <si>
    <t>DIVIDENDOS A DISTRIBUIR</t>
  </si>
  <si>
    <t>IMPUESTO A LA RENTA A PAGAR</t>
  </si>
  <si>
    <t>SUELDOS A PAGAR Y EMPRESAS RELACIONADAS</t>
  </si>
  <si>
    <t>CAPITAL INTEGRADO</t>
  </si>
  <si>
    <t>RESERVA DE REVALUO</t>
  </si>
  <si>
    <t>RESERVA LEGAL</t>
  </si>
  <si>
    <t>REVALUO BVPASA</t>
  </si>
  <si>
    <t>RESULTADOS  ACUMULADOS</t>
  </si>
  <si>
    <t>RETIRO A CTA DE UTILIDADES</t>
  </si>
  <si>
    <t>UTILIDADES DEL EJERCICIO</t>
  </si>
  <si>
    <t>TOTAL PASIVO Y PATRIMONIO NETO</t>
  </si>
  <si>
    <t>ESTADO DE RESUTADO</t>
  </si>
  <si>
    <t>INGRESOS POR INTERMEDIACION Y COMISIONES (OPERATIVOS)</t>
  </si>
  <si>
    <t>OTROS INGRESOS OPERATIVOS</t>
  </si>
  <si>
    <t>DIVIDENDOS COBRADOS</t>
  </si>
  <si>
    <t>COSTO DE VENTAS</t>
  </si>
  <si>
    <t>SUELDOS Y JORNALES</t>
  </si>
  <si>
    <t>GASTOS DE VENTAS</t>
  </si>
  <si>
    <t>GASTOS GENERALES</t>
  </si>
  <si>
    <t>DEPRECIACIÓN Y AMORTIZACION DEL EJERCICIO</t>
  </si>
  <si>
    <t>SEGUROS</t>
  </si>
  <si>
    <t>INTERESES PAGADOS Y DEVENGADOS PRESTAMOS</t>
  </si>
  <si>
    <t xml:space="preserve">IMPUESTO A LA RENTA  </t>
  </si>
  <si>
    <t>RESULTADO DEL EJERCICIO</t>
  </si>
  <si>
    <t>Producto de la Venta de B. Uso</t>
  </si>
  <si>
    <t>Flujos de Efectivo por Actividades de Operación</t>
  </si>
  <si>
    <t>Efectivo Recibido de Clientes</t>
  </si>
  <si>
    <t>Efectivo Recibido por Otros Beneficios</t>
  </si>
  <si>
    <t xml:space="preserve">Efectivo pagado a Proveedores </t>
  </si>
  <si>
    <t>Efectivo pagado a Empleados</t>
  </si>
  <si>
    <t>Otros pagos y cobros</t>
  </si>
  <si>
    <t>Inversiones en Otras Empresas</t>
  </si>
  <si>
    <t>Producto de la Venta de Bienes de Uso</t>
  </si>
  <si>
    <t>Efectivo neto provisto (usado) por Actividades de inversion</t>
  </si>
  <si>
    <t>Flujos de Efectivo por Actividades de Financiamiento</t>
  </si>
  <si>
    <t>Préstamos bancarios</t>
  </si>
  <si>
    <t>Proveniente de emisión de acciones</t>
  </si>
  <si>
    <t>Efectivo neto provisto (usado) por Actividades de Financiamiento</t>
  </si>
  <si>
    <t>Aumento (disminución) de efectivo y equivalente de efectivo</t>
  </si>
  <si>
    <t>Efectivo y equivalentes de efectivo al inicio</t>
  </si>
  <si>
    <t>Efectivo y equivalentes de efectivo al final de periodo</t>
  </si>
  <si>
    <t>APORTE A FUTURA CAPITALIZACION(EFECTIVO) -PRIMA DE EMISION</t>
  </si>
  <si>
    <t>Pagos a proveedores y otras obligaciones comerciales</t>
  </si>
  <si>
    <t>Otros Intereses a pagar Repos</t>
  </si>
  <si>
    <t>Prestamos Repos</t>
  </si>
  <si>
    <t xml:space="preserve">Menos Amortizacion Repos con Cupones </t>
  </si>
  <si>
    <t>Presentacion</t>
  </si>
  <si>
    <t>Periodo Actual</t>
  </si>
  <si>
    <t>Resultados</t>
  </si>
  <si>
    <t>Itau Cta. Cte. Usd 3485 - Administrativa</t>
  </si>
  <si>
    <t>Itau Cta. Cte. Administrativa 338</t>
  </si>
  <si>
    <t>Acciones en  Caja de Valores del Py SA</t>
  </si>
  <si>
    <t>Clientes Locales M/L</t>
  </si>
  <si>
    <t>Clientes Locales M/E</t>
  </si>
  <si>
    <t>Documentos a Cobrar por Operaciones Propias M/L</t>
  </si>
  <si>
    <t>Anticipos de Impuesto IRE</t>
  </si>
  <si>
    <t>Retenciones De Iva</t>
  </si>
  <si>
    <t>Retenciones IDU</t>
  </si>
  <si>
    <t xml:space="preserve">IVA - Crédito a favor - DDJJ </t>
  </si>
  <si>
    <t>Anticipos al Personal M/L</t>
  </si>
  <si>
    <t>MUEBLES Y UTILES DE OFICINA</t>
  </si>
  <si>
    <t>RODADOS</t>
  </si>
  <si>
    <t>EQUIPOS DE INFORMATICA</t>
  </si>
  <si>
    <t>EQUIPOS DE OFICINA</t>
  </si>
  <si>
    <t>INSTALACIONES</t>
  </si>
  <si>
    <t>UTILES Y ENSERES</t>
  </si>
  <si>
    <t>INMUEBLES-TERRENOS</t>
  </si>
  <si>
    <t>CONSTRUCCIONES EN CURSO</t>
  </si>
  <si>
    <t>(-) Amortizaciones de Intangibles</t>
  </si>
  <si>
    <t>CONTINENTAL</t>
  </si>
  <si>
    <t>BANCO ITAU</t>
  </si>
  <si>
    <t>Intereses a Pagar  a Bancos M/L</t>
  </si>
  <si>
    <t>Intereses a Pagar  a Bancos M/E</t>
  </si>
  <si>
    <t>Proveedores Locales M/L</t>
  </si>
  <si>
    <t>Proveedores Locales M/E</t>
  </si>
  <si>
    <t>Tarjeta de Crédito- AA</t>
  </si>
  <si>
    <t>Tarjeta de Crédito- FC</t>
  </si>
  <si>
    <t>Tarjeta de Crédito- SO</t>
  </si>
  <si>
    <t>Tarjeta de Crédito- AN</t>
  </si>
  <si>
    <t>Cuentas a pagar</t>
  </si>
  <si>
    <t>Juan Jose Talavera</t>
  </si>
  <si>
    <t>Edge SA</t>
  </si>
  <si>
    <t>In Positiva</t>
  </si>
  <si>
    <t>Incubate</t>
  </si>
  <si>
    <t>Metis</t>
  </si>
  <si>
    <t>Infi SA</t>
  </si>
  <si>
    <t>Totales Resultados Financieros</t>
  </si>
  <si>
    <t>Otros Ingresos Extraordinarios</t>
  </si>
  <si>
    <t>De acuerdo a lo previsto en el artículo 111 de la Ley 5810/17, la entidad tiene constituida como garantía la suma de U$S 100.000- , representados por 2 Certificados de Depositos de Ahorro, de U$$ 50.000 cada uno, emitidos por BANCO RIO SAECA, corresponden a la serie del titulo UH N° 0210/211 respectivamente.</t>
  </si>
  <si>
    <t xml:space="preserve">Totales Creditos </t>
  </si>
  <si>
    <t>GNB en Proceso de Fusion Cta.Cte. Gs 493</t>
  </si>
  <si>
    <t>GNB en Proceso de Fusion Cta.Cte. U$S-11-1705507</t>
  </si>
  <si>
    <t>Bco Regional Comp 368</t>
  </si>
  <si>
    <t>Financiera UENO SAECA Caja De Ahorros Gs</t>
  </si>
  <si>
    <t>Financiera UENO SAECA U$D 95704003</t>
  </si>
  <si>
    <t xml:space="preserve">Tu Financiera 5688382 </t>
  </si>
  <si>
    <t>Tu Financiera 9429269 USD</t>
  </si>
  <si>
    <t>RENDIMIENTOS E  INTERESES A VENCER</t>
  </si>
  <si>
    <t xml:space="preserve">LC RISK MANAGEMENT S.A.E.C.A. </t>
  </si>
  <si>
    <t>COMPAÑIA ADMINISTRADORA DE RIESGOS SA</t>
  </si>
  <si>
    <t>Acciones en IN FI SA</t>
  </si>
  <si>
    <t>Corresponde a cuentas por cobrar a diversos clientes. Su composición actual comparado con el ejercicio anterior, es como sigue:</t>
  </si>
  <si>
    <t>Funcionario</t>
  </si>
  <si>
    <t>Camila Montserrat Camila Venialdo</t>
  </si>
  <si>
    <t>Ivan Casamayouret</t>
  </si>
  <si>
    <t>Maria Jose Araújo Vazquez</t>
  </si>
  <si>
    <t>Gastos De Administración</t>
  </si>
  <si>
    <t>Remuneración por Servicios Personales</t>
  </si>
  <si>
    <t xml:space="preserve">Servicios Personales Independientes </t>
  </si>
  <si>
    <t>Útiles De Oficina</t>
  </si>
  <si>
    <t>Insumos y Artículos de Limpieza</t>
  </si>
  <si>
    <t xml:space="preserve">Anticipos a Clientes por Intermediacón </t>
  </si>
  <si>
    <t>Anticipos de Clientes por Compra de Acciones ML</t>
  </si>
  <si>
    <t>Anticipo de Cliente para Operaciones ME</t>
  </si>
  <si>
    <t>Anticipos a Devengar a Empleados</t>
  </si>
  <si>
    <t>Ingresos por intereses y dividendos de Cartera propia</t>
  </si>
  <si>
    <t>IN FI SA</t>
  </si>
  <si>
    <t>Asesoramiento</t>
  </si>
  <si>
    <t>CUADRO DE CAPITAL INTEGRADO</t>
  </si>
  <si>
    <t>% De Participacion del Capital Integrado</t>
  </si>
  <si>
    <t>Marvin Elder Figueredo Gonzalez</t>
  </si>
  <si>
    <t>Aguinaldos</t>
  </si>
  <si>
    <t>Totales de Inversiones Temporales</t>
  </si>
  <si>
    <t>Sobregiros Bancarios</t>
  </si>
  <si>
    <t>Deudas Financieras</t>
  </si>
  <si>
    <t>Saldo en Cta de Clientes Pendientes de Liquidación  Por Intermediacion De Valores M/L</t>
  </si>
  <si>
    <t>Saldo en Cta de Clientes Pendientes de Liquidación  Por Intermediacion De Valores M/E</t>
  </si>
  <si>
    <t>Intereses a cobrar por Cupones de Bonos - En Repos</t>
  </si>
  <si>
    <t>Investor Casa de Bolsa. S.A. posee Acciones de la Empresa Investor Administradora de Fondos Patrimoniales de Inversión S.A., constituida en Asunción-Paraguay, por valor de Gs.4.080.000.000 que representan el 85% del Capital Social. –Ademas realizo un Aporte a Cuenta de Futuras Integraciones de Gs.1.275.000.000-</t>
  </si>
  <si>
    <t xml:space="preserve">Investor Casa de Bolsa. S.A. posee Acciones de la Empresa Procampo S.A., constituida en Asunción-Paraguay, por valor de Gs. 3.467.000.000 que representan el 70 % del Capital Social. </t>
  </si>
  <si>
    <t>*Sobregiros Bancarios Itau</t>
  </si>
  <si>
    <t xml:space="preserve"> INFORMACION SOBRE EL EMISOR </t>
  </si>
  <si>
    <t>IVA Costo</t>
  </si>
  <si>
    <t>Banco Rio 82310046006</t>
  </si>
  <si>
    <t>BANCO GNB</t>
  </si>
  <si>
    <t xml:space="preserve">BANCO CONTINENTAL </t>
  </si>
  <si>
    <t>CORTO PLAZO U$D.</t>
  </si>
  <si>
    <t>BANCO NACIONAL DE FOMENTO</t>
  </si>
  <si>
    <t>IVA Costos</t>
  </si>
  <si>
    <t>Ganancia por Venta de AF</t>
  </si>
  <si>
    <t>ANEXO F DE LA RESOLUCION N.º 35/23</t>
  </si>
  <si>
    <r>
      <t>2.1</t>
    </r>
    <r>
      <rPr>
        <b/>
        <sz val="10"/>
        <color indexed="8"/>
        <rFont val="Calibri (Cuerpo)"/>
      </rPr>
      <t>              Naturaleza jurídica de las actividades de la sociedad</t>
    </r>
  </si>
  <si>
    <r>
      <t>INVESTOR CASA DE BOLSA S.A</t>
    </r>
    <r>
      <rPr>
        <sz val="10"/>
        <color indexed="8"/>
        <rFont val="Calibri (Cuerpo)"/>
      </rPr>
      <t>. fue constituida bajo la forma jurídica de Sociedad Anónima el 06 de Marzo de 2010 según escritura Pública Nº 205 e inscripta en el Registro Público de Comercio en el Libro Seccional respectivo y bajo en Nº 62 Y el folio Nº 696 y siguiente de fecha 23 de Marzo de 2010. La Sociedad se halla regida por las disposiciones de sus Estatutos, las Normas Legales y Reglamentarias relativas a la Sociedad y al Código Civil. La duración inicial de la Sociedad es de noventa y nueve años.</t>
    </r>
  </si>
  <si>
    <r>
      <t>2.2</t>
    </r>
    <r>
      <rPr>
        <b/>
        <sz val="10"/>
        <color indexed="8"/>
        <rFont val="Calibri (Cuerpo)"/>
      </rPr>
      <t>   Participación en empresas vinculadas</t>
    </r>
  </si>
  <si>
    <r>
      <t>3.4.</t>
    </r>
    <r>
      <rPr>
        <sz val="10"/>
        <color indexed="8"/>
        <rFont val="Calibri (Cuerpo)"/>
      </rPr>
      <t xml:space="preserve"> </t>
    </r>
    <r>
      <rPr>
        <b/>
        <sz val="10"/>
        <color indexed="8"/>
        <rFont val="Calibri (Cuerpo)"/>
      </rPr>
      <t>Depreciación de bienes de uso</t>
    </r>
  </si>
  <si>
    <t xml:space="preserve">Los estados Contables han sido preparados de acuerdo a la Resolución Nro. 35/23 de la Comisión Nacional de Valores, Capitulo 9 del reglamento general del Mercado de Valores. </t>
  </si>
  <si>
    <t>Son aplicados los criterios de valuación y exposición se enmarcan de acuerdo a lo estipulado en la reglamentación general del Mercado de Valores, atendiendo el Anexo G. Los Bienes de Uso se valuan a valor residual o valor neto (Valor Adquisicion menos valor de las depreciaciones acumuladas).  Las Inversiones temporales y permantentes se valuan a su valor de incorporación. Salvo, a la Acción de la Bolsa que se valua al ultimo precio de transacción. Por las acciones en otras empresas subsidiarias no se realiza el método de participación proporcional, en el balance individual,  ya que se presentan, conjuntamente,  los balances consolidados con sus subsidiarias.</t>
  </si>
  <si>
    <t>Total al 31/12/2022</t>
  </si>
  <si>
    <r>
      <t>v)</t>
    </r>
    <r>
      <rPr>
        <b/>
        <sz val="11"/>
        <color indexed="8"/>
        <rFont val="Calibri"/>
        <family val="2"/>
        <scheme val="minor"/>
      </rPr>
      <t>       Ingresos Operativos</t>
    </r>
  </si>
  <si>
    <r>
      <t>u)</t>
    </r>
    <r>
      <rPr>
        <b/>
        <sz val="11"/>
        <color indexed="8"/>
        <rFont val="Calibri"/>
        <family val="2"/>
        <scheme val="minor"/>
      </rPr>
      <t xml:space="preserve">       Previsiones </t>
    </r>
  </si>
  <si>
    <r>
      <t>S)</t>
    </r>
    <r>
      <rPr>
        <b/>
        <sz val="11"/>
        <color indexed="8"/>
        <rFont val="Calibri"/>
        <family val="2"/>
        <scheme val="minor"/>
      </rPr>
      <t>       Resultados con Personas y Empresas Vinculadas</t>
    </r>
  </si>
  <si>
    <r>
      <t>x)</t>
    </r>
    <r>
      <rPr>
        <b/>
        <sz val="11"/>
        <color indexed="8"/>
        <rFont val="Calibri"/>
        <family val="2"/>
        <scheme val="minor"/>
      </rPr>
      <t>       Otros Ingresos y Egresos</t>
    </r>
  </si>
  <si>
    <r>
      <t>y)</t>
    </r>
    <r>
      <rPr>
        <b/>
        <sz val="11"/>
        <color indexed="8"/>
        <rFont val="Calibri"/>
        <family val="2"/>
        <scheme val="minor"/>
      </rPr>
      <t>       Resultados Financieros</t>
    </r>
  </si>
  <si>
    <r>
      <t xml:space="preserve">z)  </t>
    </r>
    <r>
      <rPr>
        <b/>
        <sz val="11"/>
        <color indexed="8"/>
        <rFont val="Calibri"/>
        <family val="2"/>
        <scheme val="minor"/>
      </rPr>
      <t xml:space="preserve">Resultados Extraordinarios </t>
    </r>
  </si>
  <si>
    <r>
      <t>a)</t>
    </r>
    <r>
      <rPr>
        <b/>
        <sz val="11"/>
        <color indexed="8"/>
        <rFont val="Calibri"/>
        <family val="2"/>
        <scheme val="minor"/>
      </rPr>
      <t>        Compromisos Directos</t>
    </r>
  </si>
  <si>
    <r>
      <t>b)</t>
    </r>
    <r>
      <rPr>
        <b/>
        <sz val="11"/>
        <color indexed="8"/>
        <rFont val="Calibri"/>
        <family val="2"/>
        <scheme val="minor"/>
      </rPr>
      <t>        Contingencias Legales</t>
    </r>
  </si>
  <si>
    <r>
      <t>c)</t>
    </r>
    <r>
      <rPr>
        <b/>
        <sz val="11"/>
        <color indexed="8"/>
        <rFont val="Calibri"/>
        <family val="2"/>
        <scheme val="minor"/>
      </rPr>
      <t>        Garantías Constituidas</t>
    </r>
  </si>
  <si>
    <r>
      <t>NOTA 8.</t>
    </r>
    <r>
      <rPr>
        <sz val="11"/>
        <color indexed="8"/>
        <rFont val="Calibri"/>
        <family val="2"/>
        <scheme val="minor"/>
      </rPr>
      <t xml:space="preserve"> </t>
    </r>
    <r>
      <rPr>
        <b/>
        <sz val="11"/>
        <color indexed="8"/>
        <rFont val="Calibri"/>
        <family val="2"/>
        <scheme val="minor"/>
      </rPr>
      <t>LIMITACION A LA LIBRE DISPONIBILIDAD DE LOS ACTIVOS O DEL PATRIMONIO Y DE CUALQUIER RESTRICCION AL DERECHO DE PROPIEDAD.</t>
    </r>
  </si>
  <si>
    <r>
      <t>m)</t>
    </r>
    <r>
      <rPr>
        <b/>
        <sz val="11"/>
        <color indexed="8"/>
        <rFont val="Calibri"/>
        <family val="2"/>
        <scheme val="minor"/>
      </rPr>
      <t>       Acreedores por Intermediación Corto y Largo Plazo. No aplicable.</t>
    </r>
  </si>
  <si>
    <r>
      <t>n)</t>
    </r>
    <r>
      <rPr>
        <b/>
        <sz val="11"/>
        <color indexed="8"/>
        <rFont val="Calibri"/>
        <family val="2"/>
        <scheme val="minor"/>
      </rPr>
      <t>       Administración de Cartera (Corto y Largo Plazo)</t>
    </r>
  </si>
  <si>
    <r>
      <t>o)</t>
    </r>
    <r>
      <rPr>
        <b/>
        <sz val="11"/>
        <color indexed="8"/>
        <rFont val="Calibri"/>
        <family val="2"/>
        <scheme val="minor"/>
      </rPr>
      <t>       Cuentas a Pagar a personas y empresas relacionadas (Corto y Largo plazo)</t>
    </r>
  </si>
  <si>
    <r>
      <t>p)</t>
    </r>
    <r>
      <rPr>
        <b/>
        <sz val="11"/>
        <color indexed="8"/>
        <rFont val="Calibri"/>
        <family val="2"/>
        <scheme val="minor"/>
      </rPr>
      <t>       Obligaciones por contrato de Underwriting (Corto y Largo Plazo)</t>
    </r>
  </si>
  <si>
    <r>
      <t>q)</t>
    </r>
    <r>
      <rPr>
        <b/>
        <sz val="11"/>
        <color indexed="8"/>
        <rFont val="Calibri"/>
        <family val="2"/>
        <scheme val="minor"/>
      </rPr>
      <t>       Otros Pasivos Corrientes y No Corrientes</t>
    </r>
  </si>
  <si>
    <r>
      <t>l)</t>
    </r>
    <r>
      <rPr>
        <b/>
        <sz val="11"/>
        <color indexed="8"/>
        <rFont val="Calibri"/>
        <family val="2"/>
        <scheme val="minor"/>
      </rPr>
      <t>       Documentos y cuentas por pagar (Corto y largo plazo)</t>
    </r>
  </si>
  <si>
    <r>
      <t>k)</t>
    </r>
    <r>
      <rPr>
        <b/>
        <sz val="11"/>
        <color indexed="8"/>
        <rFont val="Calibri"/>
        <family val="2"/>
        <scheme val="minor"/>
      </rPr>
      <t>       Préstamos Financieros a corto y a largo plazo.</t>
    </r>
  </si>
  <si>
    <r>
      <t>j)</t>
    </r>
    <r>
      <rPr>
        <b/>
        <sz val="11"/>
        <color indexed="8"/>
        <rFont val="Calibri"/>
        <family val="2"/>
        <scheme val="minor"/>
      </rPr>
      <t>       Otros Activos Corrientes y No Corrientes</t>
    </r>
  </si>
  <si>
    <r>
      <t>h)</t>
    </r>
    <r>
      <rPr>
        <b/>
        <sz val="11"/>
        <color indexed="8"/>
        <rFont val="Calibri"/>
        <family val="2"/>
        <scheme val="minor"/>
      </rPr>
      <t>       Cargos Diferidos</t>
    </r>
  </si>
  <si>
    <r>
      <t>g)</t>
    </r>
    <r>
      <rPr>
        <b/>
        <sz val="11"/>
        <color indexed="8"/>
        <rFont val="Calibri"/>
        <family val="2"/>
        <scheme val="minor"/>
      </rPr>
      <t>      Bienes de Uso</t>
    </r>
  </si>
  <si>
    <r>
      <t>e)</t>
    </r>
    <r>
      <rPr>
        <b/>
        <sz val="11"/>
        <color indexed="8"/>
        <rFont val="Calibri"/>
        <family val="2"/>
        <scheme val="minor"/>
      </rPr>
      <t>   Inversiones  Temporales y Permanentes</t>
    </r>
  </si>
  <si>
    <r>
      <t>d)</t>
    </r>
    <r>
      <rPr>
        <b/>
        <sz val="11"/>
        <color indexed="8"/>
        <rFont val="Calibri"/>
        <family val="2"/>
        <scheme val="minor"/>
      </rPr>
      <t>       Disponibilidades</t>
    </r>
  </si>
  <si>
    <r>
      <t>b)</t>
    </r>
    <r>
      <rPr>
        <b/>
        <sz val="11"/>
        <color indexed="8"/>
        <rFont val="Calibri (Cuerpo)"/>
      </rPr>
      <t>       Posición en moneda extranjera</t>
    </r>
  </si>
  <si>
    <r>
      <t>C)</t>
    </r>
    <r>
      <rPr>
        <b/>
        <sz val="11"/>
        <color indexed="8"/>
        <rFont val="Calibri (Cuerpo)"/>
      </rPr>
      <t>      Diferencia de cambio en moneda extranjera.</t>
    </r>
  </si>
  <si>
    <t>I.               INFORMACION GENERAL DE LA ENTIDAD</t>
  </si>
  <si>
    <r>
      <t xml:space="preserve">Registro CNV: </t>
    </r>
    <r>
      <rPr>
        <sz val="10"/>
        <color theme="1"/>
        <rFont val="Calibri"/>
        <family val="2"/>
        <scheme val="minor"/>
      </rPr>
      <t>según resolución Nro.1275/10 de fecha 19 de mayo 2010</t>
    </r>
  </si>
  <si>
    <r>
      <t>Código de Bolsa:</t>
    </r>
    <r>
      <rPr>
        <sz val="10"/>
        <color theme="1"/>
        <rFont val="Calibri"/>
        <family val="2"/>
        <scheme val="minor"/>
      </rPr>
      <t xml:space="preserve"> 021 según resolución 915/10 de fecha 31 de mayo 2010</t>
    </r>
  </si>
  <si>
    <r>
      <t>Dirección Oficina Principal:</t>
    </r>
    <r>
      <rPr>
        <sz val="10"/>
        <color theme="1"/>
        <rFont val="Calibri"/>
        <family val="2"/>
        <scheme val="minor"/>
      </rPr>
      <t xml:space="preserve"> Avenida Brasilia N° 764</t>
    </r>
  </si>
  <si>
    <r>
      <t xml:space="preserve">Teléfono/Fax:  </t>
    </r>
    <r>
      <rPr>
        <sz val="10"/>
        <color theme="1"/>
        <rFont val="Calibri"/>
        <family val="2"/>
        <scheme val="minor"/>
      </rPr>
      <t>+595981- 666670</t>
    </r>
  </si>
  <si>
    <r>
      <t xml:space="preserve">Página Web: </t>
    </r>
    <r>
      <rPr>
        <sz val="10"/>
        <color theme="1"/>
        <rFont val="Calibri"/>
        <family val="2"/>
        <scheme val="minor"/>
      </rPr>
      <t>www.investor.com.py</t>
    </r>
  </si>
  <si>
    <r>
      <t>Domicilio Legal:</t>
    </r>
    <r>
      <rPr>
        <sz val="10"/>
        <color theme="1"/>
        <rFont val="Calibri"/>
        <family val="2"/>
        <scheme val="minor"/>
      </rPr>
      <t xml:space="preserve">  Asunción- Paraguay</t>
    </r>
  </si>
  <si>
    <r>
      <t>Escritura modificada Nro.:</t>
    </r>
    <r>
      <rPr>
        <sz val="10"/>
        <color theme="1"/>
        <rFont val="Calibri"/>
        <family val="2"/>
        <scheme val="minor"/>
      </rPr>
      <t xml:space="preserve"> 18 de fecha 25 de marzo de 2022</t>
    </r>
  </si>
  <si>
    <r>
      <t>Inscripción en el Registro Público</t>
    </r>
    <r>
      <rPr>
        <sz val="10"/>
        <color theme="1"/>
        <rFont val="Calibri"/>
        <family val="2"/>
        <scheme val="minor"/>
      </rPr>
      <t>: Numero de entrada DGRP 12272018 de fecha 31/08/2022, inscripta bajo el numero 3, folio 30 - 43.</t>
    </r>
  </si>
  <si>
    <r>
      <t>Reforma de Estatuto:</t>
    </r>
    <r>
      <rPr>
        <sz val="10"/>
        <color theme="1"/>
        <rFont val="Calibri"/>
        <family val="2"/>
        <scheme val="minor"/>
      </rPr>
      <t xml:space="preserve"> Modificación del Art. N° 6 donde se fija el Capital Social de la Sociedad a Gs. 100.000.000.000 (Guaraníes Cien mil millones)</t>
    </r>
  </si>
  <si>
    <r>
      <t xml:space="preserve">Presidente: </t>
    </r>
    <r>
      <rPr>
        <sz val="10"/>
        <color theme="1"/>
        <rFont val="Calibri"/>
        <family val="2"/>
        <scheme val="minor"/>
      </rPr>
      <t>Federico Sebastian Oporto</t>
    </r>
  </si>
  <si>
    <r>
      <t>Vice-Presidente:</t>
    </r>
    <r>
      <rPr>
        <sz val="10"/>
        <color theme="1"/>
        <rFont val="Calibri"/>
        <family val="2"/>
        <scheme val="minor"/>
      </rPr>
      <t xml:space="preserve"> Federico Callizo Pecci</t>
    </r>
  </si>
  <si>
    <r>
      <t>Director Titular:</t>
    </r>
    <r>
      <rPr>
        <sz val="10"/>
        <color theme="1"/>
        <rFont val="Calibri"/>
        <family val="2"/>
        <scheme val="minor"/>
      </rPr>
      <t xml:space="preserve"> Albaro Jose Acosta </t>
    </r>
  </si>
  <si>
    <r>
      <t>Director Titular</t>
    </r>
    <r>
      <rPr>
        <sz val="10"/>
        <color theme="1"/>
        <rFont val="Calibri"/>
        <family val="2"/>
        <scheme val="minor"/>
      </rPr>
      <t>: Ana Cristina Neffa</t>
    </r>
  </si>
  <si>
    <r>
      <t>Director Titular:</t>
    </r>
    <r>
      <rPr>
        <sz val="10"/>
        <color rgb="FF000000"/>
        <rFont val="Calibri"/>
        <family val="2"/>
        <scheme val="minor"/>
      </rPr>
      <t xml:space="preserve"> Fabio Daniel Zarza</t>
    </r>
    <r>
      <rPr>
        <sz val="10"/>
        <color theme="1"/>
        <rFont val="Calibri"/>
        <family val="2"/>
        <scheme val="minor"/>
      </rPr>
      <t xml:space="preserve"> </t>
    </r>
  </si>
  <si>
    <r>
      <t>Síndico:</t>
    </r>
    <r>
      <rPr>
        <sz val="10"/>
        <color theme="1"/>
        <rFont val="Calibri"/>
        <family val="2"/>
        <scheme val="minor"/>
      </rPr>
      <t xml:space="preserve"> Juan José Talavera Saguier</t>
    </r>
  </si>
  <si>
    <r>
      <t>Auditor Externo Independiente Asignado:</t>
    </r>
    <r>
      <rPr>
        <sz val="10"/>
        <color theme="1"/>
        <rFont val="Calibri"/>
        <family val="2"/>
        <scheme val="minor"/>
      </rPr>
      <t xml:space="preserve"> MARTI &amp; ASOCIADOS</t>
    </r>
    <r>
      <rPr>
        <b/>
        <sz val="10"/>
        <color theme="1"/>
        <rFont val="Calibri"/>
        <family val="2"/>
        <scheme val="minor"/>
      </rPr>
      <t xml:space="preserve"> </t>
    </r>
  </si>
  <si>
    <r>
      <t>Número de Inscripción en el Registro de la CNV:</t>
    </r>
    <r>
      <rPr>
        <sz val="10"/>
        <color theme="1"/>
        <rFont val="Calibri"/>
        <family val="2"/>
        <scheme val="minor"/>
      </rPr>
      <t xml:space="preserve"> Código AE-042</t>
    </r>
  </si>
  <si>
    <r>
      <t xml:space="preserve">Capital Social de acuerdo al Artículo 6to. Del Estatuto Social es de Gs. 100.000.000.000.- (Guaraníes Cien mil millones). Representado por 100.000.- (cien mil) acciones nominativas ordinarias de </t>
    </r>
    <r>
      <rPr>
        <b/>
        <sz val="10"/>
        <color theme="1"/>
        <rFont val="Calibri"/>
        <family val="2"/>
        <scheme val="minor"/>
      </rPr>
      <t>valor nominal Gs. 1.000.000.- (Un millón) cada una.</t>
    </r>
  </si>
  <si>
    <r>
      <t>Capital Emitido:</t>
    </r>
    <r>
      <rPr>
        <sz val="10"/>
        <color theme="1"/>
        <rFont val="Calibri"/>
        <family val="2"/>
        <scheme val="minor"/>
      </rPr>
      <t xml:space="preserve"> Gs.42.764.000.000.- (guaraníes cuarenta y dos mil setecientos sesenta y cuatro millones).-</t>
    </r>
  </si>
  <si>
    <r>
      <t>Capital Suscripto:</t>
    </r>
    <r>
      <rPr>
        <sz val="10"/>
        <color theme="1"/>
        <rFont val="Calibri"/>
        <family val="2"/>
        <scheme val="minor"/>
      </rPr>
      <t xml:space="preserve"> Gs.42.764.000.000.- (guaraníes cuarenta y dos mil setecientos sesenta y cuatro millones).-</t>
    </r>
  </si>
  <si>
    <r>
      <t>Capital Integrado:</t>
    </r>
    <r>
      <rPr>
        <sz val="10"/>
        <color theme="1"/>
        <rFont val="Calibri"/>
        <family val="2"/>
        <scheme val="minor"/>
      </rPr>
      <t xml:space="preserve"> Gs.42.764.000.000.- (guaraníes cuarenta y dos mil setecientos sesenta y cuatro millones).-</t>
    </r>
  </si>
  <si>
    <r>
      <t>Valor Nominal de las Acciones:</t>
    </r>
    <r>
      <rPr>
        <sz val="10"/>
        <color theme="1"/>
        <rFont val="Calibri"/>
        <family val="2"/>
        <scheme val="minor"/>
      </rPr>
      <t xml:space="preserve"> Gs. 1.000.000.- (guaraníes un millón). -</t>
    </r>
  </si>
  <si>
    <t>Ctas a Pagar a Personas y Empresas Relacionadas</t>
  </si>
  <si>
    <t>TC</t>
  </si>
  <si>
    <t>BANCO REGIONAL SAECA</t>
  </si>
  <si>
    <t>VISION BANCO S.A.E.C.A.</t>
  </si>
  <si>
    <t>Anticipos A Proveedores Locales.</t>
  </si>
  <si>
    <t>Fondo Mutuo Corto Plazo Guaranies Investor A.F.P.I.S.A.</t>
  </si>
  <si>
    <t>CORTO PLAZO USD.</t>
  </si>
  <si>
    <t>(+) Intereses a Pagar por Recompra Repos M/L</t>
  </si>
  <si>
    <t>Egreso por servicios</t>
  </si>
  <si>
    <r>
      <t>q)</t>
    </r>
    <r>
      <rPr>
        <b/>
        <sz val="11"/>
        <color indexed="8"/>
        <rFont val="Calibri"/>
        <family val="2"/>
        <scheme val="minor"/>
      </rPr>
      <t>       Provisiones</t>
    </r>
  </si>
  <si>
    <t>Director</t>
  </si>
  <si>
    <t>Total Ingresos</t>
  </si>
  <si>
    <t>Ana Neffa</t>
  </si>
  <si>
    <t xml:space="preserve">IN FI </t>
  </si>
  <si>
    <t>(Menos) Transferidos a Sobregiros Bancarios</t>
  </si>
  <si>
    <t>Totales de Prestamos Bancarios y financieros 31/12/2022</t>
  </si>
  <si>
    <r>
      <t>Director Suplente:</t>
    </r>
    <r>
      <rPr>
        <sz val="10"/>
        <color rgb="FF000000"/>
        <rFont val="Calibri"/>
        <family val="2"/>
        <scheme val="minor"/>
      </rPr>
      <t xml:space="preserve"> Cesar Fernando Godoy Giménez</t>
    </r>
  </si>
  <si>
    <r>
      <t>Director Suplente:</t>
    </r>
    <r>
      <rPr>
        <sz val="10"/>
        <color rgb="FF000000"/>
        <rFont val="Calibri"/>
        <family val="2"/>
        <scheme val="minor"/>
      </rPr>
      <t xml:space="preserve"> Silvia Patricia Gallardo Jiménez</t>
    </r>
  </si>
  <si>
    <t xml:space="preserve">Silvia Patricia Gallardo Jiménez </t>
  </si>
  <si>
    <t xml:space="preserve">Cesar Fernando Godoy Giménez </t>
  </si>
  <si>
    <t>Director Suplente</t>
  </si>
  <si>
    <t>CORRESPONDIENTE AL 31 DE MARZO DE 2022 PRESENTADO EN FORMA COMPARATIVA CON EL EJERCICIO ECONOMICO ANTERIOR  AL  31 DE DICIEMBRE DE  2022.</t>
  </si>
  <si>
    <t>PERIODO ANTERIOR           31/12/ 2022</t>
  </si>
  <si>
    <t>SALDO AL 31/03/2022</t>
  </si>
  <si>
    <t>CORRESPONDIENTE AL 31 DE MARZO DE 2023 PRESENTADO EN FORMA COMPARATIVA CON EL 31 DE MARZO DE 2022</t>
  </si>
  <si>
    <t>SALDO AL 31/03/2023</t>
  </si>
  <si>
    <r>
      <t xml:space="preserve">Los Estados Contables (Balance General, Estado de Resultados, Estado de Flujo de Efectivo y Estado de Variación del Patrimonio Neto) correspondientes </t>
    </r>
    <r>
      <rPr>
        <b/>
        <sz val="10"/>
        <rFont val="Calibri (Cuerpo)"/>
      </rPr>
      <t>al  31 de Marzo de 2023</t>
    </r>
    <r>
      <rPr>
        <sz val="10"/>
        <rFont val="Calibri (Cuerpo)"/>
      </rPr>
      <t xml:space="preserve"> han sido considerados y aprobados según </t>
    </r>
    <r>
      <rPr>
        <b/>
        <sz val="10"/>
        <rFont val="Calibri (Cuerpo)"/>
      </rPr>
      <t>Acta de Directorio  N°245/23,  de fecha 10/05/2023</t>
    </r>
    <r>
      <rPr>
        <sz val="10"/>
        <rFont val="Calibri (Cuerpo)"/>
      </rPr>
      <t xml:space="preserve"> .-</t>
    </r>
  </si>
  <si>
    <t>PERIODO ACTUAL 31/03/ 2023</t>
  </si>
  <si>
    <t>Total al 31/03/2023</t>
  </si>
  <si>
    <t>Bono Subordinado</t>
  </si>
  <si>
    <t>BANCO ITAU PARAGUAY SA</t>
  </si>
  <si>
    <t>BANCO BASA S.A.</t>
  </si>
  <si>
    <t>BANCO RIO SA</t>
  </si>
  <si>
    <t>Gastos De Escribania</t>
  </si>
  <si>
    <t>Multas Y Sanciones</t>
  </si>
  <si>
    <t>AL  31/12/2022</t>
  </si>
  <si>
    <t>COSTO VENTA AF</t>
  </si>
  <si>
    <t>INGRESOS POR VENTA AF</t>
  </si>
  <si>
    <t>Documentos a Cobrar por Operaciones Propias M/E</t>
  </si>
  <si>
    <t>Deudores empresas relacionadas M/L</t>
  </si>
  <si>
    <t>Deudores empresas relacionadas M/E</t>
  </si>
  <si>
    <t>GNB FUSION</t>
  </si>
  <si>
    <t>Fondo Mutuo Corto Plazo Dólares Americanos Investor A.F.P.I.S.A.</t>
  </si>
  <si>
    <t>(+) Intereses a Pagar por Recompra Repos M/E</t>
  </si>
  <si>
    <t>Iva A Pagar</t>
  </si>
  <si>
    <t>Retenciones De Impuestos A Ingresar</t>
  </si>
  <si>
    <t>Dividendos A Pagar</t>
  </si>
  <si>
    <t>Documentos Por Operaciones Propias M/L</t>
  </si>
  <si>
    <t>Documentos Por Operaciones Propias M/E</t>
  </si>
  <si>
    <t>EDGE SA</t>
  </si>
  <si>
    <t>Total al 31/03/2022</t>
  </si>
  <si>
    <t>Otros Egresos Extraordinarios</t>
  </si>
  <si>
    <t>En fecha 25/11/ 2021, se constituyo prenda de certificado de deposito de ahorro - 1 CDA- a favor de BANCO ITAU  SA, en garantia de los prestamos obtenidos  con dicho banco, de USD 1.627.000. El valor del CDA en Garantia es de Gs. 12.588.866.686 . CDA ITAU SERIE BB 5846</t>
  </si>
  <si>
    <t>CORRESPONDIENTE AL 31 DE MARZO DE 2023 PRESENTADO EN FORMA COMPARATIVA CON EL  31 DE MARZO DE 2022</t>
  </si>
  <si>
    <t>REVALORIZACION</t>
  </si>
  <si>
    <t xml:space="preserve">Investor Casa de Bolsa. S.A. posee Acciones de la Empresa In Fi S.A., constituida en Asunción-Paraguay, por valor de Gs. 46.766.500.000 que representan el 66,40 % del Capital Social. </t>
  </si>
  <si>
    <t>Totales de Prestamos Bancarios y financieros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</si>
</sst>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0_-;\-* #,##0_-;_-* &quot;-&quot;_-;_-@_-"/>
    <numFmt numFmtId="43" formatCode="_-* #,##0.00_-;\-* #,##0.00_-;_-* &quot;-&quot;??_-;_-@_-"/>
    <numFmt numFmtId="164" formatCode="_ * #,##0_ ;_ * \-#,##0_ ;_ * &quot;-&quot;_ ;_ @_ "/>
    <numFmt numFmtId="165" formatCode="_ &quot;₲&quot;\ * #,##0.00_ ;_ &quot;₲&quot;\ * \-#,##0.00_ ;_ &quot;₲&quot;\ * &quot;-&quot;??_ ;_ @_ "/>
    <numFmt numFmtId="166" formatCode="_ * #,##0.00_ ;_ * \-#,##0.00_ ;_ * &quot;-&quot;??_ ;_ @_ "/>
    <numFmt numFmtId="167" formatCode="_-* #,##0.00\ _€_-;\-* #,##0.00\ _€_-;_-* &quot;-&quot;??\ _€_-;_-@_-"/>
    <numFmt numFmtId="168" formatCode="_(* #,##0.00_);_(* \(#,##0.00\);_(* &quot;-&quot;??_);_(@_)"/>
    <numFmt numFmtId="169" formatCode="_-* #,##0\ _D_M_-;\-* #,##0\ _D_M_-;_-* &quot;-&quot;??\ _D_M_-;_-@_-"/>
    <numFmt numFmtId="170" formatCode="_-[$Gs.-3C0A]\ * #,##0.00_ ;_-[$Gs.-3C0A]\ * \-#,##0.00\ ;_-[$Gs.-3C0A]\ * &quot;-&quot;??_ ;_-@_ "/>
    <numFmt numFmtId="171" formatCode="_(* #,##0_);_(* \(#,##0\);_(* &quot;-&quot;??_);_(@_)"/>
    <numFmt numFmtId="172" formatCode="dd/mm/yyyy;@"/>
    <numFmt numFmtId="173" formatCode="_ * #,##0.00_ ;_ * \-#,##0.00_ ;_ * &quot;-&quot;_ ;_ @_ "/>
    <numFmt numFmtId="174" formatCode="_ * #,##0_ ;_ * \-#,##0_ ;_ * &quot;-&quot;??_ ;_ @_ "/>
    <numFmt numFmtId="175" formatCode="_ &quot;₲&quot;\ * #,##0_ ;_ &quot;₲&quot;\ * \-#,##0_ ;_ &quot;₲&quot;\ * &quot;-&quot;??_ ;_ @_ "/>
    <numFmt numFmtId="176" formatCode="_(* #,##0.00_);_(* \(#,##0.00\);_(* \-??_);_(@_)"/>
    <numFmt numFmtId="177" formatCode="_(* #,##0_);_(* \(#,##0\);_(* \-_);_(@_)"/>
    <numFmt numFmtId="178" formatCode="#,##0_ ;\-#,##0\ "/>
    <numFmt numFmtId="179" formatCode="* #,##0.00\ ;* \-#,##0.00\ ;* \-#\ ;@\ "/>
    <numFmt numFmtId="180" formatCode="_-* #,##0.00\ _p_t_a_-;\-* #,##0.00\ _p_t_a_-;_-* &quot;-&quot;??\ _p_t_a_-;_-@_-"/>
    <numFmt numFmtId="181" formatCode="General_)"/>
    <numFmt numFmtId="182" formatCode="_ [$€]\ * #,##0.00_ ;_ [$€]\ * \-#,##0.00_ ;_ [$€]\ * &quot;-&quot;??_ ;_ @_ "/>
    <numFmt numFmtId="183" formatCode="_-* #,##0\ _P_t_a_-;\-* #,##0\ _P_t_a_-;_-* &quot;-&quot;\ _P_t_a_-;_-@_-"/>
    <numFmt numFmtId="184" formatCode="_-* #,##0.00\ _P_t_s_-;\-* #,##0.00\ _P_t_s_-;_-* &quot;-&quot;??\ _P_t_s_-;_-@_-"/>
    <numFmt numFmtId="185" formatCode="_ &quot;Gs&quot;\ * #,##0.0_ ;_ &quot;Gs&quot;\ * \-#,##0.0_ ;_ &quot;Gs&quot;\ * &quot;-&quot;??_ ;_ @_ "/>
    <numFmt numFmtId="186" formatCode="0%_);\(0%\)"/>
    <numFmt numFmtId="187" formatCode="_-* #,##0\ _€_-;\-* #,##0\ _€_-;_-* &quot;-&quot;\ _€_-;_-@_-"/>
    <numFmt numFmtId="188" formatCode="_ * #,##0.00_-\ _G_s_._ ;_ * #,##0.00\-\ _G_s_._ ;_ * &quot;-&quot;??_-\ _G_s_._ ;_ @_ "/>
    <numFmt numFmtId="189" formatCode="#,##0;\(#,##0\)"/>
    <numFmt numFmtId="190" formatCode="_-* #,##0_-;\-* #,##0_-;_-* &quot;-&quot;??_-;_-@_-"/>
    <numFmt numFmtId="191" formatCode="_ * #,##0.0000_ ;_ * \-#,##0.0000_ ;_ * &quot;-&quot;_ ;_ @_ "/>
  </numFmts>
  <fonts count="150">
    <font>
      <sz val="11"/>
      <color theme="1"/>
      <name val="Calibri"/>
      <family val="2"/>
      <scheme val="minor"/>
    </font>
    <font>
      <sz val="10"/>
      <name val="Arial"/>
      <family val="2"/>
    </font>
    <font>
      <b/>
      <sz val="8"/>
      <name val="Arial"/>
      <family val="2"/>
    </font>
    <font>
      <sz val="11"/>
      <name val="Calibri"/>
      <family val="2"/>
    </font>
    <font>
      <sz val="12"/>
      <name val="Arial"/>
      <family val="2"/>
    </font>
    <font>
      <b/>
      <sz val="10"/>
      <name val="Arial"/>
      <family val="2"/>
    </font>
    <font>
      <sz val="10"/>
      <name val="Times New Roman"/>
      <family val="1"/>
    </font>
    <font>
      <sz val="11"/>
      <color indexed="8"/>
      <name val="Calibri"/>
      <family val="2"/>
    </font>
    <font>
      <sz val="10"/>
      <name val="Arial"/>
      <family val="2"/>
      <charset val="1"/>
    </font>
    <font>
      <sz val="10"/>
      <name val="MS Sans Serif"/>
      <family val="2"/>
    </font>
    <font>
      <sz val="11"/>
      <color indexed="8"/>
      <name val="Calibri"/>
      <family val="2"/>
      <charset val="1"/>
    </font>
    <font>
      <sz val="10"/>
      <name val="Verdana"/>
      <family val="2"/>
    </font>
    <font>
      <sz val="8"/>
      <name val="Verdana"/>
      <family val="2"/>
    </font>
    <font>
      <sz val="12"/>
      <name val="SWISS"/>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10"/>
      <name val="Arial"/>
      <family val="2"/>
    </font>
    <font>
      <b/>
      <sz val="18"/>
      <color indexed="56"/>
      <name val="Cambria"/>
      <family val="2"/>
    </font>
    <font>
      <b/>
      <sz val="11"/>
      <color indexed="8"/>
      <name val="Calibri"/>
      <family val="2"/>
    </font>
    <font>
      <sz val="11"/>
      <color indexed="10"/>
      <name val="Calibri"/>
      <family val="2"/>
    </font>
    <font>
      <sz val="12"/>
      <name val="Courier"/>
      <family val="3"/>
    </font>
    <font>
      <sz val="11"/>
      <name val="Book Antiqua"/>
      <family val="1"/>
    </font>
    <font>
      <sz val="12"/>
      <name val="Courier"/>
    </font>
    <font>
      <u/>
      <sz val="7.5"/>
      <color indexed="12"/>
      <name val="Arial"/>
      <family val="2"/>
    </font>
    <font>
      <b/>
      <i/>
      <sz val="14"/>
      <name val="Arial"/>
      <family val="2"/>
    </font>
    <font>
      <b/>
      <sz val="9"/>
      <name val="Arial"/>
      <family val="2"/>
    </font>
    <font>
      <b/>
      <sz val="7"/>
      <name val="Arial"/>
      <family val="2"/>
    </font>
    <font>
      <b/>
      <sz val="5"/>
      <name val="Arial"/>
      <family val="2"/>
    </font>
    <font>
      <b/>
      <i/>
      <sz val="9"/>
      <name val="Arial"/>
      <family val="2"/>
    </font>
    <font>
      <b/>
      <i/>
      <sz val="10"/>
      <name val="Arial"/>
      <family val="2"/>
    </font>
    <font>
      <sz val="9"/>
      <name val="Arial"/>
      <family val="2"/>
    </font>
    <font>
      <b/>
      <sz val="11"/>
      <name val="Arial"/>
      <family val="2"/>
    </font>
    <font>
      <b/>
      <sz val="12"/>
      <name val="Arial"/>
      <family val="2"/>
    </font>
    <font>
      <sz val="10"/>
      <color indexed="8"/>
      <name val="Arial"/>
      <family val="2"/>
    </font>
    <font>
      <b/>
      <sz val="16"/>
      <color indexed="8"/>
      <name val="Arial"/>
      <family val="2"/>
    </font>
    <font>
      <sz val="12"/>
      <color indexed="8"/>
      <name val="Arial"/>
      <family val="2"/>
    </font>
    <font>
      <b/>
      <sz val="12"/>
      <color indexed="8"/>
      <name val="Arial"/>
      <family val="2"/>
    </font>
    <font>
      <b/>
      <sz val="12"/>
      <color indexed="10"/>
      <name val="Arial"/>
      <family val="2"/>
    </font>
    <font>
      <sz val="11"/>
      <color theme="1"/>
      <name val="Calibri"/>
      <family val="2"/>
      <scheme val="minor"/>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scheme val="minor"/>
    </font>
    <font>
      <sz val="11"/>
      <color rgb="FF3F3F76"/>
      <name val="Calibri"/>
      <family val="2"/>
    </font>
    <font>
      <sz val="11"/>
      <color rgb="FF000000"/>
      <name val="Calibri"/>
      <family val="2"/>
      <charset val="1"/>
    </font>
    <font>
      <u/>
      <sz val="11"/>
      <color theme="10"/>
      <name val="Calibri"/>
      <family val="2"/>
      <scheme val="minor"/>
    </font>
    <font>
      <u/>
      <sz val="10"/>
      <color theme="10"/>
      <name val="MS Sans Serif"/>
      <family val="2"/>
    </font>
    <font>
      <sz val="11"/>
      <color rgb="FF9C0006"/>
      <name val="Calibri"/>
      <family val="2"/>
    </font>
    <font>
      <sz val="12"/>
      <color theme="1"/>
      <name val="Calibri"/>
      <family val="2"/>
      <scheme val="minor"/>
    </font>
    <font>
      <sz val="11"/>
      <color rgb="FF9C6500"/>
      <name val="Calibri"/>
      <family val="2"/>
    </font>
    <font>
      <sz val="11"/>
      <color rgb="FF000000"/>
      <name val="Calibri"/>
      <family val="2"/>
      <scheme val="minor"/>
    </font>
    <font>
      <sz val="10"/>
      <color rgb="FF000000"/>
      <name val="Arial"/>
      <family val="2"/>
    </font>
    <font>
      <sz val="11"/>
      <color indexed="8"/>
      <name val="Calibri"/>
      <family val="2"/>
      <scheme val="minor"/>
    </font>
    <font>
      <b/>
      <sz val="11"/>
      <color rgb="FF3F3F3F"/>
      <name val="Calibri"/>
      <family val="2"/>
    </font>
    <font>
      <sz val="11"/>
      <color rgb="FFFF0000"/>
      <name val="Calibri"/>
      <family val="2"/>
    </font>
    <font>
      <i/>
      <sz val="11"/>
      <color rgb="FF7F7F7F"/>
      <name val="Calibri"/>
      <family val="2"/>
    </font>
    <font>
      <b/>
      <sz val="13"/>
      <color theme="3"/>
      <name val="Calibri"/>
      <family val="2"/>
    </font>
    <font>
      <b/>
      <sz val="18"/>
      <color theme="3"/>
      <name val="Calibri Light"/>
      <family val="2"/>
      <scheme val="major"/>
    </font>
    <font>
      <b/>
      <sz val="11"/>
      <color theme="1"/>
      <name val="Calibri"/>
      <family val="2"/>
      <scheme val="minor"/>
    </font>
    <font>
      <b/>
      <sz val="11"/>
      <color theme="1"/>
      <name val="Calibri"/>
      <family val="2"/>
    </font>
    <font>
      <sz val="10"/>
      <color theme="1"/>
      <name val="Calibri"/>
      <family val="2"/>
      <scheme val="minor"/>
    </font>
    <font>
      <u/>
      <sz val="10"/>
      <color theme="10"/>
      <name val="Calibri"/>
      <family val="2"/>
      <scheme val="minor"/>
    </font>
    <font>
      <b/>
      <sz val="10"/>
      <name val="Calibri"/>
      <family val="2"/>
      <scheme val="minor"/>
    </font>
    <font>
      <b/>
      <sz val="10"/>
      <color theme="1"/>
      <name val="Calibri"/>
      <family val="2"/>
      <scheme val="minor"/>
    </font>
    <font>
      <b/>
      <i/>
      <sz val="10"/>
      <color theme="1"/>
      <name val="Calibri"/>
      <family val="2"/>
      <scheme val="minor"/>
    </font>
    <font>
      <b/>
      <sz val="11"/>
      <color theme="9"/>
      <name val="Arial"/>
      <family val="2"/>
    </font>
    <font>
      <sz val="10"/>
      <name val="Calibri"/>
      <family val="2"/>
      <scheme val="minor"/>
    </font>
    <font>
      <b/>
      <sz val="10"/>
      <color theme="7" tint="-0.249977111117893"/>
      <name val="Arial"/>
      <family val="2"/>
    </font>
    <font>
      <b/>
      <sz val="10"/>
      <color theme="9"/>
      <name val="Arial"/>
      <family val="2"/>
    </font>
    <font>
      <sz val="10"/>
      <color theme="9"/>
      <name val="Arial"/>
      <family val="2"/>
    </font>
    <font>
      <b/>
      <sz val="10"/>
      <color rgb="FFFF0000"/>
      <name val="Arial"/>
      <family val="2"/>
    </font>
    <font>
      <b/>
      <sz val="10"/>
      <color theme="9" tint="-0.249977111117893"/>
      <name val="Arial"/>
      <family val="2"/>
    </font>
    <font>
      <b/>
      <u val="double"/>
      <sz val="11"/>
      <color theme="1"/>
      <name val="Calibri"/>
      <family val="2"/>
      <scheme val="minor"/>
    </font>
    <font>
      <sz val="10"/>
      <color rgb="FF000000"/>
      <name val="Times New Roman"/>
      <family val="1"/>
    </font>
    <font>
      <sz val="10"/>
      <color indexed="8"/>
      <name val="Calibri"/>
      <family val="2"/>
      <scheme val="minor"/>
    </font>
    <font>
      <b/>
      <sz val="10"/>
      <color indexed="8"/>
      <name val="Calibri"/>
      <family val="2"/>
      <scheme val="minor"/>
    </font>
    <font>
      <i/>
      <sz val="10"/>
      <color indexed="8"/>
      <name val="Calibri"/>
      <family val="2"/>
      <scheme val="minor"/>
    </font>
    <font>
      <sz val="10"/>
      <color rgb="FFFF0000"/>
      <name val="Calibri"/>
      <family val="2"/>
      <scheme val="minor"/>
    </font>
    <font>
      <i/>
      <sz val="10"/>
      <name val="Calibri"/>
      <family val="2"/>
      <scheme val="minor"/>
    </font>
    <font>
      <sz val="11"/>
      <name val="Calibri"/>
      <family val="2"/>
      <scheme val="minor"/>
    </font>
    <font>
      <b/>
      <sz val="11"/>
      <color indexed="8"/>
      <name val="Calibri"/>
      <family val="2"/>
      <scheme val="minor"/>
    </font>
    <font>
      <b/>
      <sz val="11"/>
      <name val="Calibri"/>
      <family val="2"/>
      <scheme val="minor"/>
    </font>
    <font>
      <i/>
      <sz val="11"/>
      <name val="Calibri"/>
      <family val="2"/>
      <scheme val="minor"/>
    </font>
    <font>
      <b/>
      <i/>
      <sz val="10"/>
      <name val="Calibri"/>
      <family val="2"/>
      <scheme val="minor"/>
    </font>
    <font>
      <sz val="10"/>
      <color theme="5"/>
      <name val="Calibri"/>
      <family val="2"/>
      <scheme val="minor"/>
    </font>
    <font>
      <sz val="10"/>
      <color theme="1"/>
      <name val="Calibri (Cuerpo)"/>
    </font>
    <font>
      <b/>
      <sz val="10"/>
      <color theme="1"/>
      <name val="Calibri (Cuerpo)"/>
    </font>
    <font>
      <sz val="10"/>
      <name val="Calibri (Cuerpo)"/>
    </font>
    <font>
      <b/>
      <sz val="10"/>
      <name val="Calibri (Cuerpo)"/>
    </font>
    <font>
      <b/>
      <sz val="10"/>
      <color indexed="8"/>
      <name val="Calibri (Cuerpo)"/>
    </font>
    <font>
      <sz val="10"/>
      <color indexed="8"/>
      <name val="Calibri (Cuerpo)"/>
    </font>
    <font>
      <b/>
      <sz val="10"/>
      <color rgb="FF000000"/>
      <name val="Calibri"/>
      <family val="2"/>
      <scheme val="minor"/>
    </font>
    <font>
      <b/>
      <u/>
      <sz val="11"/>
      <color theme="1"/>
      <name val="Calibri"/>
      <family val="2"/>
      <scheme val="minor"/>
    </font>
    <font>
      <b/>
      <sz val="11"/>
      <color rgb="FF000000"/>
      <name val="Calibri"/>
      <family val="2"/>
      <scheme val="minor"/>
    </font>
    <font>
      <b/>
      <i/>
      <sz val="11"/>
      <name val="Calibri"/>
      <family val="2"/>
      <scheme val="minor"/>
    </font>
    <font>
      <i/>
      <sz val="11"/>
      <color theme="1"/>
      <name val="Calibri"/>
      <family val="2"/>
      <scheme val="minor"/>
    </font>
    <font>
      <b/>
      <i/>
      <u/>
      <sz val="11"/>
      <color theme="7" tint="-0.249977111117893"/>
      <name val="Calibri"/>
      <family val="2"/>
      <scheme val="minor"/>
    </font>
    <font>
      <u/>
      <sz val="11"/>
      <color theme="1"/>
      <name val="Calibri"/>
      <family val="2"/>
      <scheme val="minor"/>
    </font>
    <font>
      <sz val="11"/>
      <color theme="0" tint="-4.9989318521683403E-2"/>
      <name val="Calibri"/>
      <family val="2"/>
      <scheme val="minor"/>
    </font>
    <font>
      <b/>
      <sz val="11"/>
      <color rgb="FF003F59"/>
      <name val="Calibri"/>
      <family val="2"/>
      <scheme val="minor"/>
    </font>
    <font>
      <sz val="11"/>
      <color rgb="FF003F59"/>
      <name val="Calibri"/>
      <family val="2"/>
      <scheme val="minor"/>
    </font>
    <font>
      <b/>
      <u val="double"/>
      <sz val="11"/>
      <name val="Calibri"/>
      <family val="2"/>
      <scheme val="minor"/>
    </font>
    <font>
      <b/>
      <i/>
      <u val="double"/>
      <sz val="11"/>
      <name val="Calibri"/>
      <family val="2"/>
      <scheme val="minor"/>
    </font>
    <font>
      <sz val="11"/>
      <color rgb="FF202124"/>
      <name val="Calibri"/>
      <family val="2"/>
      <scheme val="minor"/>
    </font>
    <font>
      <i/>
      <sz val="11"/>
      <color rgb="FF000000"/>
      <name val="Calibri"/>
      <family val="2"/>
      <scheme val="minor"/>
    </font>
    <font>
      <i/>
      <u val="double"/>
      <sz val="11"/>
      <color theme="0" tint="-4.9989318521683403E-2"/>
      <name val="Calibri"/>
      <family val="2"/>
      <scheme val="minor"/>
    </font>
    <font>
      <u/>
      <sz val="11"/>
      <color theme="10"/>
      <name val="Calibri (Cuerpo)"/>
    </font>
    <font>
      <sz val="11"/>
      <color theme="1"/>
      <name val="Calibri (Cuerpo)"/>
    </font>
    <font>
      <b/>
      <sz val="11"/>
      <color theme="1"/>
      <name val="Calibri (Cuerpo)"/>
    </font>
    <font>
      <b/>
      <sz val="11"/>
      <color indexed="8"/>
      <name val="Calibri (Cuerpo)"/>
    </font>
    <font>
      <b/>
      <u/>
      <sz val="11"/>
      <color theme="1"/>
      <name val="Calibri (Cuerpo)"/>
    </font>
    <font>
      <b/>
      <sz val="11"/>
      <name val="Calibri (Cuerpo)"/>
    </font>
    <font>
      <sz val="11"/>
      <name val="Calibri (Cuerpo)"/>
    </font>
    <font>
      <sz val="11"/>
      <color rgb="FF003F59"/>
      <name val="Calibri (Cuerpo)"/>
    </font>
    <font>
      <b/>
      <sz val="11"/>
      <color rgb="FF003F59"/>
      <name val="Calibri (Cuerpo)"/>
    </font>
    <font>
      <u/>
      <sz val="11"/>
      <color indexed="8"/>
      <name val="Calibri"/>
      <family val="2"/>
      <scheme val="minor"/>
    </font>
    <font>
      <sz val="10"/>
      <color rgb="FF2F5496"/>
      <name val="Calibri"/>
      <family val="2"/>
      <scheme val="minor"/>
    </font>
    <font>
      <sz val="10"/>
      <color rgb="FF000000"/>
      <name val="Calibri"/>
      <family val="2"/>
      <scheme val="minor"/>
    </font>
    <font>
      <b/>
      <sz val="10"/>
      <color rgb="FFED7D31"/>
      <name val="Calibri"/>
      <family val="2"/>
      <scheme val="minor"/>
    </font>
    <font>
      <sz val="10"/>
      <color theme="0"/>
      <name val="Calibri"/>
      <family val="2"/>
      <scheme val="minor"/>
    </font>
    <font>
      <u/>
      <sz val="11"/>
      <name val="Calibri"/>
      <family val="2"/>
      <scheme val="minor"/>
    </font>
    <font>
      <b/>
      <sz val="10"/>
      <color rgb="FF000000"/>
      <name val="Tahoma"/>
      <family val="2"/>
    </font>
    <font>
      <sz val="10"/>
      <color rgb="FF000000"/>
      <name val="Tahoma"/>
      <family val="2"/>
    </font>
    <font>
      <b/>
      <sz val="11"/>
      <color theme="0" tint="-4.9989318521683403E-2"/>
      <name val="Calibri"/>
      <family val="2"/>
      <scheme val="minor"/>
    </font>
    <font>
      <sz val="11"/>
      <color theme="0" tint="-0.14999847407452621"/>
      <name val="Calibri"/>
      <family val="2"/>
      <scheme val="minor"/>
    </font>
    <font>
      <b/>
      <sz val="10"/>
      <color rgb="FF92D050"/>
      <name val="Arial"/>
      <family val="2"/>
    </font>
    <font>
      <sz val="11"/>
      <color rgb="FFFF0000"/>
      <name val="Calibri"/>
      <family val="2"/>
      <scheme val="minor"/>
    </font>
    <font>
      <sz val="8"/>
      <name val="Calibri"/>
      <family val="2"/>
      <scheme val="minor"/>
    </font>
    <font>
      <i/>
      <sz val="10"/>
      <color theme="5"/>
      <name val="Arial"/>
      <family val="2"/>
    </font>
    <font>
      <b/>
      <i/>
      <sz val="10"/>
      <color theme="5"/>
      <name val="Arial"/>
      <family val="2"/>
    </font>
    <font>
      <sz val="10"/>
      <color theme="5"/>
      <name val="Arial"/>
      <family val="2"/>
    </font>
    <font>
      <b/>
      <sz val="10"/>
      <color theme="5"/>
      <name val="Arial"/>
      <family val="2"/>
    </font>
    <font>
      <sz val="10"/>
      <color theme="0" tint="-0.14999847407452621"/>
      <name val="Calibri"/>
      <family val="2"/>
      <scheme val="minor"/>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0070C0"/>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medium">
        <color indexed="64"/>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right style="thin">
        <color indexed="64"/>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bottom style="thin">
        <color indexed="8"/>
      </bottom>
      <diagonal/>
    </border>
    <border>
      <left style="thin">
        <color indexed="64"/>
      </left>
      <right style="thin">
        <color indexed="64"/>
      </right>
      <top style="thin">
        <color indexed="8"/>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top/>
      <bottom/>
      <diagonal/>
    </border>
    <border>
      <left style="medium">
        <color indexed="64"/>
      </left>
      <right style="thin">
        <color indexed="8"/>
      </right>
      <top/>
      <bottom/>
      <diagonal/>
    </border>
    <border>
      <left style="thin">
        <color indexed="8"/>
      </left>
      <right style="medium">
        <color indexed="64"/>
      </right>
      <top/>
      <bottom/>
      <diagonal/>
    </border>
    <border>
      <left style="thin">
        <color indexed="8"/>
      </left>
      <right style="thin">
        <color indexed="8"/>
      </right>
      <top/>
      <bottom/>
      <diagonal/>
    </border>
    <border>
      <left style="medium">
        <color indexed="64"/>
      </left>
      <right style="thin">
        <color indexed="64"/>
      </right>
      <top/>
      <bottom/>
      <diagonal/>
    </border>
    <border>
      <left style="thin">
        <color indexed="8"/>
      </left>
      <right style="thin">
        <color indexed="64"/>
      </right>
      <top/>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8"/>
      </left>
      <right style="medium">
        <color indexed="64"/>
      </right>
      <top/>
      <bottom style="medium">
        <color indexed="8"/>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double">
        <color indexed="8"/>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8"/>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8"/>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medium">
        <color indexed="64"/>
      </right>
      <top/>
      <bottom/>
      <diagonal/>
    </border>
    <border>
      <left style="thin">
        <color indexed="64"/>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style="medium">
        <color indexed="64"/>
      </right>
      <top/>
      <bottom style="thin">
        <color indexed="8"/>
      </bottom>
      <diagonal/>
    </border>
    <border>
      <left/>
      <right style="medium">
        <color indexed="64"/>
      </right>
      <top/>
      <bottom style="thin">
        <color indexed="8"/>
      </bottom>
      <diagonal/>
    </border>
    <border>
      <left style="medium">
        <color indexed="64"/>
      </left>
      <right style="thin">
        <color indexed="64"/>
      </right>
      <top/>
      <bottom style="double">
        <color indexed="64"/>
      </bottom>
      <diagonal/>
    </border>
    <border>
      <left/>
      <right style="medium">
        <color indexed="64"/>
      </right>
      <top style="thin">
        <color indexed="8"/>
      </top>
      <bottom style="double">
        <color indexed="64"/>
      </bottom>
      <diagonal/>
    </border>
    <border>
      <left style="thin">
        <color indexed="64"/>
      </left>
      <right style="medium">
        <color indexed="64"/>
      </right>
      <top style="thin">
        <color indexed="8"/>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8"/>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404">
    <xf numFmtId="0" fontId="0" fillId="0" borderId="0"/>
    <xf numFmtId="181"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3" borderId="0" applyNumberFormat="0" applyBorder="0" applyAlignment="0" applyProtection="0"/>
    <xf numFmtId="0" fontId="53" fillId="43" borderId="0" applyNumberFormat="0" applyBorder="0" applyAlignment="0" applyProtection="0"/>
    <xf numFmtId="0" fontId="17" fillId="13" borderId="1" applyNumberFormat="0" applyAlignment="0" applyProtection="0"/>
    <xf numFmtId="0" fontId="54" fillId="44" borderId="97" applyNumberFormat="0" applyAlignment="0" applyProtection="0"/>
    <xf numFmtId="0" fontId="55" fillId="45" borderId="98" applyNumberFormat="0" applyAlignment="0" applyProtection="0"/>
    <xf numFmtId="0" fontId="56" fillId="0" borderId="99" applyNumberFormat="0" applyFill="0" applyAlignment="0" applyProtection="0"/>
    <xf numFmtId="0" fontId="18" fillId="23" borderId="2" applyNumberFormat="0" applyAlignment="0" applyProtection="0"/>
    <xf numFmtId="176" fontId="1" fillId="0" borderId="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166" fontId="1" fillId="0" borderId="0" applyFont="0" applyFill="0" applyBorder="0" applyAlignment="0" applyProtection="0"/>
    <xf numFmtId="166" fontId="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176" fontId="1" fillId="0" borderId="0" applyFill="0" applyBorder="0" applyAlignment="0" applyProtection="0"/>
    <xf numFmtId="0" fontId="57" fillId="0" borderId="100" applyNumberFormat="0" applyFill="0" applyAlignment="0" applyProtection="0"/>
    <xf numFmtId="0" fontId="58" fillId="0" borderId="0" applyNumberFormat="0" applyFill="0" applyBorder="0" applyAlignment="0" applyProtection="0"/>
    <xf numFmtId="0" fontId="59" fillId="46" borderId="0" applyNumberFormat="0" applyBorder="0" applyAlignment="0" applyProtection="0"/>
    <xf numFmtId="0" fontId="52" fillId="46" borderId="0" applyNumberFormat="0" applyBorder="0" applyAlignment="0" applyProtection="0"/>
    <xf numFmtId="0" fontId="59"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9"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60" fillId="52" borderId="97" applyNumberFormat="0" applyAlignment="0" applyProtection="0"/>
    <xf numFmtId="0" fontId="61" fillId="0" borderId="0"/>
    <xf numFmtId="0" fontId="10" fillId="0" borderId="0"/>
    <xf numFmtId="0" fontId="19" fillId="0" borderId="0" applyNumberFormat="0" applyFill="0" applyBorder="0" applyAlignment="0" applyProtection="0"/>
    <xf numFmtId="0" fontId="20" fillId="4" borderId="0" applyNumberFormat="0" applyBorder="0" applyAlignment="0" applyProtection="0"/>
    <xf numFmtId="14" fontId="5" fillId="24" borderId="5">
      <alignment horizontal="center" vertical="center" wrapText="1"/>
    </xf>
    <xf numFmtId="0" fontId="21" fillId="0" borderId="4"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14" fontId="5" fillId="24" borderId="5">
      <alignment horizontal="center" vertical="center" wrapText="1"/>
    </xf>
    <xf numFmtId="0" fontId="62" fillId="0" borderId="0" applyNumberFormat="0" applyFill="0" applyBorder="0" applyAlignment="0" applyProtection="0"/>
    <xf numFmtId="0" fontId="63" fillId="0" borderId="0" applyNumberFormat="0" applyFill="0" applyBorder="0" applyAlignment="0" applyProtection="0"/>
    <xf numFmtId="0" fontId="35" fillId="0" borderId="0" applyNumberFormat="0" applyFill="0" applyBorder="0" applyAlignment="0" applyProtection="0">
      <alignment vertical="top"/>
      <protection locked="0"/>
    </xf>
    <xf numFmtId="0" fontId="64" fillId="53" borderId="0" applyNumberFormat="0" applyBorder="0" applyAlignment="0" applyProtection="0"/>
    <xf numFmtId="0" fontId="24" fillId="7" borderId="1" applyNumberFormat="0" applyAlignment="0" applyProtection="0"/>
    <xf numFmtId="0" fontId="25" fillId="0" borderId="3" applyNumberFormat="0" applyFill="0" applyAlignment="0" applyProtection="0"/>
    <xf numFmtId="166" fontId="50"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41" fontId="50" fillId="0" borderId="0" applyFont="0" applyFill="0" applyBorder="0" applyAlignment="0" applyProtection="0"/>
    <xf numFmtId="183" fontId="1" fillId="0" borderId="0" applyFont="0" applyFill="0" applyBorder="0" applyAlignment="0" applyProtection="0"/>
    <xf numFmtId="187" fontId="1" fillId="0" borderId="0" applyFont="0" applyFill="0" applyBorder="0" applyAlignment="0" applyProtection="0"/>
    <xf numFmtId="164" fontId="1" fillId="0" borderId="0" applyFont="0" applyFill="0" applyBorder="0" applyAlignment="0" applyProtection="0"/>
    <xf numFmtId="183" fontId="1"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84"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187" fontId="1" fillId="0" borderId="0" applyFont="0" applyFill="0" applyBorder="0" applyAlignment="0" applyProtection="0"/>
    <xf numFmtId="164" fontId="1" fillId="0" borderId="0" applyFont="0" applyFill="0" applyBorder="0" applyAlignment="0" applyProtection="0"/>
    <xf numFmtId="164" fontId="50" fillId="0" borderId="0" applyFont="0" applyFill="0" applyBorder="0" applyAlignment="0" applyProtection="0"/>
    <xf numFmtId="164" fontId="1" fillId="0" borderId="0" applyFont="0" applyFill="0" applyBorder="0" applyAlignment="0" applyProtection="0"/>
    <xf numFmtId="164" fontId="50" fillId="0" borderId="0" applyFont="0" applyFill="0" applyBorder="0" applyAlignment="0" applyProtection="0"/>
    <xf numFmtId="164" fontId="32" fillId="0" borderId="0" applyFont="0" applyFill="0" applyBorder="0" applyAlignment="0" applyProtection="0"/>
    <xf numFmtId="177" fontId="1" fillId="0" borderId="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1"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8" fontId="50" fillId="0" borderId="0" applyFont="0" applyFill="0" applyBorder="0" applyAlignment="0" applyProtection="0"/>
    <xf numFmtId="43" fontId="1"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43" fontId="1" fillId="0" borderId="0" applyFont="0" applyFill="0" applyBorder="0" applyAlignment="0" applyProtection="0"/>
    <xf numFmtId="184" fontId="1" fillId="0" borderId="0" applyFont="0" applyFill="0" applyBorder="0" applyAlignment="0" applyProtection="0"/>
    <xf numFmtId="166" fontId="7" fillId="0" borderId="0" applyFont="0" applyFill="0" applyBorder="0" applyAlignment="0" applyProtection="0"/>
    <xf numFmtId="166" fontId="50" fillId="0" borderId="0" applyFont="0" applyFill="0" applyBorder="0" applyAlignment="0" applyProtection="0"/>
    <xf numFmtId="188" fontId="1" fillId="0" borderId="0" applyFont="0" applyFill="0" applyBorder="0" applyAlignment="0" applyProtection="0"/>
    <xf numFmtId="0" fontId="1" fillId="0" borderId="0" applyFont="0" applyFill="0" applyBorder="0" applyAlignment="0" applyProtection="0"/>
    <xf numFmtId="166" fontId="50" fillId="0" borderId="0" applyFont="0" applyFill="0" applyBorder="0" applyAlignment="0" applyProtection="0"/>
    <xf numFmtId="167" fontId="7" fillId="0" borderId="0" applyFont="0" applyFill="0" applyBorder="0" applyAlignment="0" applyProtection="0"/>
    <xf numFmtId="167" fontId="9" fillId="0" borderId="0" applyFont="0" applyFill="0" applyBorder="0" applyAlignment="0" applyProtection="0"/>
    <xf numFmtId="166" fontId="7" fillId="0" borderId="0" applyFont="0" applyFill="0" applyBorder="0" applyAlignment="0" applyProtection="0"/>
    <xf numFmtId="178" fontId="1" fillId="0" borderId="0" applyFont="0" applyFill="0" applyBorder="0" applyAlignment="0" applyProtection="0"/>
    <xf numFmtId="166" fontId="51" fillId="0" borderId="0" applyFont="0" applyFill="0" applyBorder="0" applyAlignment="0" applyProtection="0"/>
    <xf numFmtId="166" fontId="33" fillId="0" borderId="0" applyFont="0" applyFill="0" applyBorder="0" applyAlignment="0" applyProtection="0"/>
    <xf numFmtId="166" fontId="12"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79" fontId="8" fillId="0" borderId="0"/>
    <xf numFmtId="178" fontId="1" fillId="0" borderId="0" applyFont="0" applyFill="0" applyBorder="0" applyAlignment="0" applyProtection="0"/>
    <xf numFmtId="0" fontId="1" fillId="0" borderId="0" applyFill="0" applyBorder="0" applyAlignment="0" applyProtection="0"/>
    <xf numFmtId="167" fontId="50" fillId="0" borderId="0" applyFont="0" applyFill="0" applyBorder="0" applyAlignment="0" applyProtection="0"/>
    <xf numFmtId="166" fontId="51" fillId="0" borderId="0" applyFont="0" applyFill="0" applyBorder="0" applyAlignment="0" applyProtection="0"/>
    <xf numFmtId="43" fontId="1" fillId="0" borderId="0" applyFont="0" applyFill="0" applyBorder="0" applyAlignment="0" applyProtection="0"/>
    <xf numFmtId="168" fontId="65" fillId="0" borderId="0" applyFont="0" applyFill="0" applyBorder="0" applyAlignment="0" applyProtection="0"/>
    <xf numFmtId="166" fontId="65" fillId="0" borderId="0" applyFont="0" applyFill="0" applyBorder="0" applyAlignment="0" applyProtection="0"/>
    <xf numFmtId="167" fontId="50" fillId="0" borderId="0" applyFont="0" applyFill="0" applyBorder="0" applyAlignment="0" applyProtection="0"/>
    <xf numFmtId="178" fontId="1" fillId="0" borderId="0" applyFont="0" applyFill="0" applyBorder="0" applyAlignment="0" applyProtection="0"/>
    <xf numFmtId="167" fontId="5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178" fontId="1" fillId="0" borderId="0" applyFont="0" applyFill="0" applyBorder="0" applyAlignment="0" applyProtection="0"/>
    <xf numFmtId="176" fontId="1" fillId="0" borderId="0" applyFill="0" applyBorder="0" applyAlignment="0" applyProtection="0"/>
    <xf numFmtId="164" fontId="50" fillId="0" borderId="0" applyFont="0" applyFill="0" applyBorder="0" applyAlignment="0" applyProtection="0"/>
    <xf numFmtId="43" fontId="5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166" fontId="50" fillId="0" borderId="0" applyFont="0" applyFill="0" applyBorder="0" applyAlignment="0" applyProtection="0"/>
    <xf numFmtId="176" fontId="1" fillId="0" borderId="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66" fontId="50" fillId="0" borderId="0" applyFont="0" applyFill="0" applyBorder="0" applyAlignment="0" applyProtection="0"/>
    <xf numFmtId="167" fontId="50" fillId="0" borderId="0" applyFont="0" applyFill="0" applyBorder="0" applyAlignment="0" applyProtection="0"/>
    <xf numFmtId="166" fontId="5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5" fontId="50" fillId="0" borderId="0" applyFont="0" applyFill="0" applyBorder="0" applyAlignment="0" applyProtection="0"/>
    <xf numFmtId="0" fontId="66" fillId="54" borderId="0" applyNumberFormat="0" applyBorder="0" applyAlignment="0" applyProtection="0"/>
    <xf numFmtId="0" fontId="26" fillId="14" borderId="0" applyNumberFormat="0" applyBorder="0" applyAlignment="0" applyProtection="0"/>
    <xf numFmtId="0" fontId="66" fillId="54" borderId="0" applyNumberFormat="0" applyBorder="0" applyAlignment="0" applyProtection="0"/>
    <xf numFmtId="0" fontId="14" fillId="0" borderId="0"/>
    <xf numFmtId="0" fontId="5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7" fillId="0" borderId="0"/>
    <xf numFmtId="0" fontId="1" fillId="0" borderId="0"/>
    <xf numFmtId="0" fontId="1" fillId="0" borderId="0"/>
    <xf numFmtId="0" fontId="4" fillId="0" borderId="0"/>
    <xf numFmtId="182" fontId="11" fillId="0" borderId="0"/>
    <xf numFmtId="0" fontId="11" fillId="0" borderId="0"/>
    <xf numFmtId="0" fontId="11" fillId="0" borderId="0"/>
    <xf numFmtId="0" fontId="13" fillId="0" borderId="0"/>
    <xf numFmtId="0" fontId="1" fillId="0" borderId="0"/>
    <xf numFmtId="0" fontId="1" fillId="0" borderId="0"/>
    <xf numFmtId="0" fontId="50" fillId="0" borderId="0"/>
    <xf numFmtId="0" fontId="50" fillId="0" borderId="0"/>
    <xf numFmtId="0" fontId="1" fillId="0" borderId="0" applyNumberFormat="0" applyFill="0" applyBorder="0" applyAlignment="0" applyProtection="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50" fillId="0" borderId="0"/>
    <xf numFmtId="0" fontId="1" fillId="0" borderId="0"/>
    <xf numFmtId="0" fontId="1" fillId="0" borderId="0"/>
    <xf numFmtId="0" fontId="1" fillId="0" borderId="0" applyNumberFormat="0" applyFill="0" applyBorder="0" applyAlignment="0" applyProtection="0"/>
    <xf numFmtId="0" fontId="7" fillId="0" borderId="0"/>
    <xf numFmtId="0" fontId="1" fillId="0" borderId="0"/>
    <xf numFmtId="0" fontId="3"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61" fillId="0" borderId="0"/>
    <xf numFmtId="0" fontId="4" fillId="0" borderId="0"/>
    <xf numFmtId="0" fontId="2" fillId="0" borderId="0"/>
    <xf numFmtId="0" fontId="1" fillId="0" borderId="0"/>
    <xf numFmtId="0" fontId="50" fillId="0" borderId="0"/>
    <xf numFmtId="37" fontId="1" fillId="0" borderId="0"/>
    <xf numFmtId="181" fontId="32" fillId="0" borderId="0"/>
    <xf numFmtId="0" fontId="11" fillId="0" borderId="0"/>
    <xf numFmtId="0" fontId="50" fillId="0" borderId="0"/>
    <xf numFmtId="0" fontId="65" fillId="0" borderId="0"/>
    <xf numFmtId="0" fontId="1" fillId="0" borderId="0"/>
    <xf numFmtId="37" fontId="1" fillId="0" borderId="0"/>
    <xf numFmtId="0" fontId="1" fillId="0" borderId="0" applyNumberFormat="0" applyFont="0" applyFill="0" applyBorder="0" applyAlignment="0" applyProtection="0">
      <alignment vertical="top"/>
    </xf>
    <xf numFmtId="0" fontId="1" fillId="0" borderId="0"/>
    <xf numFmtId="0" fontId="7" fillId="0" borderId="0"/>
    <xf numFmtId="0" fontId="1" fillId="0" borderId="0"/>
    <xf numFmtId="0" fontId="1" fillId="0" borderId="0" applyNumberFormat="0" applyFont="0" applyFill="0" applyBorder="0" applyAlignment="0" applyProtection="0">
      <alignment vertical="top"/>
    </xf>
    <xf numFmtId="0" fontId="9" fillId="0" borderId="0"/>
    <xf numFmtId="181" fontId="34" fillId="0" borderId="0"/>
    <xf numFmtId="0" fontId="9" fillId="0" borderId="0"/>
    <xf numFmtId="0" fontId="50"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55" borderId="101" applyNumberFormat="0" applyFont="0" applyAlignment="0" applyProtection="0"/>
    <xf numFmtId="0" fontId="51" fillId="55" borderId="101" applyNumberFormat="0" applyFont="0" applyAlignment="0" applyProtection="0"/>
    <xf numFmtId="0" fontId="51" fillId="55" borderId="101" applyNumberFormat="0" applyFont="0" applyAlignment="0" applyProtection="0"/>
    <xf numFmtId="0" fontId="51" fillId="55" borderId="101" applyNumberFormat="0" applyFont="0" applyAlignment="0" applyProtection="0"/>
    <xf numFmtId="0" fontId="1" fillId="8" borderId="8" applyNumberFormat="0" applyFont="0" applyAlignment="0" applyProtection="0"/>
    <xf numFmtId="0" fontId="27" fillId="13" borderId="9" applyNumberFormat="0" applyAlignment="0" applyProtection="0"/>
    <xf numFmtId="186" fontId="1" fillId="0" borderId="0" applyFont="0" applyFill="0" applyBorder="0" applyAlignment="0" applyProtection="0"/>
    <xf numFmtId="9" fontId="1" fillId="0" borderId="0" applyFill="0" applyBorder="0" applyAlignment="0" applyProtection="0"/>
    <xf numFmtId="9" fontId="6"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0"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0" fontId="70" fillId="44" borderId="102" applyNumberFormat="0" applyAlignment="0" applyProtection="0"/>
    <xf numFmtId="0" fontId="71" fillId="0" borderId="0" applyNumberFormat="0" applyFill="0" applyBorder="0" applyAlignment="0" applyProtection="0"/>
    <xf numFmtId="0" fontId="61" fillId="0" borderId="0"/>
    <xf numFmtId="0" fontId="72" fillId="0" borderId="0" applyNumberFormat="0" applyFill="0" applyBorder="0" applyAlignment="0" applyProtection="0"/>
    <xf numFmtId="0" fontId="28" fillId="0" borderId="0" applyFill="0" applyBorder="0" applyProtection="0">
      <alignment horizontal="left" vertical="top"/>
    </xf>
    <xf numFmtId="0" fontId="29" fillId="0" borderId="0" applyNumberFormat="0" applyFill="0" applyBorder="0" applyAlignment="0" applyProtection="0"/>
    <xf numFmtId="0" fontId="73" fillId="0" borderId="103" applyNumberFormat="0" applyFill="0" applyAlignment="0" applyProtection="0"/>
    <xf numFmtId="0" fontId="58" fillId="0" borderId="104" applyNumberFormat="0" applyFill="0" applyAlignment="0" applyProtection="0"/>
    <xf numFmtId="0" fontId="74" fillId="0" borderId="0" applyNumberFormat="0" applyFill="0" applyBorder="0" applyAlignment="0" applyProtection="0"/>
    <xf numFmtId="0" fontId="76" fillId="0" borderId="105" applyNumberFormat="0" applyFill="0" applyAlignment="0" applyProtection="0"/>
    <xf numFmtId="0" fontId="30" fillId="0" borderId="10" applyNumberFormat="0" applyFill="0" applyAlignment="0" applyProtection="0"/>
    <xf numFmtId="0" fontId="76" fillId="0" borderId="105" applyNumberFormat="0" applyFill="0" applyAlignment="0" applyProtection="0"/>
    <xf numFmtId="0" fontId="31" fillId="0" borderId="0" applyNumberFormat="0" applyFill="0" applyBorder="0" applyAlignment="0" applyProtection="0"/>
    <xf numFmtId="166" fontId="50" fillId="0" borderId="0" applyFont="0" applyFill="0" applyBorder="0" applyAlignment="0" applyProtection="0"/>
    <xf numFmtId="164" fontId="50" fillId="0" borderId="0" applyFont="0" applyFill="0" applyBorder="0" applyAlignment="0" applyProtection="0"/>
    <xf numFmtId="0" fontId="90" fillId="0" borderId="0"/>
  </cellStyleXfs>
  <cellXfs count="883">
    <xf numFmtId="0" fontId="0" fillId="0" borderId="0" xfId="0"/>
    <xf numFmtId="0" fontId="77" fillId="0" borderId="12" xfId="0" quotePrefix="1" applyFont="1" applyBorder="1" applyAlignment="1">
      <alignment horizontal="left"/>
    </xf>
    <xf numFmtId="0" fontId="78" fillId="0" borderId="12" xfId="107" quotePrefix="1" applyFont="1" applyBorder="1" applyAlignment="1">
      <alignment horizontal="left"/>
    </xf>
    <xf numFmtId="0" fontId="77" fillId="0" borderId="12" xfId="0" applyFont="1" applyBorder="1" applyAlignment="1">
      <alignment horizontal="left"/>
    </xf>
    <xf numFmtId="0" fontId="77" fillId="0" borderId="0" xfId="0" applyFont="1"/>
    <xf numFmtId="0" fontId="77" fillId="0" borderId="0" xfId="0" applyFont="1" applyAlignment="1">
      <alignment horizontal="left"/>
    </xf>
    <xf numFmtId="0" fontId="77" fillId="56" borderId="0" xfId="0" applyFont="1" applyFill="1"/>
    <xf numFmtId="0" fontId="77" fillId="56" borderId="0" xfId="0" applyFont="1" applyFill="1" applyAlignment="1">
      <alignment horizontal="left"/>
    </xf>
    <xf numFmtId="0" fontId="79" fillId="57" borderId="13" xfId="0" applyFont="1" applyFill="1" applyBorder="1" applyAlignment="1">
      <alignment vertical="center"/>
    </xf>
    <xf numFmtId="0" fontId="79" fillId="57" borderId="0" xfId="0" applyFont="1" applyFill="1" applyAlignment="1">
      <alignment horizontal="center" vertical="center"/>
    </xf>
    <xf numFmtId="0" fontId="77" fillId="0" borderId="13" xfId="0" applyFont="1" applyBorder="1"/>
    <xf numFmtId="0" fontId="80" fillId="0" borderId="12" xfId="0" applyFont="1" applyBorder="1" applyAlignment="1">
      <alignment horizontal="left" vertical="center"/>
    </xf>
    <xf numFmtId="0" fontId="79" fillId="57" borderId="0" xfId="0" applyFont="1" applyFill="1" applyAlignment="1">
      <alignment vertical="center"/>
    </xf>
    <xf numFmtId="0" fontId="81" fillId="0" borderId="0" xfId="0" applyFont="1"/>
    <xf numFmtId="0" fontId="77" fillId="0" borderId="14" xfId="0" applyFont="1" applyBorder="1"/>
    <xf numFmtId="0" fontId="77" fillId="0" borderId="15" xfId="0" applyFont="1" applyBorder="1"/>
    <xf numFmtId="0" fontId="80" fillId="0" borderId="0" xfId="0" applyFont="1" applyAlignment="1">
      <alignment horizontal="center"/>
    </xf>
    <xf numFmtId="0" fontId="78" fillId="0" borderId="0" xfId="107" quotePrefix="1" applyFont="1" applyBorder="1" applyAlignment="1">
      <alignment horizontal="left"/>
    </xf>
    <xf numFmtId="0" fontId="75" fillId="0" borderId="0" xfId="0" applyFont="1" applyAlignment="1">
      <alignment horizontal="center" vertical="center"/>
    </xf>
    <xf numFmtId="0" fontId="80" fillId="0" borderId="78" xfId="0" applyFont="1" applyBorder="1" applyAlignment="1">
      <alignment horizontal="center" vertical="center"/>
    </xf>
    <xf numFmtId="189" fontId="36" fillId="0" borderId="0" xfId="247" applyNumberFormat="1" applyFont="1"/>
    <xf numFmtId="189" fontId="1" fillId="0" borderId="0" xfId="247" applyNumberFormat="1"/>
    <xf numFmtId="0" fontId="1" fillId="0" borderId="0" xfId="247"/>
    <xf numFmtId="189" fontId="5" fillId="0" borderId="65" xfId="247" applyNumberFormat="1" applyFont="1" applyBorder="1"/>
    <xf numFmtId="189" fontId="5" fillId="0" borderId="79" xfId="247" applyNumberFormat="1" applyFont="1" applyBorder="1"/>
    <xf numFmtId="189" fontId="5" fillId="0" borderId="65" xfId="247" applyNumberFormat="1" applyFont="1" applyBorder="1" applyAlignment="1">
      <alignment horizontal="centerContinuous"/>
    </xf>
    <xf numFmtId="189" fontId="5" fillId="0" borderId="64" xfId="247" applyNumberFormat="1" applyFont="1" applyBorder="1" applyAlignment="1">
      <alignment horizontal="centerContinuous"/>
    </xf>
    <xf numFmtId="189" fontId="5" fillId="0" borderId="63" xfId="247" applyNumberFormat="1" applyFont="1" applyBorder="1"/>
    <xf numFmtId="189" fontId="37" fillId="0" borderId="79" xfId="247" applyNumberFormat="1" applyFont="1" applyBorder="1" applyAlignment="1">
      <alignment horizontal="center"/>
    </xf>
    <xf numFmtId="189" fontId="5" fillId="0" borderId="64" xfId="247" applyNumberFormat="1" applyFont="1" applyBorder="1"/>
    <xf numFmtId="189" fontId="5" fillId="0" borderId="40" xfId="247" applyNumberFormat="1" applyFont="1" applyBorder="1" applyAlignment="1">
      <alignment horizontal="center"/>
    </xf>
    <xf numFmtId="189" fontId="37" fillId="0" borderId="80" xfId="247" applyNumberFormat="1" applyFont="1" applyBorder="1" applyAlignment="1">
      <alignment horizontal="center"/>
    </xf>
    <xf numFmtId="189" fontId="37" fillId="0" borderId="66" xfId="247" applyNumberFormat="1" applyFont="1" applyBorder="1" applyAlignment="1">
      <alignment horizontal="centerContinuous"/>
    </xf>
    <xf numFmtId="189" fontId="5" fillId="0" borderId="71" xfId="247" applyNumberFormat="1" applyFont="1" applyBorder="1" applyAlignment="1">
      <alignment horizontal="centerContinuous"/>
    </xf>
    <xf numFmtId="189" fontId="5" fillId="0" borderId="40" xfId="247" applyNumberFormat="1" applyFont="1" applyBorder="1" applyAlignment="1">
      <alignment horizontal="centerContinuous"/>
    </xf>
    <xf numFmtId="189" fontId="5" fillId="0" borderId="0" xfId="247" applyNumberFormat="1" applyFont="1" applyAlignment="1">
      <alignment horizontal="centerContinuous"/>
    </xf>
    <xf numFmtId="189" fontId="2" fillId="0" borderId="80" xfId="247" applyNumberFormat="1" applyFont="1" applyBorder="1" applyAlignment="1">
      <alignment horizontal="center"/>
    </xf>
    <xf numFmtId="189" fontId="5" fillId="0" borderId="46" xfId="247" applyNumberFormat="1" applyFont="1" applyBorder="1" applyAlignment="1">
      <alignment horizontal="center"/>
    </xf>
    <xf numFmtId="189" fontId="5" fillId="0" borderId="40" xfId="247" applyNumberFormat="1" applyFont="1" applyBorder="1"/>
    <xf numFmtId="189" fontId="37" fillId="0" borderId="64" xfId="247" applyNumberFormat="1" applyFont="1" applyBorder="1" applyAlignment="1">
      <alignment horizontal="center"/>
    </xf>
    <xf numFmtId="189" fontId="37" fillId="0" borderId="65" xfId="247" applyNumberFormat="1" applyFont="1" applyBorder="1" applyAlignment="1">
      <alignment horizontal="center"/>
    </xf>
    <xf numFmtId="189" fontId="2" fillId="0" borderId="79" xfId="247" applyNumberFormat="1" applyFont="1" applyBorder="1" applyAlignment="1">
      <alignment horizontal="center"/>
    </xf>
    <xf numFmtId="189" fontId="2" fillId="0" borderId="64" xfId="247" applyNumberFormat="1" applyFont="1" applyBorder="1" applyAlignment="1">
      <alignment horizontal="center"/>
    </xf>
    <xf numFmtId="189" fontId="38" fillId="0" borderId="64" xfId="247" applyNumberFormat="1" applyFont="1" applyBorder="1" applyAlignment="1">
      <alignment horizontal="center"/>
    </xf>
    <xf numFmtId="189" fontId="5" fillId="0" borderId="66" xfId="247" applyNumberFormat="1" applyFont="1" applyBorder="1" applyAlignment="1">
      <alignment horizontal="center"/>
    </xf>
    <xf numFmtId="189" fontId="82" fillId="0" borderId="81" xfId="247" applyNumberFormat="1" applyFont="1" applyBorder="1" applyAlignment="1">
      <alignment horizontal="center"/>
    </xf>
    <xf numFmtId="189" fontId="37" fillId="0" borderId="81" xfId="247" applyNumberFormat="1" applyFont="1" applyBorder="1" applyAlignment="1">
      <alignment horizontal="center"/>
    </xf>
    <xf numFmtId="189" fontId="37" fillId="0" borderId="71" xfId="247" applyNumberFormat="1" applyFont="1" applyBorder="1" applyAlignment="1">
      <alignment horizontal="center"/>
    </xf>
    <xf numFmtId="189" fontId="37" fillId="0" borderId="66" xfId="247" applyNumberFormat="1" applyFont="1" applyBorder="1" applyAlignment="1">
      <alignment horizontal="center"/>
    </xf>
    <xf numFmtId="189" fontId="2" fillId="0" borderId="81" xfId="247" applyNumberFormat="1" applyFont="1" applyBorder="1" applyAlignment="1">
      <alignment horizontal="center"/>
    </xf>
    <xf numFmtId="189" fontId="2" fillId="0" borderId="71" xfId="247" applyNumberFormat="1" applyFont="1" applyBorder="1" applyAlignment="1">
      <alignment horizontal="center"/>
    </xf>
    <xf numFmtId="189" fontId="39" fillId="0" borderId="71" xfId="247" applyNumberFormat="1" applyFont="1" applyBorder="1" applyAlignment="1">
      <alignment horizontal="center"/>
    </xf>
    <xf numFmtId="189" fontId="5" fillId="0" borderId="71" xfId="247" applyNumberFormat="1" applyFont="1" applyBorder="1"/>
    <xf numFmtId="189" fontId="40" fillId="0" borderId="72" xfId="247" applyNumberFormat="1" applyFont="1" applyBorder="1"/>
    <xf numFmtId="189" fontId="1" fillId="0" borderId="73" xfId="247" applyNumberFormat="1" applyBorder="1"/>
    <xf numFmtId="189" fontId="1" fillId="0" borderId="73" xfId="247" applyNumberFormat="1" applyBorder="1" applyAlignment="1">
      <alignment horizontal="center"/>
    </xf>
    <xf numFmtId="189" fontId="1" fillId="0" borderId="82" xfId="247" applyNumberFormat="1" applyBorder="1"/>
    <xf numFmtId="189" fontId="28" fillId="0" borderId="83" xfId="247" applyNumberFormat="1" applyFont="1" applyBorder="1"/>
    <xf numFmtId="189" fontId="28" fillId="0" borderId="16" xfId="247" applyNumberFormat="1" applyFont="1" applyBorder="1"/>
    <xf numFmtId="189" fontId="28" fillId="0" borderId="16" xfId="247" applyNumberFormat="1" applyFont="1" applyBorder="1" applyAlignment="1">
      <alignment horizontal="center"/>
    </xf>
    <xf numFmtId="189" fontId="28" fillId="0" borderId="84" xfId="247" applyNumberFormat="1" applyFont="1" applyBorder="1"/>
    <xf numFmtId="189" fontId="28" fillId="58" borderId="83" xfId="247" applyNumberFormat="1" applyFont="1" applyFill="1" applyBorder="1"/>
    <xf numFmtId="189" fontId="28" fillId="58" borderId="16" xfId="247" applyNumberFormat="1" applyFont="1" applyFill="1" applyBorder="1"/>
    <xf numFmtId="189" fontId="28" fillId="58" borderId="16" xfId="247" applyNumberFormat="1" applyFont="1" applyFill="1" applyBorder="1" applyAlignment="1">
      <alignment horizontal="center"/>
    </xf>
    <xf numFmtId="189" fontId="1" fillId="0" borderId="85" xfId="247" applyNumberFormat="1" applyBorder="1"/>
    <xf numFmtId="189" fontId="1" fillId="0" borderId="11" xfId="247" applyNumberFormat="1" applyBorder="1"/>
    <xf numFmtId="189" fontId="1" fillId="0" borderId="11" xfId="247" applyNumberFormat="1" applyBorder="1" applyAlignment="1">
      <alignment horizontal="center"/>
    </xf>
    <xf numFmtId="189" fontId="1" fillId="0" borderId="84" xfId="247" applyNumberFormat="1" applyBorder="1"/>
    <xf numFmtId="189" fontId="28" fillId="0" borderId="85" xfId="247" applyNumberFormat="1" applyFont="1" applyBorder="1"/>
    <xf numFmtId="189" fontId="28" fillId="0" borderId="11" xfId="247" applyNumberFormat="1" applyFont="1" applyBorder="1"/>
    <xf numFmtId="189" fontId="1" fillId="59" borderId="11" xfId="247" applyNumberFormat="1" applyFill="1" applyBorder="1"/>
    <xf numFmtId="189" fontId="1" fillId="59" borderId="84" xfId="247" applyNumberFormat="1" applyFill="1" applyBorder="1"/>
    <xf numFmtId="189" fontId="84" fillId="0" borderId="11" xfId="247" applyNumberFormat="1" applyFont="1" applyBorder="1"/>
    <xf numFmtId="189" fontId="28" fillId="60" borderId="85" xfId="247" applyNumberFormat="1" applyFont="1" applyFill="1" applyBorder="1"/>
    <xf numFmtId="189" fontId="28" fillId="60" borderId="11" xfId="247" applyNumberFormat="1" applyFont="1" applyFill="1" applyBorder="1"/>
    <xf numFmtId="189" fontId="84" fillId="60" borderId="11" xfId="247" applyNumberFormat="1" applyFont="1" applyFill="1" applyBorder="1"/>
    <xf numFmtId="189" fontId="28" fillId="60" borderId="16" xfId="247" applyNumberFormat="1" applyFont="1" applyFill="1" applyBorder="1"/>
    <xf numFmtId="189" fontId="1" fillId="58" borderId="11" xfId="247" applyNumberFormat="1" applyFill="1" applyBorder="1"/>
    <xf numFmtId="3" fontId="1" fillId="0" borderId="0" xfId="247" applyNumberFormat="1"/>
    <xf numFmtId="0" fontId="1" fillId="61" borderId="0" xfId="247" applyFill="1"/>
    <xf numFmtId="189" fontId="41" fillId="0" borderId="85" xfId="247" applyNumberFormat="1" applyFont="1" applyBorder="1" applyAlignment="1">
      <alignment horizontal="center"/>
    </xf>
    <xf numFmtId="189" fontId="5" fillId="0" borderId="86" xfId="247" applyNumberFormat="1" applyFont="1" applyBorder="1"/>
    <xf numFmtId="189" fontId="40" fillId="0" borderId="85" xfId="247" applyNumberFormat="1" applyFont="1" applyBorder="1"/>
    <xf numFmtId="3" fontId="85" fillId="0" borderId="0" xfId="247" applyNumberFormat="1" applyFont="1"/>
    <xf numFmtId="189" fontId="85" fillId="0" borderId="11" xfId="247" applyNumberFormat="1" applyFont="1" applyBorder="1"/>
    <xf numFmtId="189" fontId="85" fillId="0" borderId="16" xfId="247" applyNumberFormat="1" applyFont="1" applyBorder="1"/>
    <xf numFmtId="189" fontId="1" fillId="0" borderId="17" xfId="247" applyNumberFormat="1" applyBorder="1"/>
    <xf numFmtId="189" fontId="86" fillId="0" borderId="11" xfId="247" applyNumberFormat="1" applyFont="1" applyBorder="1"/>
    <xf numFmtId="189" fontId="1" fillId="60" borderId="85" xfId="247" applyNumberFormat="1" applyFill="1" applyBorder="1"/>
    <xf numFmtId="189" fontId="1" fillId="60" borderId="11" xfId="247" applyNumberFormat="1" applyFill="1" applyBorder="1"/>
    <xf numFmtId="189" fontId="86" fillId="60" borderId="11" xfId="247" applyNumberFormat="1" applyFont="1" applyFill="1" applyBorder="1"/>
    <xf numFmtId="189" fontId="28" fillId="60" borderId="17" xfId="247" applyNumberFormat="1" applyFont="1" applyFill="1" applyBorder="1"/>
    <xf numFmtId="0" fontId="1" fillId="59" borderId="0" xfId="247" applyFill="1"/>
    <xf numFmtId="189" fontId="28" fillId="60" borderId="74" xfId="247" applyNumberFormat="1" applyFont="1" applyFill="1" applyBorder="1"/>
    <xf numFmtId="189" fontId="85" fillId="60" borderId="11" xfId="247" applyNumberFormat="1" applyFont="1" applyFill="1" applyBorder="1"/>
    <xf numFmtId="189" fontId="40" fillId="0" borderId="85" xfId="247" applyNumberFormat="1" applyFont="1" applyBorder="1" applyAlignment="1">
      <alignment horizontal="center"/>
    </xf>
    <xf numFmtId="189" fontId="5" fillId="0" borderId="17" xfId="247" applyNumberFormat="1" applyFont="1" applyBorder="1"/>
    <xf numFmtId="189" fontId="87" fillId="0" borderId="11" xfId="247" applyNumberFormat="1" applyFont="1" applyBorder="1"/>
    <xf numFmtId="189" fontId="1" fillId="58" borderId="85" xfId="247" applyNumberFormat="1" applyFill="1" applyBorder="1"/>
    <xf numFmtId="189" fontId="1" fillId="58" borderId="17" xfId="247" applyNumberFormat="1" applyFill="1" applyBorder="1"/>
    <xf numFmtId="189" fontId="87" fillId="58" borderId="11" xfId="247" applyNumberFormat="1" applyFont="1" applyFill="1" applyBorder="1"/>
    <xf numFmtId="189" fontId="86" fillId="58" borderId="85" xfId="247" applyNumberFormat="1" applyFont="1" applyFill="1" applyBorder="1"/>
    <xf numFmtId="189" fontId="86" fillId="58" borderId="17" xfId="247" applyNumberFormat="1" applyFont="1" applyFill="1" applyBorder="1"/>
    <xf numFmtId="189" fontId="42" fillId="58" borderId="85" xfId="247" applyNumberFormat="1" applyFont="1" applyFill="1" applyBorder="1"/>
    <xf numFmtId="189" fontId="1" fillId="0" borderId="12" xfId="247" applyNumberFormat="1" applyBorder="1"/>
    <xf numFmtId="189" fontId="86" fillId="58" borderId="87" xfId="247" applyNumberFormat="1" applyFont="1" applyFill="1" applyBorder="1"/>
    <xf numFmtId="189" fontId="86" fillId="58" borderId="11" xfId="247" applyNumberFormat="1" applyFont="1" applyFill="1" applyBorder="1"/>
    <xf numFmtId="189" fontId="88" fillId="58" borderId="11" xfId="247" applyNumberFormat="1" applyFont="1" applyFill="1" applyBorder="1"/>
    <xf numFmtId="189" fontId="28" fillId="59" borderId="16" xfId="247" applyNumberFormat="1" applyFont="1" applyFill="1" applyBorder="1"/>
    <xf numFmtId="189" fontId="41" fillId="58" borderId="85" xfId="247" applyNumberFormat="1" applyFont="1" applyFill="1" applyBorder="1" applyAlignment="1">
      <alignment horizontal="centerContinuous"/>
    </xf>
    <xf numFmtId="189" fontId="5" fillId="58" borderId="11" xfId="247" applyNumberFormat="1" applyFont="1" applyFill="1" applyBorder="1"/>
    <xf numFmtId="189" fontId="28" fillId="0" borderId="44" xfId="247" applyNumberFormat="1" applyFont="1" applyBorder="1" applyAlignment="1">
      <alignment horizontal="left"/>
    </xf>
    <xf numFmtId="189" fontId="28" fillId="0" borderId="12" xfId="247" applyNumberFormat="1" applyFont="1" applyBorder="1"/>
    <xf numFmtId="189" fontId="1" fillId="0" borderId="88" xfId="247" applyNumberFormat="1" applyBorder="1"/>
    <xf numFmtId="189" fontId="1" fillId="0" borderId="89" xfId="247" applyNumberFormat="1" applyBorder="1"/>
    <xf numFmtId="189" fontId="43" fillId="59" borderId="88" xfId="247" applyNumberFormat="1" applyFont="1" applyFill="1" applyBorder="1"/>
    <xf numFmtId="189" fontId="28" fillId="0" borderId="88" xfId="247" applyNumberFormat="1" applyFont="1" applyBorder="1"/>
    <xf numFmtId="164" fontId="1" fillId="0" borderId="0" xfId="247" applyNumberFormat="1"/>
    <xf numFmtId="189" fontId="5" fillId="0" borderId="0" xfId="247" applyNumberFormat="1" applyFont="1"/>
    <xf numFmtId="189" fontId="44" fillId="59" borderId="0" xfId="247" applyNumberFormat="1" applyFont="1" applyFill="1" applyAlignment="1">
      <alignment horizontal="center"/>
    </xf>
    <xf numFmtId="0" fontId="45" fillId="0" borderId="0" xfId="247" applyFont="1" applyAlignment="1">
      <alignment horizontal="right"/>
    </xf>
    <xf numFmtId="0" fontId="46" fillId="59" borderId="0" xfId="247" applyFont="1" applyFill="1"/>
    <xf numFmtId="0" fontId="47" fillId="59" borderId="0" xfId="247" applyFont="1" applyFill="1" applyAlignment="1">
      <alignment horizontal="right"/>
    </xf>
    <xf numFmtId="0" fontId="4" fillId="59" borderId="0" xfId="247" applyFont="1" applyFill="1"/>
    <xf numFmtId="0" fontId="47" fillId="0" borderId="0" xfId="247" applyFont="1" applyAlignment="1">
      <alignment horizontal="right"/>
    </xf>
    <xf numFmtId="0" fontId="4" fillId="0" borderId="0" xfId="247" applyFont="1"/>
    <xf numFmtId="0" fontId="47" fillId="0" borderId="0" xfId="247" applyFont="1"/>
    <xf numFmtId="3" fontId="47" fillId="0" borderId="0" xfId="247" applyNumberFormat="1" applyFont="1"/>
    <xf numFmtId="3" fontId="47" fillId="0" borderId="0" xfId="247" applyNumberFormat="1" applyFont="1" applyAlignment="1">
      <alignment horizontal="right"/>
    </xf>
    <xf numFmtId="0" fontId="48" fillId="0" borderId="0" xfId="247" applyFont="1"/>
    <xf numFmtId="3" fontId="48" fillId="59" borderId="0" xfId="247" applyNumberFormat="1" applyFont="1" applyFill="1" applyAlignment="1">
      <alignment horizontal="right"/>
    </xf>
    <xf numFmtId="189" fontId="4" fillId="0" borderId="0" xfId="247" applyNumberFormat="1" applyFont="1"/>
    <xf numFmtId="3" fontId="49" fillId="0" borderId="0" xfId="247" applyNumberFormat="1" applyFont="1" applyAlignment="1">
      <alignment horizontal="center"/>
    </xf>
    <xf numFmtId="3" fontId="48" fillId="0" borderId="0" xfId="247" applyNumberFormat="1" applyFont="1" applyAlignment="1">
      <alignment horizontal="right"/>
    </xf>
    <xf numFmtId="3" fontId="4" fillId="0" borderId="0" xfId="247" applyNumberFormat="1" applyFont="1"/>
    <xf numFmtId="14" fontId="77" fillId="0" borderId="0" xfId="0" applyNumberFormat="1" applyFont="1"/>
    <xf numFmtId="164" fontId="0" fillId="0" borderId="0" xfId="114" applyFont="1"/>
    <xf numFmtId="189" fontId="5" fillId="0" borderId="16" xfId="247" applyNumberFormat="1" applyFont="1" applyBorder="1"/>
    <xf numFmtId="14" fontId="82" fillId="0" borderId="81" xfId="247" applyNumberFormat="1" applyFont="1" applyBorder="1" applyAlignment="1">
      <alignment horizontal="center"/>
    </xf>
    <xf numFmtId="0" fontId="89" fillId="0" borderId="0" xfId="0" applyFont="1"/>
    <xf numFmtId="0" fontId="83" fillId="0" borderId="0" xfId="0" applyFont="1"/>
    <xf numFmtId="0" fontId="80" fillId="0" borderId="0" xfId="0" applyFont="1" applyAlignment="1">
      <alignment horizontal="center" vertical="center"/>
    </xf>
    <xf numFmtId="0" fontId="91" fillId="0" borderId="24" xfId="0" applyFont="1" applyBorder="1" applyAlignment="1">
      <alignment horizontal="left" wrapText="1"/>
    </xf>
    <xf numFmtId="0" fontId="83" fillId="0" borderId="0" xfId="0" applyFont="1" applyAlignment="1">
      <alignment wrapText="1"/>
    </xf>
    <xf numFmtId="1" fontId="91" fillId="0" borderId="0" xfId="0" applyNumberFormat="1" applyFont="1" applyAlignment="1">
      <alignment wrapText="1"/>
    </xf>
    <xf numFmtId="0" fontId="80" fillId="0" borderId="0" xfId="0" applyFont="1" applyAlignment="1">
      <alignment horizontal="center" vertical="center" wrapText="1"/>
    </xf>
    <xf numFmtId="0" fontId="91" fillId="0" borderId="0" xfId="0" applyFont="1" applyAlignment="1">
      <alignment wrapText="1"/>
    </xf>
    <xf numFmtId="0" fontId="77" fillId="0" borderId="0" xfId="0" applyFont="1" applyAlignment="1">
      <alignment horizontal="center" vertical="center"/>
    </xf>
    <xf numFmtId="0" fontId="92" fillId="0" borderId="72" xfId="0" applyFont="1" applyBorder="1" applyAlignment="1">
      <alignment vertical="center"/>
    </xf>
    <xf numFmtId="169" fontId="79" fillId="0" borderId="73" xfId="113" applyNumberFormat="1" applyFont="1" applyFill="1" applyBorder="1" applyAlignment="1">
      <alignment horizontal="center" vertical="center" wrapText="1"/>
    </xf>
    <xf numFmtId="0" fontId="92" fillId="0" borderId="73" xfId="0" applyFont="1" applyBorder="1" applyAlignment="1">
      <alignment vertical="center"/>
    </xf>
    <xf numFmtId="169" fontId="79" fillId="0" borderId="82" xfId="113" applyNumberFormat="1" applyFont="1" applyFill="1" applyBorder="1" applyAlignment="1">
      <alignment horizontal="center" vertical="center" wrapText="1"/>
    </xf>
    <xf numFmtId="0" fontId="78" fillId="0" borderId="44" xfId="107" applyFont="1" applyBorder="1"/>
    <xf numFmtId="174" fontId="92" fillId="0" borderId="25" xfId="113" applyNumberFormat="1" applyFont="1" applyFill="1" applyBorder="1" applyAlignment="1">
      <alignment horizontal="right"/>
    </xf>
    <xf numFmtId="174" fontId="79" fillId="0" borderId="12" xfId="113" applyNumberFormat="1" applyFont="1" applyFill="1" applyBorder="1" applyAlignment="1">
      <alignment horizontal="right"/>
    </xf>
    <xf numFmtId="0" fontId="92" fillId="0" borderId="25" xfId="0" applyFont="1" applyBorder="1"/>
    <xf numFmtId="174" fontId="91" fillId="0" borderId="12" xfId="113" applyNumberFormat="1" applyFont="1" applyFill="1" applyBorder="1" applyAlignment="1">
      <alignment horizontal="right"/>
    </xf>
    <xf numFmtId="174" fontId="83" fillId="0" borderId="106" xfId="113" applyNumberFormat="1" applyFont="1" applyFill="1" applyBorder="1" applyAlignment="1">
      <alignment horizontal="right"/>
    </xf>
    <xf numFmtId="174" fontId="91" fillId="0" borderId="25" xfId="113" applyNumberFormat="1" applyFont="1" applyFill="1" applyBorder="1" applyAlignment="1">
      <alignment horizontal="right"/>
    </xf>
    <xf numFmtId="174" fontId="83" fillId="0" borderId="12" xfId="113" applyNumberFormat="1" applyFont="1" applyFill="1" applyBorder="1" applyAlignment="1">
      <alignment horizontal="right"/>
    </xf>
    <xf numFmtId="0" fontId="91" fillId="0" borderId="44" xfId="0" applyFont="1" applyBorder="1" applyAlignment="1">
      <alignment horizontal="left"/>
    </xf>
    <xf numFmtId="0" fontId="78" fillId="0" borderId="25" xfId="107" applyFont="1" applyBorder="1" applyAlignment="1">
      <alignment horizontal="left"/>
    </xf>
    <xf numFmtId="174" fontId="83" fillId="0" borderId="0" xfId="0" applyNumberFormat="1" applyFont="1" applyAlignment="1">
      <alignment wrapText="1"/>
    </xf>
    <xf numFmtId="174" fontId="83" fillId="0" borderId="46" xfId="113" applyNumberFormat="1" applyFont="1" applyFill="1" applyBorder="1" applyAlignment="1">
      <alignment horizontal="right"/>
    </xf>
    <xf numFmtId="0" fontId="91" fillId="0" borderId="44" xfId="0" applyFont="1" applyBorder="1"/>
    <xf numFmtId="174" fontId="92" fillId="0" borderId="26" xfId="113" applyNumberFormat="1" applyFont="1" applyFill="1" applyBorder="1" applyAlignment="1">
      <alignment horizontal="right"/>
    </xf>
    <xf numFmtId="0" fontId="91" fillId="0" borderId="25" xfId="0" applyFont="1" applyBorder="1" applyAlignment="1">
      <alignment horizontal="left"/>
    </xf>
    <xf numFmtId="174" fontId="92" fillId="0" borderId="107" xfId="113" applyNumberFormat="1" applyFont="1" applyFill="1" applyBorder="1" applyAlignment="1">
      <alignment horizontal="right"/>
    </xf>
    <xf numFmtId="0" fontId="78" fillId="0" borderId="25" xfId="107" applyFont="1" applyBorder="1"/>
    <xf numFmtId="0" fontId="93" fillId="0" borderId="44" xfId="0" applyFont="1" applyBorder="1"/>
    <xf numFmtId="174" fontId="92" fillId="0" borderId="28" xfId="113" applyNumberFormat="1" applyFont="1" applyFill="1" applyBorder="1" applyAlignment="1">
      <alignment horizontal="right"/>
    </xf>
    <xf numFmtId="0" fontId="91" fillId="0" borderId="25" xfId="0" applyFont="1" applyBorder="1"/>
    <xf numFmtId="174" fontId="92" fillId="0" borderId="108" xfId="113" applyNumberFormat="1" applyFont="1" applyFill="1" applyBorder="1" applyAlignment="1">
      <alignment horizontal="right"/>
    </xf>
    <xf numFmtId="164" fontId="83" fillId="0" borderId="0" xfId="114" applyFont="1" applyAlignment="1">
      <alignment wrapText="1"/>
    </xf>
    <xf numFmtId="174" fontId="83" fillId="0" borderId="25" xfId="113" applyNumberFormat="1" applyFont="1" applyFill="1" applyBorder="1" applyAlignment="1">
      <alignment horizontal="right"/>
    </xf>
    <xf numFmtId="0" fontId="92" fillId="0" borderId="44" xfId="0" applyFont="1" applyBorder="1"/>
    <xf numFmtId="164" fontId="83" fillId="0" borderId="0" xfId="0" applyNumberFormat="1" applyFont="1" applyAlignment="1">
      <alignment wrapText="1"/>
    </xf>
    <xf numFmtId="0" fontId="78" fillId="0" borderId="44" xfId="107" applyFont="1" applyBorder="1" applyAlignment="1">
      <alignment horizontal="left"/>
    </xf>
    <xf numFmtId="0" fontId="92" fillId="0" borderId="25" xfId="0" applyFont="1" applyBorder="1" applyAlignment="1">
      <alignment horizontal="left"/>
    </xf>
    <xf numFmtId="174" fontId="92" fillId="0" borderId="12" xfId="113" applyNumberFormat="1" applyFont="1" applyFill="1" applyBorder="1" applyAlignment="1">
      <alignment horizontal="right"/>
    </xf>
    <xf numFmtId="174" fontId="79" fillId="0" borderId="106" xfId="113" applyNumberFormat="1" applyFont="1" applyFill="1" applyBorder="1" applyAlignment="1">
      <alignment horizontal="right"/>
    </xf>
    <xf numFmtId="174" fontId="83" fillId="0" borderId="109" xfId="113" applyNumberFormat="1" applyFont="1" applyFill="1" applyBorder="1" applyAlignment="1">
      <alignment horizontal="right"/>
    </xf>
    <xf numFmtId="174" fontId="92" fillId="0" borderId="110" xfId="113" applyNumberFormat="1" applyFont="1" applyFill="1" applyBorder="1" applyAlignment="1">
      <alignment horizontal="right"/>
    </xf>
    <xf numFmtId="0" fontId="92" fillId="0" borderId="111" xfId="0" applyFont="1" applyBorder="1"/>
    <xf numFmtId="174" fontId="92" fillId="0" borderId="30" xfId="113" applyNumberFormat="1" applyFont="1" applyFill="1" applyBorder="1" applyAlignment="1">
      <alignment horizontal="right"/>
    </xf>
    <xf numFmtId="0" fontId="92" fillId="0" borderId="31" xfId="0" applyFont="1" applyBorder="1"/>
    <xf numFmtId="174" fontId="92" fillId="0" borderId="112" xfId="113" applyNumberFormat="1" applyFont="1" applyFill="1" applyBorder="1" applyAlignment="1">
      <alignment horizontal="right"/>
    </xf>
    <xf numFmtId="174" fontId="94" fillId="0" borderId="25" xfId="113" applyNumberFormat="1" applyFont="1" applyFill="1" applyBorder="1" applyAlignment="1">
      <alignment horizontal="right"/>
    </xf>
    <xf numFmtId="49" fontId="91" fillId="0" borderId="0" xfId="0" applyNumberFormat="1" applyFont="1" applyAlignment="1">
      <alignment wrapText="1"/>
    </xf>
    <xf numFmtId="164" fontId="91" fillId="0" borderId="25" xfId="0" applyNumberFormat="1" applyFont="1" applyBorder="1"/>
    <xf numFmtId="174" fontId="92" fillId="0" borderId="113" xfId="113" applyNumberFormat="1" applyFont="1" applyFill="1" applyBorder="1" applyAlignment="1">
      <alignment horizontal="right"/>
    </xf>
    <xf numFmtId="0" fontId="92" fillId="0" borderId="32" xfId="0" applyFont="1" applyBorder="1"/>
    <xf numFmtId="174" fontId="92" fillId="0" borderId="33" xfId="113" applyNumberFormat="1" applyFont="1" applyFill="1" applyBorder="1" applyAlignment="1">
      <alignment horizontal="right"/>
    </xf>
    <xf numFmtId="174" fontId="92" fillId="0" borderId="114" xfId="113" applyNumberFormat="1" applyFont="1" applyFill="1" applyBorder="1" applyAlignment="1">
      <alignment horizontal="right"/>
    </xf>
    <xf numFmtId="174" fontId="91" fillId="0" borderId="46" xfId="113" applyNumberFormat="1" applyFont="1" applyFill="1" applyBorder="1" applyAlignment="1">
      <alignment horizontal="right"/>
    </xf>
    <xf numFmtId="174" fontId="91" fillId="0" borderId="29" xfId="113" applyNumberFormat="1" applyFont="1" applyFill="1" applyBorder="1" applyAlignment="1">
      <alignment horizontal="right"/>
    </xf>
    <xf numFmtId="174" fontId="83" fillId="0" borderId="27" xfId="113" applyNumberFormat="1" applyFont="1" applyFill="1" applyBorder="1" applyAlignment="1">
      <alignment horizontal="right"/>
    </xf>
    <xf numFmtId="0" fontId="91" fillId="0" borderId="0" xfId="0" applyFont="1"/>
    <xf numFmtId="174" fontId="83" fillId="0" borderId="16" xfId="113" applyNumberFormat="1" applyFont="1" applyFill="1" applyBorder="1" applyAlignment="1">
      <alignment horizontal="right"/>
    </xf>
    <xf numFmtId="174" fontId="83" fillId="0" borderId="84" xfId="113" applyNumberFormat="1" applyFont="1" applyFill="1" applyBorder="1" applyAlignment="1">
      <alignment horizontal="right"/>
    </xf>
    <xf numFmtId="174" fontId="79" fillId="0" borderId="36" xfId="113" applyNumberFormat="1" applyFont="1" applyFill="1" applyBorder="1" applyAlignment="1">
      <alignment horizontal="right"/>
    </xf>
    <xf numFmtId="174" fontId="92" fillId="0" borderId="27" xfId="113" applyNumberFormat="1" applyFont="1" applyFill="1" applyBorder="1" applyAlignment="1">
      <alignment horizontal="right"/>
    </xf>
    <xf numFmtId="174" fontId="92" fillId="0" borderId="109" xfId="113" applyNumberFormat="1" applyFont="1" applyFill="1" applyBorder="1" applyAlignment="1">
      <alignment horizontal="right"/>
    </xf>
    <xf numFmtId="0" fontId="92" fillId="0" borderId="83" xfId="0" applyFont="1" applyBorder="1"/>
    <xf numFmtId="174" fontId="92" fillId="0" borderId="16" xfId="113" applyNumberFormat="1" applyFont="1" applyFill="1" applyBorder="1" applyAlignment="1">
      <alignment horizontal="right"/>
    </xf>
    <xf numFmtId="174" fontId="92" fillId="0" borderId="35" xfId="113" applyNumberFormat="1" applyFont="1" applyFill="1" applyBorder="1" applyAlignment="1">
      <alignment horizontal="right"/>
    </xf>
    <xf numFmtId="0" fontId="92" fillId="0" borderId="34" xfId="0" applyFont="1" applyBorder="1"/>
    <xf numFmtId="174" fontId="92" fillId="0" borderId="115" xfId="113" applyNumberFormat="1" applyFont="1" applyFill="1" applyBorder="1" applyAlignment="1">
      <alignment horizontal="right"/>
    </xf>
    <xf numFmtId="0" fontId="92" fillId="0" borderId="49" xfId="0" applyFont="1" applyBorder="1"/>
    <xf numFmtId="174" fontId="92" fillId="0" borderId="87" xfId="113" applyNumberFormat="1" applyFont="1" applyFill="1" applyBorder="1" applyAlignment="1">
      <alignment horizontal="right"/>
    </xf>
    <xf numFmtId="0" fontId="92" fillId="0" borderId="77" xfId="0" applyFont="1" applyBorder="1"/>
    <xf numFmtId="164" fontId="83" fillId="0" borderId="0" xfId="114" applyFont="1"/>
    <xf numFmtId="174" fontId="83" fillId="0" borderId="0" xfId="0" applyNumberFormat="1" applyFont="1"/>
    <xf numFmtId="0" fontId="91" fillId="0" borderId="24" xfId="0" applyFont="1" applyBorder="1" applyAlignment="1">
      <alignment horizontal="left"/>
    </xf>
    <xf numFmtId="0" fontId="91" fillId="0" borderId="0" xfId="0" applyFont="1" applyAlignment="1">
      <alignment horizontal="left"/>
    </xf>
    <xf numFmtId="0" fontId="92" fillId="0" borderId="0" xfId="0" applyFont="1"/>
    <xf numFmtId="169" fontId="92" fillId="0" borderId="0" xfId="113" applyNumberFormat="1" applyFont="1" applyFill="1"/>
    <xf numFmtId="169" fontId="83" fillId="0" borderId="0" xfId="0" applyNumberFormat="1" applyFont="1"/>
    <xf numFmtId="169" fontId="83" fillId="0" borderId="0" xfId="113" applyNumberFormat="1" applyFont="1" applyFill="1"/>
    <xf numFmtId="169" fontId="83" fillId="0" borderId="0" xfId="113" applyNumberFormat="1" applyFont="1" applyFill="1" applyProtection="1">
      <protection hidden="1"/>
    </xf>
    <xf numFmtId="3" fontId="83" fillId="0" borderId="0" xfId="0" applyNumberFormat="1" applyFont="1"/>
    <xf numFmtId="0" fontId="96" fillId="0" borderId="0" xfId="0" applyFont="1"/>
    <xf numFmtId="0" fontId="96" fillId="0" borderId="0" xfId="0" applyFont="1" applyAlignment="1">
      <alignment wrapText="1"/>
    </xf>
    <xf numFmtId="0" fontId="75" fillId="0" borderId="0" xfId="0" applyFont="1" applyAlignment="1">
      <alignment horizontal="center" vertical="center" wrapText="1"/>
    </xf>
    <xf numFmtId="0" fontId="0" fillId="0" borderId="0" xfId="0" applyAlignment="1">
      <alignment horizontal="center" vertical="center"/>
    </xf>
    <xf numFmtId="0" fontId="69" fillId="0" borderId="0" xfId="0" applyFont="1"/>
    <xf numFmtId="0" fontId="83" fillId="0" borderId="19" xfId="0" applyFont="1" applyBorder="1"/>
    <xf numFmtId="3" fontId="83" fillId="0" borderId="20" xfId="0" applyNumberFormat="1" applyFont="1" applyBorder="1"/>
    <xf numFmtId="14" fontId="79" fillId="0" borderId="52" xfId="114" applyNumberFormat="1" applyFont="1" applyFill="1" applyBorder="1" applyAlignment="1">
      <alignment horizontal="center" wrapText="1"/>
    </xf>
    <xf numFmtId="0" fontId="78" fillId="0" borderId="65" xfId="107" applyFont="1" applyBorder="1"/>
    <xf numFmtId="3" fontId="79" fillId="0" borderId="63" xfId="0" applyNumberFormat="1" applyFont="1" applyBorder="1"/>
    <xf numFmtId="0" fontId="83" fillId="0" borderId="63" xfId="0" applyFont="1" applyBorder="1"/>
    <xf numFmtId="174" fontId="83" fillId="0" borderId="64" xfId="113" applyNumberFormat="1" applyFont="1" applyFill="1" applyBorder="1" applyAlignment="1">
      <alignment horizontal="right"/>
    </xf>
    <xf numFmtId="0" fontId="79" fillId="0" borderId="40" xfId="0" applyFont="1" applyBorder="1"/>
    <xf numFmtId="3" fontId="79" fillId="0" borderId="0" xfId="0" applyNumberFormat="1" applyFont="1"/>
    <xf numFmtId="174" fontId="79" fillId="0" borderId="0" xfId="113" applyNumberFormat="1" applyFont="1" applyFill="1" applyBorder="1" applyAlignment="1">
      <alignment horizontal="right"/>
    </xf>
    <xf numFmtId="164" fontId="79" fillId="0" borderId="46" xfId="114" applyFont="1" applyFill="1" applyBorder="1" applyAlignment="1">
      <alignment horizontal="right"/>
    </xf>
    <xf numFmtId="164" fontId="83" fillId="0" borderId="0" xfId="114" applyFont="1" applyFill="1"/>
    <xf numFmtId="0" fontId="83" fillId="0" borderId="40" xfId="0" applyFont="1" applyBorder="1"/>
    <xf numFmtId="174" fontId="83" fillId="0" borderId="0" xfId="113" applyNumberFormat="1" applyFont="1" applyFill="1" applyBorder="1" applyAlignment="1">
      <alignment horizontal="right"/>
    </xf>
    <xf numFmtId="164" fontId="83" fillId="0" borderId="46" xfId="114" applyFont="1" applyFill="1" applyBorder="1" applyAlignment="1">
      <alignment horizontal="right"/>
    </xf>
    <xf numFmtId="164" fontId="79" fillId="0" borderId="0" xfId="0" applyNumberFormat="1" applyFont="1"/>
    <xf numFmtId="49" fontId="83" fillId="0" borderId="40" xfId="0" applyNumberFormat="1" applyFont="1" applyBorder="1"/>
    <xf numFmtId="0" fontId="78" fillId="0" borderId="40" xfId="107" applyFont="1" applyBorder="1"/>
    <xf numFmtId="164" fontId="83" fillId="0" borderId="0" xfId="0" applyNumberFormat="1" applyFont="1"/>
    <xf numFmtId="164" fontId="79" fillId="0" borderId="68" xfId="114" applyFont="1" applyBorder="1"/>
    <xf numFmtId="0" fontId="79" fillId="0" borderId="94" xfId="0" applyFont="1" applyBorder="1"/>
    <xf numFmtId="3" fontId="83" fillId="0" borderId="90" xfId="0" applyNumberFormat="1" applyFont="1" applyBorder="1"/>
    <xf numFmtId="164" fontId="79" fillId="0" borderId="90" xfId="114" applyFont="1" applyBorder="1"/>
    <xf numFmtId="164" fontId="79" fillId="0" borderId="69" xfId="114" applyFont="1" applyBorder="1"/>
    <xf numFmtId="0" fontId="83" fillId="0" borderId="65" xfId="0" applyFont="1" applyBorder="1"/>
    <xf numFmtId="3" fontId="83" fillId="0" borderId="63" xfId="0" applyNumberFormat="1" applyFont="1" applyBorder="1"/>
    <xf numFmtId="174" fontId="83" fillId="0" borderId="63" xfId="113" applyNumberFormat="1" applyFont="1" applyFill="1" applyBorder="1" applyAlignment="1">
      <alignment horizontal="right"/>
    </xf>
    <xf numFmtId="49" fontId="78" fillId="0" borderId="40" xfId="107" applyNumberFormat="1" applyFont="1" applyBorder="1"/>
    <xf numFmtId="174" fontId="79" fillId="0" borderId="46" xfId="113" applyNumberFormat="1" applyFont="1" applyFill="1" applyBorder="1" applyAlignment="1">
      <alignment horizontal="right"/>
    </xf>
    <xf numFmtId="3" fontId="100" fillId="0" borderId="0" xfId="0" applyNumberFormat="1" applyFont="1"/>
    <xf numFmtId="49" fontId="79" fillId="0" borderId="40" xfId="0" applyNumberFormat="1" applyFont="1" applyBorder="1"/>
    <xf numFmtId="169" fontId="79" fillId="0" borderId="0" xfId="113" applyNumberFormat="1" applyFont="1" applyFill="1"/>
    <xf numFmtId="0" fontId="79" fillId="0" borderId="0" xfId="0" applyFont="1"/>
    <xf numFmtId="169" fontId="100" fillId="0" borderId="0" xfId="113" applyNumberFormat="1" applyFont="1" applyFill="1"/>
    <xf numFmtId="0" fontId="100" fillId="0" borderId="0" xfId="0" applyFont="1"/>
    <xf numFmtId="49" fontId="83" fillId="0" borderId="66" xfId="0" applyNumberFormat="1" applyFont="1" applyBorder="1"/>
    <xf numFmtId="3" fontId="83" fillId="0" borderId="5" xfId="0" applyNumberFormat="1" applyFont="1" applyBorder="1"/>
    <xf numFmtId="174" fontId="83" fillId="0" borderId="5" xfId="113" applyNumberFormat="1" applyFont="1" applyFill="1" applyBorder="1" applyAlignment="1">
      <alignment horizontal="right"/>
    </xf>
    <xf numFmtId="174" fontId="83" fillId="0" borderId="71" xfId="113" applyNumberFormat="1" applyFont="1" applyFill="1" applyBorder="1" applyAlignment="1">
      <alignment horizontal="right"/>
    </xf>
    <xf numFmtId="0" fontId="79" fillId="0" borderId="60" xfId="0" applyFont="1" applyBorder="1"/>
    <xf numFmtId="3" fontId="83" fillId="0" borderId="15" xfId="0" applyNumberFormat="1" applyFont="1" applyBorder="1"/>
    <xf numFmtId="164" fontId="79" fillId="0" borderId="15" xfId="114" applyFont="1" applyBorder="1"/>
    <xf numFmtId="170" fontId="83" fillId="0" borderId="0" xfId="0" applyNumberFormat="1" applyFont="1"/>
    <xf numFmtId="170" fontId="83" fillId="0" borderId="0" xfId="113" applyNumberFormat="1" applyFont="1" applyFill="1"/>
    <xf numFmtId="0" fontId="79" fillId="0" borderId="56" xfId="0" applyFont="1" applyBorder="1"/>
    <xf numFmtId="3" fontId="83" fillId="0" borderId="23" xfId="0" applyNumberFormat="1" applyFont="1" applyBorder="1"/>
    <xf numFmtId="164" fontId="79" fillId="0" borderId="23" xfId="114" applyFont="1" applyBorder="1"/>
    <xf numFmtId="164" fontId="79" fillId="0" borderId="70" xfId="114" applyFont="1" applyBorder="1"/>
    <xf numFmtId="0" fontId="79" fillId="0" borderId="61" xfId="0" applyFont="1" applyBorder="1"/>
    <xf numFmtId="3" fontId="83" fillId="0" borderId="62" xfId="0" applyNumberFormat="1" applyFont="1" applyBorder="1"/>
    <xf numFmtId="164" fontId="79" fillId="0" borderId="62" xfId="114" applyFont="1" applyBorder="1"/>
    <xf numFmtId="0" fontId="91" fillId="0" borderId="17" xfId="0" applyFont="1" applyBorder="1"/>
    <xf numFmtId="14" fontId="92" fillId="0" borderId="36" xfId="113" applyNumberFormat="1" applyFont="1" applyBorder="1" applyAlignment="1">
      <alignment horizontal="center" vertical="center" wrapText="1"/>
    </xf>
    <xf numFmtId="0" fontId="92" fillId="0" borderId="12" xfId="0" applyFont="1" applyBorder="1"/>
    <xf numFmtId="164" fontId="91" fillId="0" borderId="57" xfId="114" applyFont="1" applyBorder="1" applyAlignment="1">
      <alignment horizontal="right"/>
    </xf>
    <xf numFmtId="164" fontId="91" fillId="0" borderId="58" xfId="114" applyFont="1" applyBorder="1" applyAlignment="1">
      <alignment horizontal="right"/>
    </xf>
    <xf numFmtId="0" fontId="91" fillId="0" borderId="12" xfId="0" applyFont="1" applyBorder="1"/>
    <xf numFmtId="164" fontId="91" fillId="0" borderId="25" xfId="114" applyFont="1" applyBorder="1" applyAlignment="1">
      <alignment horizontal="right"/>
    </xf>
    <xf numFmtId="164" fontId="91" fillId="0" borderId="12" xfId="114" applyFont="1" applyBorder="1" applyAlignment="1">
      <alignment horizontal="right"/>
    </xf>
    <xf numFmtId="0" fontId="79" fillId="0" borderId="12" xfId="0" applyFont="1" applyBorder="1"/>
    <xf numFmtId="164" fontId="83" fillId="0" borderId="12" xfId="114" applyFont="1" applyBorder="1" applyAlignment="1">
      <alignment horizontal="right"/>
    </xf>
    <xf numFmtId="164" fontId="79" fillId="0" borderId="26" xfId="114" applyFont="1" applyBorder="1" applyAlignment="1">
      <alignment horizontal="right"/>
    </xf>
    <xf numFmtId="0" fontId="83" fillId="0" borderId="12" xfId="0" applyFont="1" applyBorder="1"/>
    <xf numFmtId="164" fontId="5" fillId="0" borderId="26" xfId="114" applyFont="1" applyBorder="1" applyAlignment="1"/>
    <xf numFmtId="164" fontId="79" fillId="0" borderId="12" xfId="114" applyFont="1" applyBorder="1" applyAlignment="1">
      <alignment horizontal="right"/>
    </xf>
    <xf numFmtId="0" fontId="101" fillId="0" borderId="0" xfId="0" applyFont="1"/>
    <xf numFmtId="0" fontId="95" fillId="0" borderId="12" xfId="0" applyFont="1" applyBorder="1"/>
    <xf numFmtId="164" fontId="95" fillId="0" borderId="12" xfId="114" applyFont="1" applyBorder="1" applyAlignment="1">
      <alignment horizontal="right"/>
    </xf>
    <xf numFmtId="0" fontId="91" fillId="0" borderId="16" xfId="0" applyFont="1" applyBorder="1"/>
    <xf numFmtId="164" fontId="92" fillId="0" borderId="59" xfId="114" applyFont="1" applyBorder="1" applyAlignment="1">
      <alignment horizontal="right"/>
    </xf>
    <xf numFmtId="164" fontId="77" fillId="0" borderId="0" xfId="114" applyFont="1"/>
    <xf numFmtId="0" fontId="77" fillId="0" borderId="0" xfId="0" applyFont="1" applyAlignment="1">
      <alignment wrapText="1"/>
    </xf>
    <xf numFmtId="0" fontId="102" fillId="0" borderId="0" xfId="0" applyFont="1"/>
    <xf numFmtId="0" fontId="103" fillId="0" borderId="0" xfId="0" applyFont="1" applyAlignment="1">
      <alignment horizontal="center" vertical="center"/>
    </xf>
    <xf numFmtId="0" fontId="103" fillId="0" borderId="0" xfId="0" applyFont="1" applyAlignment="1">
      <alignment vertical="center"/>
    </xf>
    <xf numFmtId="0" fontId="104" fillId="0" borderId="0" xfId="0" applyFont="1" applyAlignment="1">
      <alignment horizontal="justify" vertical="center"/>
    </xf>
    <xf numFmtId="0" fontId="102" fillId="0" borderId="0" xfId="0" applyFont="1" applyAlignment="1">
      <alignment horizontal="justify" vertical="center"/>
    </xf>
    <xf numFmtId="0" fontId="103" fillId="0" borderId="0" xfId="0" applyFont="1" applyAlignment="1">
      <alignment horizontal="justify" vertical="center"/>
    </xf>
    <xf numFmtId="0" fontId="102" fillId="0" borderId="0" xfId="0" applyFont="1" applyAlignment="1">
      <alignment horizontal="center" vertical="center"/>
    </xf>
    <xf numFmtId="0" fontId="102" fillId="0" borderId="0" xfId="0" applyFont="1" applyAlignment="1">
      <alignment horizontal="left" vertical="center" indent="5"/>
    </xf>
    <xf numFmtId="164" fontId="102" fillId="0" borderId="0" xfId="114" applyFont="1"/>
    <xf numFmtId="0" fontId="102" fillId="0" borderId="0" xfId="0" applyFont="1" applyAlignment="1">
      <alignment vertical="center"/>
    </xf>
    <xf numFmtId="0" fontId="79" fillId="0" borderId="0" xfId="0" applyFont="1" applyAlignment="1">
      <alignment horizontal="center" vertical="center" wrapText="1"/>
    </xf>
    <xf numFmtId="0" fontId="0" fillId="0" borderId="0" xfId="0" quotePrefix="1"/>
    <xf numFmtId="0" fontId="62" fillId="0" borderId="0" xfId="107" quotePrefix="1"/>
    <xf numFmtId="0" fontId="75" fillId="0" borderId="11" xfId="0" applyFont="1" applyBorder="1" applyAlignment="1">
      <alignment horizontal="center"/>
    </xf>
    <xf numFmtId="14" fontId="75" fillId="0" borderId="11" xfId="0" applyNumberFormat="1" applyFont="1" applyBorder="1" applyAlignment="1">
      <alignment horizontal="center"/>
    </xf>
    <xf numFmtId="0" fontId="0" fillId="0" borderId="11" xfId="0" applyBorder="1"/>
    <xf numFmtId="164" fontId="0" fillId="0" borderId="11" xfId="114" applyFont="1" applyFill="1" applyBorder="1" applyAlignment="1"/>
    <xf numFmtId="164" fontId="0" fillId="0" borderId="11" xfId="114" applyFont="1" applyBorder="1" applyAlignment="1"/>
    <xf numFmtId="0" fontId="0" fillId="0" borderId="11" xfId="0" applyBorder="1" applyAlignment="1">
      <alignment wrapText="1"/>
    </xf>
    <xf numFmtId="0" fontId="75" fillId="0" borderId="11" xfId="0" applyFont="1" applyBorder="1"/>
    <xf numFmtId="164" fontId="75" fillId="0" borderId="11" xfId="114" applyFont="1" applyBorder="1" applyAlignment="1"/>
    <xf numFmtId="164" fontId="0" fillId="0" borderId="11" xfId="114" applyFont="1" applyFill="1" applyBorder="1" applyAlignment="1">
      <alignment horizontal="right"/>
    </xf>
    <xf numFmtId="164" fontId="0" fillId="0" borderId="11" xfId="114" applyFont="1" applyBorder="1" applyAlignment="1">
      <alignment horizontal="right"/>
    </xf>
    <xf numFmtId="164" fontId="75" fillId="0" borderId="11" xfId="114" applyFont="1" applyBorder="1" applyAlignment="1">
      <alignment horizontal="right"/>
    </xf>
    <xf numFmtId="0" fontId="0" fillId="0" borderId="0" xfId="0" applyAlignment="1">
      <alignment vertical="center"/>
    </xf>
    <xf numFmtId="0" fontId="75" fillId="0" borderId="0" xfId="0" applyFont="1" applyAlignment="1">
      <alignment horizontal="center"/>
    </xf>
    <xf numFmtId="0" fontId="62" fillId="0" borderId="0" xfId="107" quotePrefix="1" applyAlignment="1">
      <alignment vertical="center"/>
    </xf>
    <xf numFmtId="0" fontId="75" fillId="0" borderId="11" xfId="0" applyFont="1" applyBorder="1" applyAlignment="1">
      <alignment horizontal="center" vertical="center" wrapText="1"/>
    </xf>
    <xf numFmtId="14" fontId="75" fillId="0" borderId="11" xfId="0" applyNumberFormat="1" applyFont="1" applyBorder="1" applyAlignment="1">
      <alignment horizontal="center" vertical="center" wrapText="1"/>
    </xf>
    <xf numFmtId="0" fontId="0" fillId="0" borderId="11" xfId="0" applyBorder="1" applyAlignment="1">
      <alignment horizontal="left" vertical="center"/>
    </xf>
    <xf numFmtId="164" fontId="0" fillId="0" borderId="11" xfId="114" applyFont="1" applyBorder="1" applyAlignment="1">
      <alignment horizontal="right" vertical="center"/>
    </xf>
    <xf numFmtId="164" fontId="0" fillId="0" borderId="11" xfId="114" applyFont="1" applyFill="1" applyBorder="1" applyAlignment="1">
      <alignment horizontal="right" vertical="center"/>
    </xf>
    <xf numFmtId="164" fontId="0" fillId="0" borderId="0" xfId="0" applyNumberFormat="1" applyAlignment="1">
      <alignment vertical="center"/>
    </xf>
    <xf numFmtId="3" fontId="0" fillId="0" borderId="0" xfId="0" applyNumberFormat="1" applyAlignment="1">
      <alignment vertical="center"/>
    </xf>
    <xf numFmtId="164" fontId="0" fillId="0" borderId="0" xfId="114" applyFont="1" applyFill="1" applyAlignment="1">
      <alignment vertical="center"/>
    </xf>
    <xf numFmtId="0" fontId="110" fillId="0" borderId="11" xfId="0" applyFont="1" applyBorder="1"/>
    <xf numFmtId="164" fontId="75" fillId="0" borderId="11" xfId="114" applyFont="1" applyBorder="1" applyAlignment="1">
      <alignment horizontal="right" vertical="center"/>
    </xf>
    <xf numFmtId="164" fontId="75" fillId="0" borderId="11" xfId="114" applyFont="1" applyFill="1" applyBorder="1" applyAlignment="1">
      <alignment horizontal="right" vertical="center"/>
    </xf>
    <xf numFmtId="171" fontId="0" fillId="0" borderId="0" xfId="0" applyNumberFormat="1" applyAlignment="1">
      <alignment vertical="center"/>
    </xf>
    <xf numFmtId="164" fontId="0" fillId="0" borderId="0" xfId="114" applyFont="1" applyAlignment="1">
      <alignment vertical="center"/>
    </xf>
    <xf numFmtId="0" fontId="96" fillId="0" borderId="17" xfId="0" applyFont="1" applyBorder="1" applyAlignment="1">
      <alignment horizontal="left" vertical="center" wrapText="1"/>
    </xf>
    <xf numFmtId="14" fontId="98" fillId="0" borderId="11" xfId="0" applyNumberFormat="1" applyFont="1" applyBorder="1" applyAlignment="1">
      <alignment horizontal="center"/>
    </xf>
    <xf numFmtId="164" fontId="96" fillId="0" borderId="11" xfId="114" applyFont="1" applyBorder="1" applyAlignment="1">
      <alignment horizontal="right"/>
    </xf>
    <xf numFmtId="164" fontId="98" fillId="0" borderId="11" xfId="114" applyFont="1" applyBorder="1" applyAlignment="1">
      <alignment horizontal="center"/>
    </xf>
    <xf numFmtId="0" fontId="111" fillId="0" borderId="15" xfId="0" applyFont="1" applyBorder="1" applyAlignment="1">
      <alignment horizontal="center"/>
    </xf>
    <xf numFmtId="164" fontId="96" fillId="0" borderId="11" xfId="114" applyFont="1" applyFill="1" applyBorder="1" applyAlignment="1">
      <alignment horizontal="right" vertical="center"/>
    </xf>
    <xf numFmtId="164" fontId="96" fillId="0" borderId="11" xfId="114" applyFont="1" applyBorder="1" applyAlignment="1">
      <alignment horizontal="right" vertical="center"/>
    </xf>
    <xf numFmtId="168" fontId="96" fillId="0" borderId="11" xfId="156" applyFont="1" applyBorder="1" applyAlignment="1">
      <alignment horizontal="right" wrapText="1"/>
    </xf>
    <xf numFmtId="164" fontId="96" fillId="0" borderId="11" xfId="114" applyFont="1" applyBorder="1" applyAlignment="1"/>
    <xf numFmtId="0" fontId="98" fillId="0" borderId="11" xfId="0" applyFont="1" applyBorder="1" applyAlignment="1">
      <alignment horizontal="center"/>
    </xf>
    <xf numFmtId="164" fontId="96" fillId="0" borderId="0" xfId="114" applyFont="1" applyFill="1" applyAlignment="1">
      <alignment horizontal="right"/>
    </xf>
    <xf numFmtId="174" fontId="98" fillId="0" borderId="11" xfId="113" applyNumberFormat="1" applyFont="1" applyBorder="1" applyAlignment="1">
      <alignment horizontal="center" vertical="center"/>
    </xf>
    <xf numFmtId="0" fontId="96" fillId="0" borderId="15" xfId="0" applyFont="1" applyBorder="1" applyAlignment="1">
      <alignment horizontal="center" vertical="center"/>
    </xf>
    <xf numFmtId="172" fontId="98" fillId="0" borderId="11" xfId="0" applyNumberFormat="1" applyFont="1" applyBorder="1" applyAlignment="1">
      <alignment horizontal="center" vertical="center"/>
    </xf>
    <xf numFmtId="0" fontId="98" fillId="0" borderId="0" xfId="0" applyFont="1"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horizontal="justify" vertical="center"/>
    </xf>
    <xf numFmtId="0" fontId="75" fillId="0" borderId="0" xfId="0" applyFont="1" applyAlignment="1">
      <alignment horizontal="left" vertical="center" indent="3"/>
    </xf>
    <xf numFmtId="0" fontId="110" fillId="0" borderId="11" xfId="0" applyFont="1" applyBorder="1" applyAlignment="1">
      <alignment horizontal="center" vertical="center" wrapText="1"/>
    </xf>
    <xf numFmtId="164" fontId="110" fillId="0" borderId="11" xfId="114" applyFont="1" applyBorder="1" applyAlignment="1">
      <alignment horizontal="center" vertical="center" wrapText="1"/>
    </xf>
    <xf numFmtId="0" fontId="67" fillId="0" borderId="11" xfId="0" applyFont="1" applyBorder="1" applyAlignment="1">
      <alignment horizontal="left" vertical="center"/>
    </xf>
    <xf numFmtId="164" fontId="67" fillId="0" borderId="11" xfId="114" applyFont="1" applyFill="1" applyBorder="1" applyAlignment="1">
      <alignment horizontal="right" vertical="center"/>
    </xf>
    <xf numFmtId="164" fontId="67" fillId="0" borderId="11" xfId="114" applyFont="1" applyBorder="1" applyAlignment="1">
      <alignment horizontal="right" vertical="center"/>
    </xf>
    <xf numFmtId="164" fontId="0" fillId="0" borderId="0" xfId="0" applyNumberFormat="1"/>
    <xf numFmtId="3" fontId="0" fillId="0" borderId="0" xfId="0" applyNumberFormat="1"/>
    <xf numFmtId="171" fontId="110" fillId="0" borderId="11" xfId="156" applyNumberFormat="1" applyFont="1" applyBorder="1" applyAlignment="1">
      <alignment horizontal="right" vertical="center"/>
    </xf>
    <xf numFmtId="164" fontId="110" fillId="0" borderId="11" xfId="114" applyFont="1" applyBorder="1" applyAlignment="1">
      <alignment horizontal="right" vertical="center"/>
    </xf>
    <xf numFmtId="172" fontId="0" fillId="0" borderId="0" xfId="0" applyNumberFormat="1"/>
    <xf numFmtId="171" fontId="0" fillId="0" borderId="0" xfId="156" applyNumberFormat="1" applyFont="1"/>
    <xf numFmtId="171" fontId="75" fillId="0" borderId="0" xfId="156" applyNumberFormat="1" applyFont="1"/>
    <xf numFmtId="164" fontId="0" fillId="0" borderId="0" xfId="114" applyFont="1" applyFill="1" applyAlignment="1">
      <alignment wrapText="1"/>
    </xf>
    <xf numFmtId="164" fontId="0" fillId="0" borderId="0" xfId="114" applyFont="1" applyAlignment="1">
      <alignment wrapText="1"/>
    </xf>
    <xf numFmtId="0" fontId="62" fillId="0" borderId="0" xfId="107" quotePrefix="1" applyAlignment="1">
      <alignment wrapText="1"/>
    </xf>
    <xf numFmtId="0" fontId="0" fillId="0" borderId="19" xfId="0" applyBorder="1" applyAlignment="1">
      <alignment wrapText="1"/>
    </xf>
    <xf numFmtId="0" fontId="75" fillId="0" borderId="20" xfId="0" applyFont="1" applyBorder="1" applyAlignment="1">
      <alignment wrapText="1"/>
    </xf>
    <xf numFmtId="0" fontId="75" fillId="0" borderId="21" xfId="0" applyFont="1" applyBorder="1" applyAlignment="1">
      <alignment wrapText="1"/>
    </xf>
    <xf numFmtId="0" fontId="75" fillId="0" borderId="16" xfId="0" applyFont="1" applyBorder="1" applyAlignment="1">
      <alignment horizontal="center" vertical="center" wrapText="1"/>
    </xf>
    <xf numFmtId="14" fontId="75" fillId="0" borderId="16" xfId="114" applyNumberFormat="1" applyFont="1" applyFill="1" applyBorder="1" applyAlignment="1">
      <alignment horizontal="center" vertical="center" wrapText="1"/>
    </xf>
    <xf numFmtId="14" fontId="96" fillId="0" borderId="17" xfId="0" applyNumberFormat="1" applyFont="1" applyBorder="1" applyAlignment="1">
      <alignment horizontal="left" vertical="center" wrapText="1"/>
    </xf>
    <xf numFmtId="164" fontId="96" fillId="0" borderId="11" xfId="114" applyFont="1" applyFill="1" applyBorder="1" applyAlignment="1">
      <alignment horizontal="left" wrapText="1"/>
    </xf>
    <xf numFmtId="164" fontId="96" fillId="0" borderId="0" xfId="114" applyFont="1" applyFill="1" applyAlignment="1">
      <alignment wrapText="1"/>
    </xf>
    <xf numFmtId="166" fontId="96" fillId="0" borderId="11" xfId="114" applyNumberFormat="1" applyFont="1" applyFill="1" applyBorder="1" applyAlignment="1">
      <alignment horizontal="left" wrapText="1"/>
    </xf>
    <xf numFmtId="0" fontId="96" fillId="0" borderId="17" xfId="0" applyFont="1" applyBorder="1" applyAlignment="1">
      <alignment wrapText="1"/>
    </xf>
    <xf numFmtId="49" fontId="96" fillId="0" borderId="11" xfId="0" applyNumberFormat="1" applyFont="1" applyBorder="1" applyAlignment="1">
      <alignment wrapText="1"/>
    </xf>
    <xf numFmtId="0" fontId="110" fillId="0" borderId="11" xfId="0" applyFont="1" applyBorder="1" applyAlignment="1">
      <alignment wrapText="1"/>
    </xf>
    <xf numFmtId="0" fontId="0" fillId="0" borderId="17" xfId="0" applyBorder="1" applyAlignment="1">
      <alignment horizontal="left" vertical="center" wrapText="1"/>
    </xf>
    <xf numFmtId="164" fontId="75" fillId="0" borderId="11" xfId="114" applyFont="1" applyFill="1" applyBorder="1" applyAlignment="1">
      <alignment horizontal="right" wrapText="1"/>
    </xf>
    <xf numFmtId="164" fontId="0" fillId="0" borderId="11" xfId="114" applyFont="1" applyFill="1" applyBorder="1" applyAlignment="1">
      <alignment horizontal="right" wrapText="1"/>
    </xf>
    <xf numFmtId="164" fontId="0" fillId="0" borderId="0" xfId="0" applyNumberFormat="1" applyAlignment="1">
      <alignment wrapText="1"/>
    </xf>
    <xf numFmtId="0" fontId="77" fillId="0" borderId="11" xfId="0" applyFont="1" applyBorder="1"/>
    <xf numFmtId="0" fontId="113" fillId="0" borderId="0" xfId="0" applyFont="1" applyAlignment="1">
      <alignment horizontal="center"/>
    </xf>
    <xf numFmtId="0" fontId="62" fillId="0" borderId="15" xfId="107" quotePrefix="1" applyBorder="1" applyAlignment="1">
      <alignment horizontal="center"/>
    </xf>
    <xf numFmtId="0" fontId="113" fillId="0" borderId="15" xfId="0" applyFont="1" applyBorder="1" applyAlignment="1">
      <alignment horizontal="center"/>
    </xf>
    <xf numFmtId="164" fontId="75" fillId="0" borderId="11" xfId="114" applyFont="1" applyFill="1" applyBorder="1"/>
    <xf numFmtId="164" fontId="0" fillId="0" borderId="11" xfId="114" applyFont="1" applyFill="1" applyBorder="1"/>
    <xf numFmtId="164" fontId="0" fillId="0" borderId="11" xfId="114" applyFont="1" applyFill="1" applyBorder="1" applyAlignment="1">
      <alignment horizontal="center"/>
    </xf>
    <xf numFmtId="0" fontId="0" fillId="0" borderId="12" xfId="0" applyBorder="1"/>
    <xf numFmtId="171" fontId="0" fillId="0" borderId="11" xfId="114" applyNumberFormat="1" applyFont="1" applyFill="1" applyBorder="1" applyAlignment="1"/>
    <xf numFmtId="164" fontId="75" fillId="0" borderId="11" xfId="114" applyFont="1" applyFill="1" applyBorder="1" applyAlignment="1">
      <alignment horizontal="center"/>
    </xf>
    <xf numFmtId="49" fontId="75" fillId="0" borderId="11" xfId="0" applyNumberFormat="1" applyFont="1" applyBorder="1"/>
    <xf numFmtId="0" fontId="75" fillId="0" borderId="0" xfId="0" applyFont="1"/>
    <xf numFmtId="164" fontId="75" fillId="0" borderId="0" xfId="0" applyNumberFormat="1" applyFont="1"/>
    <xf numFmtId="49" fontId="0" fillId="0" borderId="11" xfId="0" applyNumberFormat="1" applyBorder="1"/>
    <xf numFmtId="0" fontId="114" fillId="0" borderId="11" xfId="0" applyFont="1" applyBorder="1"/>
    <xf numFmtId="164" fontId="114" fillId="0" borderId="11" xfId="114" applyFont="1" applyFill="1" applyBorder="1" applyAlignment="1">
      <alignment horizontal="center"/>
    </xf>
    <xf numFmtId="164" fontId="75" fillId="0" borderId="11" xfId="114" applyFont="1" applyBorder="1" applyAlignment="1">
      <alignment horizontal="center"/>
    </xf>
    <xf numFmtId="164" fontId="0" fillId="0" borderId="11" xfId="114" applyFont="1" applyBorder="1" applyAlignment="1">
      <alignment horizontal="center"/>
    </xf>
    <xf numFmtId="0" fontId="0" fillId="0" borderId="0" xfId="0" applyAlignment="1">
      <alignment horizontal="center"/>
    </xf>
    <xf numFmtId="164" fontId="0" fillId="0" borderId="11" xfId="114" applyFont="1" applyBorder="1"/>
    <xf numFmtId="164" fontId="75" fillId="0" borderId="11" xfId="0" applyNumberFormat="1" applyFont="1" applyBorder="1"/>
    <xf numFmtId="0" fontId="75" fillId="0" borderId="0" xfId="0" applyFont="1" applyAlignment="1">
      <alignment horizontal="left" vertical="center"/>
    </xf>
    <xf numFmtId="0" fontId="75" fillId="0" borderId="0" xfId="0" applyFont="1" applyAlignment="1">
      <alignment vertical="center"/>
    </xf>
    <xf numFmtId="0" fontId="99" fillId="0" borderId="0" xfId="0" applyFont="1" applyAlignment="1">
      <alignment vertical="center" wrapText="1"/>
    </xf>
    <xf numFmtId="0" fontId="75" fillId="0" borderId="0" xfId="0" applyFont="1" applyAlignment="1">
      <alignment horizontal="left" vertical="center" wrapText="1"/>
    </xf>
    <xf numFmtId="0" fontId="75" fillId="0" borderId="11" xfId="0" applyFont="1" applyBorder="1" applyAlignment="1">
      <alignment horizontal="center" wrapText="1"/>
    </xf>
    <xf numFmtId="0" fontId="0" fillId="0" borderId="11" xfId="0" applyBorder="1" applyAlignment="1">
      <alignment horizontal="left" wrapText="1"/>
    </xf>
    <xf numFmtId="171" fontId="0" fillId="0" borderId="11" xfId="0" applyNumberFormat="1" applyBorder="1" applyAlignment="1">
      <alignment horizontal="right" wrapText="1"/>
    </xf>
    <xf numFmtId="168" fontId="0" fillId="0" borderId="11" xfId="156" applyFont="1" applyBorder="1" applyAlignment="1">
      <alignment horizontal="right" wrapText="1"/>
    </xf>
    <xf numFmtId="3" fontId="75" fillId="0" borderId="11" xfId="0" applyNumberFormat="1" applyFont="1" applyBorder="1" applyAlignment="1">
      <alignment horizontal="right" wrapText="1"/>
    </xf>
    <xf numFmtId="171" fontId="75" fillId="0" borderId="11" xfId="156" applyNumberFormat="1" applyFont="1" applyBorder="1" applyAlignment="1">
      <alignment horizontal="right" wrapText="1"/>
    </xf>
    <xf numFmtId="171" fontId="0" fillId="0" borderId="0" xfId="0" applyNumberFormat="1"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164" fontId="0" fillId="0" borderId="11" xfId="114" applyFont="1" applyBorder="1" applyAlignment="1">
      <alignment horizontal="left" wrapText="1"/>
    </xf>
    <xf numFmtId="164" fontId="110" fillId="0" borderId="11" xfId="114" applyFont="1" applyBorder="1" applyAlignment="1">
      <alignment wrapText="1"/>
    </xf>
    <xf numFmtId="164" fontId="75" fillId="0" borderId="11" xfId="114" applyFont="1" applyBorder="1" applyAlignment="1">
      <alignment horizontal="right" wrapText="1"/>
    </xf>
    <xf numFmtId="0" fontId="110" fillId="0" borderId="0" xfId="0" applyFont="1" applyAlignment="1">
      <alignment wrapText="1"/>
    </xf>
    <xf numFmtId="171" fontId="75" fillId="0" borderId="0" xfId="156" applyNumberFormat="1" applyFont="1" applyBorder="1" applyAlignment="1">
      <alignment horizontal="right" wrapText="1"/>
    </xf>
    <xf numFmtId="168" fontId="0" fillId="0" borderId="0" xfId="156" applyFont="1" applyBorder="1" applyAlignment="1">
      <alignment horizontal="right" wrapText="1"/>
    </xf>
    <xf numFmtId="2" fontId="75" fillId="0" borderId="11" xfId="0" applyNumberFormat="1" applyFont="1" applyBorder="1" applyAlignment="1">
      <alignment horizontal="center" vertical="center" wrapText="1"/>
    </xf>
    <xf numFmtId="0" fontId="0" fillId="0" borderId="17" xfId="0" applyBorder="1" applyAlignment="1">
      <alignment wrapText="1"/>
    </xf>
    <xf numFmtId="164" fontId="0" fillId="0" borderId="11" xfId="114" applyFont="1" applyBorder="1" applyAlignment="1">
      <alignment horizontal="right" wrapText="1"/>
    </xf>
    <xf numFmtId="168" fontId="0" fillId="0" borderId="11" xfId="156" applyFont="1" applyFill="1" applyBorder="1" applyAlignment="1">
      <alignment horizontal="right" wrapText="1"/>
    </xf>
    <xf numFmtId="164" fontId="0" fillId="0" borderId="11" xfId="114" applyFont="1" applyFill="1" applyBorder="1" applyAlignment="1">
      <alignment wrapText="1"/>
    </xf>
    <xf numFmtId="171" fontId="75" fillId="0" borderId="11" xfId="0" applyNumberFormat="1" applyFont="1" applyBorder="1" applyAlignment="1">
      <alignment horizontal="right" wrapText="1"/>
    </xf>
    <xf numFmtId="3" fontId="0" fillId="0" borderId="11" xfId="0" applyNumberFormat="1" applyBorder="1" applyAlignment="1">
      <alignment horizontal="right" wrapText="1"/>
    </xf>
    <xf numFmtId="0" fontId="0" fillId="0" borderId="0" xfId="0" applyAlignment="1">
      <alignment horizontal="right"/>
    </xf>
    <xf numFmtId="0" fontId="75" fillId="0" borderId="11" xfId="0" applyFont="1" applyBorder="1" applyAlignment="1">
      <alignment horizontal="center" vertical="center"/>
    </xf>
    <xf numFmtId="168" fontId="0" fillId="0" borderId="0" xfId="156" applyFont="1"/>
    <xf numFmtId="175" fontId="0" fillId="0" borderId="0" xfId="217" applyNumberFormat="1" applyFont="1"/>
    <xf numFmtId="164" fontId="75" fillId="0" borderId="11" xfId="0" applyNumberFormat="1" applyFont="1" applyBorder="1" applyAlignment="1">
      <alignment horizontal="center" vertical="center"/>
    </xf>
    <xf numFmtId="164" fontId="0" fillId="0" borderId="17" xfId="114" applyFont="1" applyBorder="1"/>
    <xf numFmtId="164" fontId="0" fillId="0" borderId="11" xfId="114" applyFont="1" applyBorder="1" applyAlignment="1">
      <alignment vertical="center"/>
    </xf>
    <xf numFmtId="0" fontId="0" fillId="0" borderId="11" xfId="0" applyBorder="1" applyAlignment="1">
      <alignment horizontal="left"/>
    </xf>
    <xf numFmtId="164" fontId="75" fillId="0" borderId="11" xfId="114" applyFont="1" applyFill="1" applyBorder="1" applyAlignment="1"/>
    <xf numFmtId="164" fontId="0" fillId="0" borderId="11" xfId="0" applyNumberFormat="1" applyBorder="1" applyAlignment="1">
      <alignment horizontal="left" vertical="center"/>
    </xf>
    <xf numFmtId="164" fontId="0" fillId="0" borderId="11" xfId="0" applyNumberFormat="1" applyBorder="1" applyAlignment="1">
      <alignment horizontal="left"/>
    </xf>
    <xf numFmtId="3" fontId="75" fillId="0" borderId="11" xfId="0" applyNumberFormat="1" applyFont="1" applyBorder="1"/>
    <xf numFmtId="168" fontId="0" fillId="0" borderId="0" xfId="0" applyNumberFormat="1"/>
    <xf numFmtId="167" fontId="0" fillId="0" borderId="0" xfId="0" applyNumberFormat="1"/>
    <xf numFmtId="171" fontId="0" fillId="0" borderId="0" xfId="0" applyNumberFormat="1"/>
    <xf numFmtId="3" fontId="116" fillId="0" borderId="0" xfId="0" applyNumberFormat="1" applyFont="1"/>
    <xf numFmtId="3" fontId="117" fillId="0" borderId="0" xfId="0" applyNumberFormat="1" applyFont="1"/>
    <xf numFmtId="0" fontId="0" fillId="0" borderId="0" xfId="0" applyAlignment="1">
      <alignment horizontal="right" vertical="center"/>
    </xf>
    <xf numFmtId="3" fontId="0" fillId="0" borderId="0" xfId="0" applyNumberFormat="1" applyAlignment="1">
      <alignment horizontal="right"/>
    </xf>
    <xf numFmtId="0" fontId="62" fillId="0" borderId="0" xfId="107" quotePrefix="1" applyAlignment="1">
      <alignment horizontal="left"/>
    </xf>
    <xf numFmtId="0" fontId="75" fillId="0" borderId="11" xfId="0" applyFont="1" applyBorder="1" applyAlignment="1">
      <alignment horizontal="left" vertical="center"/>
    </xf>
    <xf numFmtId="0" fontId="75" fillId="0" borderId="22" xfId="0" applyFont="1" applyBorder="1" applyAlignment="1">
      <alignment horizontal="center" vertical="center"/>
    </xf>
    <xf numFmtId="0" fontId="75" fillId="0" borderId="23" xfId="0" applyFont="1" applyBorder="1" applyAlignment="1">
      <alignment horizontal="center" vertical="center"/>
    </xf>
    <xf numFmtId="0" fontId="75" fillId="0" borderId="18" xfId="0" applyFont="1" applyBorder="1" applyAlignment="1">
      <alignment horizontal="center" vertical="center"/>
    </xf>
    <xf numFmtId="0" fontId="75" fillId="0" borderId="18" xfId="0" applyFont="1" applyBorder="1" applyAlignment="1">
      <alignment horizontal="center" vertical="center" wrapText="1"/>
    </xf>
    <xf numFmtId="0" fontId="0" fillId="0" borderId="16" xfId="0" applyBorder="1" applyAlignment="1">
      <alignment horizontal="left"/>
    </xf>
    <xf numFmtId="164" fontId="0" fillId="0" borderId="0" xfId="0" applyNumberFormat="1" applyAlignment="1">
      <alignment horizontal="right"/>
    </xf>
    <xf numFmtId="0" fontId="110" fillId="0" borderId="11" xfId="0" applyFont="1" applyBorder="1" applyAlignment="1">
      <alignment horizontal="left"/>
    </xf>
    <xf numFmtId="164" fontId="75" fillId="0" borderId="11" xfId="114" applyFont="1" applyBorder="1"/>
    <xf numFmtId="164" fontId="0" fillId="0" borderId="0" xfId="114" applyFont="1" applyFill="1" applyAlignment="1">
      <alignment horizontal="right"/>
    </xf>
    <xf numFmtId="0" fontId="62" fillId="0" borderId="0" xfId="107" quotePrefix="1" applyFill="1"/>
    <xf numFmtId="164" fontId="75" fillId="0" borderId="11" xfId="114" applyFont="1" applyFill="1" applyBorder="1" applyAlignment="1">
      <alignment horizontal="right" vertical="center" wrapText="1"/>
    </xf>
    <xf numFmtId="0" fontId="0" fillId="0" borderId="0" xfId="0" applyAlignment="1">
      <alignment horizontal="center" wrapText="1"/>
    </xf>
    <xf numFmtId="0" fontId="96" fillId="0" borderId="11" xfId="0" applyFont="1" applyBorder="1" applyAlignment="1">
      <alignment horizontal="left"/>
    </xf>
    <xf numFmtId="164" fontId="75" fillId="0" borderId="11" xfId="114" applyFont="1" applyFill="1" applyBorder="1" applyAlignment="1">
      <alignment horizontal="right"/>
    </xf>
    <xf numFmtId="171" fontId="0" fillId="0" borderId="0" xfId="113" applyNumberFormat="1" applyFont="1" applyFill="1"/>
    <xf numFmtId="0" fontId="75" fillId="0" borderId="0" xfId="0" applyFont="1" applyAlignment="1">
      <alignment horizontal="left"/>
    </xf>
    <xf numFmtId="164" fontId="75" fillId="0" borderId="0" xfId="114" applyFont="1" applyFill="1" applyAlignment="1">
      <alignment horizontal="right"/>
    </xf>
    <xf numFmtId="164" fontId="0" fillId="0" borderId="0" xfId="114" applyFont="1" applyFill="1"/>
    <xf numFmtId="0" fontId="96" fillId="0" borderId="22" xfId="0" applyFont="1" applyBorder="1" applyAlignment="1">
      <alignment horizontal="left"/>
    </xf>
    <xf numFmtId="164" fontId="0" fillId="0" borderId="23" xfId="114" applyFont="1" applyFill="1" applyBorder="1" applyAlignment="1">
      <alignment horizontal="right"/>
    </xf>
    <xf numFmtId="164" fontId="0" fillId="0" borderId="18" xfId="114" applyFont="1" applyFill="1" applyBorder="1" applyAlignment="1">
      <alignment horizontal="right"/>
    </xf>
    <xf numFmtId="0" fontId="0" fillId="0" borderId="11" xfId="0" applyBorder="1" applyAlignment="1">
      <alignment vertical="center" wrapText="1"/>
    </xf>
    <xf numFmtId="0" fontId="0" fillId="0" borderId="11" xfId="0" applyBorder="1" applyAlignment="1">
      <alignment horizontal="center" vertical="center" wrapText="1"/>
    </xf>
    <xf numFmtId="174" fontId="0" fillId="0" borderId="0" xfId="113" applyNumberFormat="1" applyFont="1"/>
    <xf numFmtId="0" fontId="62" fillId="0" borderId="0" xfId="107" quotePrefix="1" applyAlignment="1">
      <alignment horizontal="center" vertical="center" wrapText="1"/>
    </xf>
    <xf numFmtId="0" fontId="67" fillId="0" borderId="11" xfId="0" applyFont="1" applyBorder="1" applyAlignment="1">
      <alignment horizontal="center" vertical="center"/>
    </xf>
    <xf numFmtId="0" fontId="110" fillId="0" borderId="11" xfId="0" applyFont="1" applyBorder="1" applyAlignment="1">
      <alignment horizontal="center" vertical="center"/>
    </xf>
    <xf numFmtId="174" fontId="110" fillId="0" borderId="11" xfId="113" applyNumberFormat="1" applyFont="1" applyBorder="1" applyAlignment="1">
      <alignment horizontal="center" vertical="center"/>
    </xf>
    <xf numFmtId="0" fontId="110" fillId="0" borderId="21" xfId="0" applyFont="1" applyBorder="1" applyAlignment="1">
      <alignment horizontal="center" vertical="center"/>
    </xf>
    <xf numFmtId="0" fontId="110" fillId="0" borderId="21" xfId="0" applyFont="1" applyBorder="1" applyAlignment="1">
      <alignment horizontal="center" vertical="center" wrapText="1"/>
    </xf>
    <xf numFmtId="0" fontId="98" fillId="0" borderId="11" xfId="0" applyFont="1" applyBorder="1" applyAlignment="1">
      <alignment vertical="center"/>
    </xf>
    <xf numFmtId="0" fontId="110" fillId="0" borderId="17" xfId="0" applyFont="1" applyBorder="1" applyAlignment="1">
      <alignment horizontal="center" vertical="center"/>
    </xf>
    <xf numFmtId="174" fontId="110" fillId="0" borderId="17" xfId="113" applyNumberFormat="1" applyFont="1" applyBorder="1" applyAlignment="1">
      <alignment horizontal="center" vertical="center"/>
    </xf>
    <xf numFmtId="174" fontId="115" fillId="62" borderId="17" xfId="113" applyNumberFormat="1" applyFont="1" applyFill="1" applyBorder="1" applyAlignment="1">
      <alignment horizontal="center" vertical="center"/>
    </xf>
    <xf numFmtId="0" fontId="111" fillId="0" borderId="11" xfId="0" applyFont="1" applyBorder="1" applyAlignment="1">
      <alignment vertical="center"/>
    </xf>
    <xf numFmtId="0" fontId="96" fillId="0" borderId="11" xfId="0" applyFont="1" applyBorder="1" applyAlignment="1">
      <alignment vertical="center"/>
    </xf>
    <xf numFmtId="0" fontId="67" fillId="0" borderId="17" xfId="0" applyFont="1" applyBorder="1" applyAlignment="1">
      <alignment horizontal="center" vertical="center"/>
    </xf>
    <xf numFmtId="164" fontId="67" fillId="0" borderId="17" xfId="114" applyFont="1" applyBorder="1" applyAlignment="1">
      <alignment horizontal="center" vertical="center"/>
    </xf>
    <xf numFmtId="164" fontId="67" fillId="0" borderId="17" xfId="113" applyNumberFormat="1" applyFont="1" applyBorder="1" applyAlignment="1">
      <alignment horizontal="center" vertical="center"/>
    </xf>
    <xf numFmtId="164" fontId="67" fillId="0" borderId="17" xfId="113" applyNumberFormat="1" applyFont="1" applyFill="1" applyBorder="1" applyAlignment="1">
      <alignment horizontal="center" vertical="center"/>
    </xf>
    <xf numFmtId="174" fontId="67" fillId="0" borderId="17" xfId="113" applyNumberFormat="1" applyFont="1" applyFill="1" applyBorder="1" applyAlignment="1">
      <alignment horizontal="center" vertical="center"/>
    </xf>
    <xf numFmtId="174" fontId="67" fillId="0" borderId="17" xfId="113" applyNumberFormat="1" applyFont="1" applyBorder="1" applyAlignment="1">
      <alignment horizontal="center" vertical="center"/>
    </xf>
    <xf numFmtId="174" fontId="67" fillId="0" borderId="11" xfId="113" applyNumberFormat="1" applyFont="1" applyBorder="1" applyAlignment="1">
      <alignment horizontal="center" vertical="center"/>
    </xf>
    <xf numFmtId="0" fontId="99" fillId="0" borderId="11" xfId="0" applyFont="1" applyBorder="1" applyAlignment="1">
      <alignment vertical="center"/>
    </xf>
    <xf numFmtId="0" fontId="96" fillId="0" borderId="17" xfId="0" applyFont="1" applyBorder="1" applyAlignment="1">
      <alignment horizontal="center" vertical="center"/>
    </xf>
    <xf numFmtId="164" fontId="96" fillId="0" borderId="17" xfId="114" applyFont="1" applyBorder="1" applyAlignment="1">
      <alignment horizontal="center" vertical="center"/>
    </xf>
    <xf numFmtId="164" fontId="96" fillId="0" borderId="17" xfId="113" applyNumberFormat="1" applyFont="1" applyBorder="1" applyAlignment="1">
      <alignment horizontal="center" vertical="center"/>
    </xf>
    <xf numFmtId="174" fontId="96" fillId="0" borderId="17" xfId="113" applyNumberFormat="1" applyFont="1" applyFill="1" applyBorder="1" applyAlignment="1">
      <alignment horizontal="center" vertical="center"/>
    </xf>
    <xf numFmtId="174" fontId="96" fillId="0" borderId="17" xfId="113" applyNumberFormat="1" applyFont="1" applyBorder="1" applyAlignment="1">
      <alignment horizontal="center" vertical="center"/>
    </xf>
    <xf numFmtId="164" fontId="96" fillId="0" borderId="17" xfId="113" applyNumberFormat="1" applyFont="1" applyFill="1" applyBorder="1" applyAlignment="1">
      <alignment horizontal="center" vertical="center"/>
    </xf>
    <xf numFmtId="190" fontId="67" fillId="0" borderId="17" xfId="113" applyNumberFormat="1" applyFont="1" applyBorder="1" applyAlignment="1">
      <alignment horizontal="center" vertical="center"/>
    </xf>
    <xf numFmtId="0" fontId="118" fillId="0" borderId="0" xfId="0" applyFont="1"/>
    <xf numFmtId="0" fontId="119" fillId="0" borderId="11" xfId="0" applyFont="1" applyBorder="1" applyAlignment="1">
      <alignment vertical="center"/>
    </xf>
    <xf numFmtId="0" fontId="118" fillId="0" borderId="17" xfId="0" applyFont="1" applyBorder="1" applyAlignment="1">
      <alignment horizontal="center" vertical="center"/>
    </xf>
    <xf numFmtId="164" fontId="118" fillId="0" borderId="17" xfId="114" applyFont="1" applyBorder="1" applyAlignment="1">
      <alignment horizontal="center" vertical="center"/>
    </xf>
    <xf numFmtId="174" fontId="118" fillId="0" borderId="17" xfId="113" applyNumberFormat="1" applyFont="1" applyBorder="1" applyAlignment="1">
      <alignment horizontal="center" vertical="center"/>
    </xf>
    <xf numFmtId="174" fontId="96" fillId="0" borderId="11" xfId="113" applyNumberFormat="1" applyFont="1" applyFill="1" applyBorder="1" applyAlignment="1">
      <alignment vertical="center"/>
    </xf>
    <xf numFmtId="174" fontId="96" fillId="0" borderId="11" xfId="113" applyNumberFormat="1" applyFont="1" applyBorder="1" applyAlignment="1">
      <alignment horizontal="center" vertical="center"/>
    </xf>
    <xf numFmtId="174" fontId="67" fillId="0" borderId="11" xfId="113" applyNumberFormat="1" applyFont="1" applyBorder="1" applyAlignment="1">
      <alignment horizontal="right" vertical="center"/>
    </xf>
    <xf numFmtId="174" fontId="96" fillId="0" borderId="11" xfId="113" applyNumberFormat="1" applyFont="1" applyBorder="1" applyAlignment="1">
      <alignment horizontal="right" vertical="center"/>
    </xf>
    <xf numFmtId="0" fontId="110" fillId="0" borderId="72" xfId="0" applyFont="1" applyBorder="1" applyAlignment="1">
      <alignment vertical="center"/>
    </xf>
    <xf numFmtId="0" fontId="110" fillId="0" borderId="73" xfId="0" applyFont="1" applyBorder="1" applyAlignment="1">
      <alignment vertical="center"/>
    </xf>
    <xf numFmtId="174" fontId="110" fillId="0" borderId="0" xfId="113" applyNumberFormat="1" applyFont="1" applyFill="1" applyBorder="1" applyAlignment="1">
      <alignment horizontal="right" vertical="center"/>
    </xf>
    <xf numFmtId="0" fontId="110" fillId="0" borderId="74" xfId="0" applyFont="1" applyBorder="1" applyAlignment="1">
      <alignment vertical="center"/>
    </xf>
    <xf numFmtId="164" fontId="110" fillId="0" borderId="74" xfId="114" applyFont="1" applyBorder="1" applyAlignment="1">
      <alignment vertical="center"/>
    </xf>
    <xf numFmtId="174" fontId="110" fillId="0" borderId="74" xfId="113" applyNumberFormat="1" applyFont="1" applyBorder="1" applyAlignment="1">
      <alignment horizontal="right"/>
    </xf>
    <xf numFmtId="174" fontId="110" fillId="0" borderId="75" xfId="113" applyNumberFormat="1" applyFont="1" applyBorder="1" applyAlignment="1">
      <alignment horizontal="right"/>
    </xf>
    <xf numFmtId="174" fontId="110" fillId="0" borderId="0" xfId="113" applyNumberFormat="1" applyFont="1" applyBorder="1" applyAlignment="1">
      <alignment horizontal="right"/>
    </xf>
    <xf numFmtId="174" fontId="67" fillId="0" borderId="0" xfId="113" applyNumberFormat="1" applyFont="1" applyBorder="1" applyAlignment="1">
      <alignment vertical="center"/>
    </xf>
    <xf numFmtId="0" fontId="110" fillId="0" borderId="0" xfId="0" applyFont="1" applyAlignment="1">
      <alignment vertical="center"/>
    </xf>
    <xf numFmtId="171" fontId="110" fillId="0" borderId="0" xfId="0" applyNumberFormat="1" applyFont="1" applyAlignment="1">
      <alignment vertical="center"/>
    </xf>
    <xf numFmtId="174" fontId="110" fillId="0" borderId="0" xfId="113" applyNumberFormat="1" applyFont="1" applyAlignment="1">
      <alignment vertical="center"/>
    </xf>
    <xf numFmtId="174" fontId="110" fillId="0" borderId="0" xfId="113" applyNumberFormat="1" applyFont="1" applyBorder="1" applyAlignment="1">
      <alignment horizontal="right" vertical="center"/>
    </xf>
    <xf numFmtId="174" fontId="0" fillId="0" borderId="0" xfId="113" applyNumberFormat="1" applyFont="1" applyAlignment="1">
      <alignment vertical="center"/>
    </xf>
    <xf numFmtId="0" fontId="110" fillId="0" borderId="76" xfId="0" applyFont="1" applyBorder="1" applyAlignment="1">
      <alignment horizontal="center" vertical="center" wrapText="1"/>
    </xf>
    <xf numFmtId="0" fontId="110" fillId="0" borderId="71" xfId="0" applyFont="1" applyBorder="1" applyAlignment="1">
      <alignment horizontal="center" vertical="center" wrapText="1"/>
    </xf>
    <xf numFmtId="0" fontId="110" fillId="0" borderId="77" xfId="0" applyFont="1" applyBorder="1" applyAlignment="1">
      <alignment horizontal="center" vertical="center" wrapText="1"/>
    </xf>
    <xf numFmtId="0" fontId="110" fillId="0" borderId="0" xfId="0" applyFont="1" applyAlignment="1">
      <alignment horizontal="center" vertical="center" wrapText="1"/>
    </xf>
    <xf numFmtId="0" fontId="98" fillId="0" borderId="16" xfId="0" applyFont="1" applyBorder="1" applyAlignment="1">
      <alignment vertical="center"/>
    </xf>
    <xf numFmtId="164" fontId="96" fillId="0" borderId="16" xfId="114" applyFont="1" applyBorder="1" applyAlignment="1">
      <alignment vertical="center"/>
    </xf>
    <xf numFmtId="164" fontId="96" fillId="0" borderId="16" xfId="114" applyFont="1" applyBorder="1"/>
    <xf numFmtId="164" fontId="96" fillId="0" borderId="0" xfId="114" applyFont="1" applyFill="1" applyBorder="1" applyAlignment="1">
      <alignment horizontal="right" vertical="center"/>
    </xf>
    <xf numFmtId="0" fontId="110" fillId="0" borderId="16" xfId="0" applyFont="1" applyBorder="1" applyAlignment="1">
      <alignment vertical="center"/>
    </xf>
    <xf numFmtId="164" fontId="110" fillId="0" borderId="16" xfId="114" applyFont="1" applyBorder="1" applyAlignment="1">
      <alignment vertical="center"/>
    </xf>
    <xf numFmtId="0" fontId="110" fillId="0" borderId="11" xfId="0" applyFont="1" applyBorder="1" applyAlignment="1">
      <alignment vertical="center"/>
    </xf>
    <xf numFmtId="164" fontId="98" fillId="0" borderId="16" xfId="114" applyFont="1" applyBorder="1" applyAlignment="1">
      <alignment vertical="center"/>
    </xf>
    <xf numFmtId="164" fontId="98" fillId="0" borderId="16" xfId="114" applyFont="1" applyBorder="1"/>
    <xf numFmtId="164" fontId="0" fillId="0" borderId="0" xfId="114" applyFont="1" applyAlignment="1">
      <alignment horizontal="right"/>
    </xf>
    <xf numFmtId="0" fontId="0" fillId="0" borderId="15" xfId="0" applyBorder="1" applyAlignment="1">
      <alignment horizontal="center" vertical="center"/>
    </xf>
    <xf numFmtId="0" fontId="62" fillId="0" borderId="15" xfId="107" quotePrefix="1" applyBorder="1" applyAlignment="1">
      <alignment horizontal="center" vertical="center"/>
    </xf>
    <xf numFmtId="172" fontId="75" fillId="0" borderId="11" xfId="114" applyNumberFormat="1" applyFont="1" applyBorder="1" applyAlignment="1">
      <alignment horizontal="center" vertical="center" wrapText="1"/>
    </xf>
    <xf numFmtId="172" fontId="75" fillId="0" borderId="11" xfId="114" applyNumberFormat="1" applyFont="1" applyBorder="1" applyAlignment="1">
      <alignment horizontal="center" wrapText="1"/>
    </xf>
    <xf numFmtId="164" fontId="67" fillId="0" borderId="11" xfId="114" applyFont="1" applyBorder="1" applyAlignment="1"/>
    <xf numFmtId="164" fontId="67" fillId="0" borderId="11" xfId="114" applyFont="1" applyBorder="1" applyAlignment="1">
      <alignment horizontal="right"/>
    </xf>
    <xf numFmtId="164" fontId="67" fillId="0" borderId="11" xfId="114" applyFont="1" applyFill="1" applyBorder="1" applyAlignment="1">
      <alignment horizontal="right"/>
    </xf>
    <xf numFmtId="0" fontId="120" fillId="0" borderId="0" xfId="0" applyFont="1"/>
    <xf numFmtId="164" fontId="121" fillId="0" borderId="11" xfId="114" applyFont="1" applyBorder="1" applyAlignment="1"/>
    <xf numFmtId="0" fontId="122" fillId="0" borderId="0" xfId="0" applyFont="1"/>
    <xf numFmtId="164" fontId="122" fillId="0" borderId="0" xfId="114" applyFont="1" applyFill="1" applyAlignment="1">
      <alignment horizontal="right"/>
    </xf>
    <xf numFmtId="0" fontId="123" fillId="0" borderId="0" xfId="107" quotePrefix="1" applyFont="1"/>
    <xf numFmtId="0" fontId="124" fillId="0" borderId="0" xfId="0" applyFont="1"/>
    <xf numFmtId="164" fontId="124" fillId="0" borderId="0" xfId="114" applyFont="1"/>
    <xf numFmtId="0" fontId="125" fillId="0" borderId="0" xfId="0" applyFont="1" applyAlignment="1">
      <alignment horizontal="center" vertical="center"/>
    </xf>
    <xf numFmtId="0" fontId="123" fillId="0" borderId="0" xfId="107" quotePrefix="1" applyFont="1" applyAlignment="1">
      <alignment horizontal="center" vertical="center"/>
    </xf>
    <xf numFmtId="0" fontId="125" fillId="0" borderId="0" xfId="0" applyFont="1" applyAlignment="1">
      <alignment horizontal="justify" vertical="center"/>
    </xf>
    <xf numFmtId="0" fontId="124" fillId="0" borderId="0" xfId="0" applyFont="1" applyAlignment="1">
      <alignment horizontal="justify" vertical="center"/>
    </xf>
    <xf numFmtId="0" fontId="125" fillId="0" borderId="11" xfId="0" applyFont="1" applyBorder="1" applyAlignment="1">
      <alignment horizontal="center" vertical="center"/>
    </xf>
    <xf numFmtId="172" fontId="125" fillId="0" borderId="11" xfId="0" applyNumberFormat="1" applyFont="1" applyBorder="1" applyAlignment="1">
      <alignment horizontal="center" vertical="center"/>
    </xf>
    <xf numFmtId="0" fontId="124" fillId="0" borderId="11" xfId="0" applyFont="1" applyBorder="1" applyAlignment="1">
      <alignment horizontal="justify" vertical="center"/>
    </xf>
    <xf numFmtId="168" fontId="124" fillId="0" borderId="11" xfId="0" applyNumberFormat="1" applyFont="1" applyBorder="1"/>
    <xf numFmtId="0" fontId="124" fillId="0" borderId="11" xfId="0" applyFont="1" applyBorder="1"/>
    <xf numFmtId="0" fontId="127" fillId="0" borderId="0" xfId="0" applyFont="1" applyAlignment="1">
      <alignment vertical="center"/>
    </xf>
    <xf numFmtId="0" fontId="125" fillId="0" borderId="16" xfId="0" applyFont="1" applyBorder="1" applyAlignment="1">
      <alignment horizontal="center" vertical="center" wrapText="1"/>
    </xf>
    <xf numFmtId="164" fontId="125" fillId="0" borderId="16" xfId="114" applyFont="1" applyBorder="1" applyAlignment="1">
      <alignment horizontal="center" vertical="center" wrapText="1"/>
    </xf>
    <xf numFmtId="0" fontId="125" fillId="0" borderId="11" xfId="0" applyFont="1" applyBorder="1" applyAlignment="1">
      <alignment vertical="center"/>
    </xf>
    <xf numFmtId="0" fontId="124" fillId="0" borderId="11" xfId="0" applyFont="1" applyBorder="1" applyAlignment="1">
      <alignment vertical="center"/>
    </xf>
    <xf numFmtId="164" fontId="124" fillId="0" borderId="11" xfId="114" applyFont="1" applyBorder="1" applyAlignment="1">
      <alignment vertical="center"/>
    </xf>
    <xf numFmtId="4" fontId="124" fillId="0" borderId="11" xfId="0" applyNumberFormat="1" applyFont="1" applyBorder="1" applyAlignment="1">
      <alignment horizontal="center" vertical="center"/>
    </xf>
    <xf numFmtId="3" fontId="124" fillId="0" borderId="11" xfId="0" applyNumberFormat="1" applyFont="1" applyBorder="1" applyAlignment="1">
      <alignment vertical="center"/>
    </xf>
    <xf numFmtId="173" fontId="124" fillId="0" borderId="11" xfId="114" applyNumberFormat="1" applyFont="1" applyBorder="1" applyAlignment="1">
      <alignment horizontal="center" vertical="center"/>
    </xf>
    <xf numFmtId="168" fontId="124" fillId="0" borderId="11" xfId="113" applyNumberFormat="1" applyFont="1" applyBorder="1" applyAlignment="1">
      <alignment horizontal="center" vertical="center"/>
    </xf>
    <xf numFmtId="164" fontId="124" fillId="0" borderId="11" xfId="114" applyFont="1" applyBorder="1" applyAlignment="1">
      <alignment horizontal="center" vertical="center"/>
    </xf>
    <xf numFmtId="0" fontId="128" fillId="0" borderId="11" xfId="0" applyFont="1" applyBorder="1" applyAlignment="1">
      <alignment vertical="center"/>
    </xf>
    <xf numFmtId="0" fontId="129" fillId="0" borderId="11" xfId="0" applyFont="1" applyBorder="1" applyAlignment="1">
      <alignment vertical="center"/>
    </xf>
    <xf numFmtId="3" fontId="129" fillId="0" borderId="11" xfId="0" applyNumberFormat="1" applyFont="1" applyBorder="1" applyAlignment="1">
      <alignment vertical="center"/>
    </xf>
    <xf numFmtId="0" fontId="125" fillId="0" borderId="11" xfId="0" applyFont="1" applyBorder="1" applyAlignment="1">
      <alignment horizontal="left" vertical="center"/>
    </xf>
    <xf numFmtId="3" fontId="125" fillId="0" borderId="11" xfId="0" applyNumberFormat="1" applyFont="1" applyBorder="1" applyAlignment="1">
      <alignment horizontal="center" vertical="center"/>
    </xf>
    <xf numFmtId="0" fontId="125" fillId="0" borderId="11" xfId="0" applyFont="1" applyBorder="1" applyAlignment="1">
      <alignment horizontal="center" vertical="center" wrapText="1"/>
    </xf>
    <xf numFmtId="164" fontId="125" fillId="0" borderId="11" xfId="114" applyFont="1" applyBorder="1" applyAlignment="1">
      <alignment horizontal="center" vertical="center" wrapText="1"/>
    </xf>
    <xf numFmtId="164" fontId="125" fillId="0" borderId="11" xfId="114" applyFont="1" applyBorder="1" applyAlignment="1">
      <alignment horizontal="center" vertical="center"/>
    </xf>
    <xf numFmtId="166" fontId="124" fillId="0" borderId="11" xfId="113" applyFont="1" applyBorder="1" applyAlignment="1">
      <alignment horizontal="center" vertical="center"/>
    </xf>
    <xf numFmtId="0" fontId="125" fillId="0" borderId="11" xfId="0" applyFont="1" applyBorder="1"/>
    <xf numFmtId="0" fontId="125" fillId="0" borderId="17" xfId="0" applyFont="1" applyBorder="1" applyAlignment="1">
      <alignment horizontal="center" wrapText="1"/>
    </xf>
    <xf numFmtId="0" fontId="124" fillId="0" borderId="11" xfId="0" applyFont="1" applyBorder="1" applyAlignment="1">
      <alignment wrapText="1"/>
    </xf>
    <xf numFmtId="168" fontId="124" fillId="0" borderId="11" xfId="0" applyNumberFormat="1" applyFont="1" applyBorder="1" applyAlignment="1">
      <alignment horizontal="center" vertical="center"/>
    </xf>
    <xf numFmtId="164" fontId="124" fillId="0" borderId="11" xfId="114" applyFont="1" applyBorder="1" applyAlignment="1">
      <alignment horizontal="right"/>
    </xf>
    <xf numFmtId="168" fontId="124" fillId="0" borderId="11" xfId="113" applyNumberFormat="1" applyFont="1" applyBorder="1" applyAlignment="1">
      <alignment horizontal="right"/>
    </xf>
    <xf numFmtId="3" fontId="130" fillId="0" borderId="0" xfId="0" applyNumberFormat="1" applyFont="1"/>
    <xf numFmtId="164" fontId="124" fillId="0" borderId="0" xfId="0" applyNumberFormat="1" applyFont="1"/>
    <xf numFmtId="3" fontId="124" fillId="0" borderId="0" xfId="0" applyNumberFormat="1" applyFont="1"/>
    <xf numFmtId="3" fontId="125" fillId="0" borderId="11" xfId="0" applyNumberFormat="1" applyFont="1" applyBorder="1" applyAlignment="1">
      <alignment horizontal="right"/>
    </xf>
    <xf numFmtId="3" fontId="131" fillId="0" borderId="0" xfId="0" applyNumberFormat="1" applyFont="1"/>
    <xf numFmtId="164" fontId="130" fillId="0" borderId="0" xfId="114" applyFont="1"/>
    <xf numFmtId="0" fontId="77" fillId="0" borderId="40" xfId="0" applyFont="1" applyBorder="1"/>
    <xf numFmtId="164" fontId="69" fillId="0" borderId="25" xfId="114" applyFont="1" applyBorder="1" applyAlignment="1">
      <alignment horizontal="right"/>
    </xf>
    <xf numFmtId="14" fontId="79" fillId="0" borderId="36" xfId="113" applyNumberFormat="1" applyFont="1" applyBorder="1" applyAlignment="1">
      <alignment horizontal="center" vertical="center" wrapText="1"/>
    </xf>
    <xf numFmtId="0" fontId="97" fillId="0" borderId="19" xfId="0" applyFont="1" applyBorder="1" applyAlignment="1">
      <alignment horizontal="center"/>
    </xf>
    <xf numFmtId="0" fontId="97" fillId="0" borderId="37" xfId="0" applyFont="1" applyBorder="1" applyAlignment="1">
      <alignment horizontal="center" wrapText="1"/>
    </xf>
    <xf numFmtId="0" fontId="97" fillId="0" borderId="38" xfId="0" applyFont="1" applyBorder="1" applyAlignment="1">
      <alignment horizontal="center"/>
    </xf>
    <xf numFmtId="0" fontId="97" fillId="0" borderId="37" xfId="0" applyFont="1" applyBorder="1" applyAlignment="1">
      <alignment horizontal="center"/>
    </xf>
    <xf numFmtId="0" fontId="97" fillId="0" borderId="39" xfId="0" applyFont="1" applyBorder="1" applyAlignment="1">
      <alignment horizontal="center"/>
    </xf>
    <xf numFmtId="0" fontId="97" fillId="0" borderId="38" xfId="0" applyFont="1" applyBorder="1" applyAlignment="1">
      <alignment horizontal="center" wrapText="1"/>
    </xf>
    <xf numFmtId="14" fontId="97" fillId="0" borderId="37" xfId="0" applyNumberFormat="1" applyFont="1" applyBorder="1" applyAlignment="1">
      <alignment horizontal="center" wrapText="1"/>
    </xf>
    <xf numFmtId="14" fontId="97" fillId="0" borderId="38" xfId="0" applyNumberFormat="1" applyFont="1" applyBorder="1" applyAlignment="1">
      <alignment horizontal="center" wrapText="1"/>
    </xf>
    <xf numFmtId="169" fontId="69" fillId="0" borderId="40" xfId="113" applyNumberFormat="1" applyFont="1" applyBorder="1"/>
    <xf numFmtId="164" fontId="69" fillId="0" borderId="41" xfId="114" applyFont="1" applyBorder="1" applyAlignment="1">
      <alignment horizontal="right"/>
    </xf>
    <xf numFmtId="164" fontId="69" fillId="0" borderId="42" xfId="114" applyFont="1" applyBorder="1" applyAlignment="1">
      <alignment horizontal="right"/>
    </xf>
    <xf numFmtId="164" fontId="69" fillId="0" borderId="43" xfId="114" applyFont="1" applyBorder="1" applyAlignment="1">
      <alignment horizontal="right"/>
    </xf>
    <xf numFmtId="164" fontId="69" fillId="0" borderId="44" xfId="114" applyFont="1" applyBorder="1" applyAlignment="1">
      <alignment horizontal="right"/>
    </xf>
    <xf numFmtId="164" fontId="97" fillId="0" borderId="41" xfId="114" applyFont="1" applyBorder="1" applyAlignment="1">
      <alignment horizontal="right"/>
    </xf>
    <xf numFmtId="164" fontId="97" fillId="0" borderId="42" xfId="114" applyFont="1" applyBorder="1" applyAlignment="1">
      <alignment horizontal="right"/>
    </xf>
    <xf numFmtId="169" fontId="132" fillId="0" borderId="40" xfId="113" applyNumberFormat="1" applyFont="1" applyBorder="1"/>
    <xf numFmtId="164" fontId="69" fillId="0" borderId="45" xfId="114" applyFont="1" applyBorder="1" applyAlignment="1">
      <alignment horizontal="right"/>
    </xf>
    <xf numFmtId="164" fontId="69" fillId="0" borderId="46" xfId="114" applyFont="1" applyBorder="1" applyAlignment="1">
      <alignment horizontal="right"/>
    </xf>
    <xf numFmtId="164" fontId="69" fillId="0" borderId="47" xfId="114" applyFont="1" applyBorder="1" applyAlignment="1">
      <alignment horizontal="right"/>
    </xf>
    <xf numFmtId="164" fontId="69" fillId="0" borderId="48" xfId="114" applyFont="1" applyBorder="1" applyAlignment="1">
      <alignment horizontal="right"/>
    </xf>
    <xf numFmtId="164" fontId="69" fillId="0" borderId="5" xfId="114" applyFont="1" applyBorder="1" applyAlignment="1">
      <alignment horizontal="right"/>
    </xf>
    <xf numFmtId="164" fontId="69" fillId="0" borderId="49" xfId="114" applyFont="1" applyBorder="1" applyAlignment="1">
      <alignment horizontal="right"/>
    </xf>
    <xf numFmtId="164" fontId="97" fillId="0" borderId="50" xfId="114" applyFont="1" applyBorder="1" applyAlignment="1">
      <alignment horizontal="right"/>
    </xf>
    <xf numFmtId="0" fontId="97" fillId="0" borderId="37" xfId="0" applyFont="1" applyBorder="1"/>
    <xf numFmtId="164" fontId="97" fillId="0" borderId="51" xfId="114" applyFont="1" applyBorder="1" applyAlignment="1">
      <alignment horizontal="right"/>
    </xf>
    <xf numFmtId="164" fontId="97" fillId="0" borderId="52" xfId="114" applyFont="1" applyBorder="1" applyAlignment="1">
      <alignment horizontal="right"/>
    </xf>
    <xf numFmtId="164" fontId="97" fillId="0" borderId="20" xfId="114" applyFont="1" applyBorder="1" applyAlignment="1">
      <alignment horizontal="right"/>
    </xf>
    <xf numFmtId="164" fontId="97" fillId="0" borderId="53" xfId="114" applyFont="1" applyBorder="1" applyAlignment="1">
      <alignment horizontal="right"/>
    </xf>
    <xf numFmtId="164" fontId="98" fillId="0" borderId="52" xfId="114" applyFont="1" applyBorder="1" applyAlignment="1">
      <alignment horizontal="right"/>
    </xf>
    <xf numFmtId="164" fontId="98" fillId="0" borderId="21" xfId="114" applyFont="1" applyBorder="1" applyAlignment="1">
      <alignment horizontal="right"/>
    </xf>
    <xf numFmtId="0" fontId="97" fillId="0" borderId="54" xfId="0" applyFont="1" applyBorder="1"/>
    <xf numFmtId="164" fontId="97" fillId="0" borderId="55" xfId="114" applyFont="1" applyBorder="1" applyAlignment="1">
      <alignment horizontal="right"/>
    </xf>
    <xf numFmtId="164" fontId="97" fillId="62" borderId="92" xfId="114" applyFont="1" applyFill="1" applyBorder="1" applyAlignment="1">
      <alignment horizontal="right"/>
    </xf>
    <xf numFmtId="0" fontId="77" fillId="0" borderId="0" xfId="0" applyFont="1" applyAlignment="1">
      <alignment horizontal="left" vertical="center"/>
    </xf>
    <xf numFmtId="164" fontId="77" fillId="0" borderId="0" xfId="114" applyFont="1" applyAlignment="1"/>
    <xf numFmtId="0" fontId="133" fillId="0" borderId="0" xfId="0" applyFont="1" applyAlignment="1">
      <alignment horizontal="left" vertical="center"/>
    </xf>
    <xf numFmtId="0" fontId="77" fillId="0" borderId="64" xfId="0" applyFont="1" applyBorder="1"/>
    <xf numFmtId="0" fontId="80" fillId="0" borderId="40" xfId="0" applyFont="1" applyBorder="1" applyAlignment="1">
      <alignment horizontal="left" vertical="center"/>
    </xf>
    <xf numFmtId="0" fontId="77" fillId="0" borderId="46" xfId="0" applyFont="1" applyBorder="1"/>
    <xf numFmtId="0" fontId="77" fillId="0" borderId="68" xfId="0" applyFont="1" applyBorder="1"/>
    <xf numFmtId="0" fontId="77" fillId="0" borderId="69" xfId="0" applyFont="1" applyBorder="1"/>
    <xf numFmtId="0" fontId="80" fillId="0" borderId="46" xfId="0" applyFont="1" applyBorder="1" applyAlignment="1">
      <alignment vertical="center" wrapText="1"/>
    </xf>
    <xf numFmtId="0" fontId="108" fillId="0" borderId="22" xfId="0" applyFont="1" applyBorder="1" applyAlignment="1">
      <alignment horizontal="left" vertical="center"/>
    </xf>
    <xf numFmtId="0" fontId="108" fillId="0" borderId="11" xfId="0" applyFont="1" applyBorder="1" applyAlignment="1">
      <alignment horizontal="left" vertical="center"/>
    </xf>
    <xf numFmtId="0" fontId="108" fillId="0" borderId="18" xfId="0" applyFont="1" applyBorder="1" applyAlignment="1">
      <alignment horizontal="left" vertical="center"/>
    </xf>
    <xf numFmtId="0" fontId="77" fillId="0" borderId="40" xfId="0" applyFont="1" applyBorder="1" applyAlignment="1">
      <alignment horizontal="left" vertical="top"/>
    </xf>
    <xf numFmtId="0" fontId="77" fillId="0" borderId="25" xfId="0" applyFont="1" applyBorder="1" applyAlignment="1">
      <alignment horizontal="left" vertical="top"/>
    </xf>
    <xf numFmtId="0" fontId="134" fillId="0" borderId="13" xfId="0" applyFont="1" applyBorder="1" applyAlignment="1">
      <alignment horizontal="left" vertical="center"/>
    </xf>
    <xf numFmtId="0" fontId="134" fillId="0" borderId="12" xfId="0" applyFont="1" applyBorder="1" applyAlignment="1">
      <alignment horizontal="left" vertical="center"/>
    </xf>
    <xf numFmtId="0" fontId="83" fillId="0" borderId="13" xfId="0" applyFont="1" applyBorder="1" applyAlignment="1">
      <alignment horizontal="left" vertical="center"/>
    </xf>
    <xf numFmtId="0" fontId="83" fillId="0" borderId="12" xfId="0" applyFont="1" applyBorder="1" applyAlignment="1">
      <alignment horizontal="left" vertical="center"/>
    </xf>
    <xf numFmtId="16" fontId="77" fillId="0" borderId="46" xfId="0" applyNumberFormat="1" applyFont="1" applyBorder="1"/>
    <xf numFmtId="0" fontId="83" fillId="0" borderId="14" xfId="0" applyFont="1" applyBorder="1" applyAlignment="1">
      <alignment horizontal="left" vertical="center"/>
    </xf>
    <xf numFmtId="0" fontId="83" fillId="0" borderId="16" xfId="0" applyFont="1" applyBorder="1" applyAlignment="1">
      <alignment horizontal="left" vertical="center"/>
    </xf>
    <xf numFmtId="0" fontId="108" fillId="0" borderId="70" xfId="0" applyFont="1" applyBorder="1" applyAlignment="1">
      <alignment horizontal="left" vertical="center"/>
    </xf>
    <xf numFmtId="0" fontId="134" fillId="0" borderId="67" xfId="0" applyFont="1" applyBorder="1" applyAlignment="1">
      <alignment horizontal="left" vertical="center"/>
    </xf>
    <xf numFmtId="0" fontId="134" fillId="0" borderId="17" xfId="0" applyFont="1" applyBorder="1" applyAlignment="1">
      <alignment horizontal="left" vertical="center"/>
    </xf>
    <xf numFmtId="10" fontId="134" fillId="0" borderId="69" xfId="0" applyNumberFormat="1" applyFont="1" applyBorder="1" applyAlignment="1">
      <alignment horizontal="right" vertical="center"/>
    </xf>
    <xf numFmtId="10" fontId="134" fillId="0" borderId="46" xfId="0" applyNumberFormat="1" applyFont="1" applyBorder="1" applyAlignment="1">
      <alignment horizontal="right" vertical="center"/>
    </xf>
    <xf numFmtId="10" fontId="83" fillId="0" borderId="46" xfId="0" applyNumberFormat="1" applyFont="1" applyBorder="1" applyAlignment="1">
      <alignment horizontal="right" vertical="center"/>
    </xf>
    <xf numFmtId="0" fontId="77" fillId="0" borderId="66" xfId="0" applyFont="1" applyBorder="1" applyAlignment="1">
      <alignment horizontal="left" vertical="top"/>
    </xf>
    <xf numFmtId="0" fontId="77" fillId="0" borderId="71" xfId="0" applyFont="1" applyBorder="1"/>
    <xf numFmtId="0" fontId="77" fillId="0" borderId="89" xfId="0" applyFont="1" applyBorder="1" applyAlignment="1">
      <alignment horizontal="center" wrapText="1"/>
    </xf>
    <xf numFmtId="0" fontId="77" fillId="0" borderId="88" xfId="0" applyFont="1" applyBorder="1" applyAlignment="1">
      <alignment horizontal="center" wrapText="1"/>
    </xf>
    <xf numFmtId="0" fontId="77" fillId="0" borderId="78" xfId="0" applyFont="1" applyBorder="1" applyAlignment="1">
      <alignment horizontal="center" wrapText="1"/>
    </xf>
    <xf numFmtId="0" fontId="77" fillId="0" borderId="83" xfId="0" applyFont="1" applyBorder="1"/>
    <xf numFmtId="0" fontId="77" fillId="0" borderId="16" xfId="0" applyFont="1" applyBorder="1"/>
    <xf numFmtId="164" fontId="77" fillId="0" borderId="16" xfId="114" applyFont="1" applyBorder="1"/>
    <xf numFmtId="0" fontId="77" fillId="0" borderId="84" xfId="0" applyFont="1" applyBorder="1"/>
    <xf numFmtId="0" fontId="80" fillId="0" borderId="0" xfId="0" applyFont="1" applyAlignment="1">
      <alignment wrapText="1"/>
    </xf>
    <xf numFmtId="0" fontId="77" fillId="0" borderId="85" xfId="0" applyFont="1" applyBorder="1"/>
    <xf numFmtId="164" fontId="77" fillId="0" borderId="11" xfId="114" applyFont="1" applyBorder="1"/>
    <xf numFmtId="164" fontId="80" fillId="0" borderId="0" xfId="114" applyFont="1" applyAlignment="1"/>
    <xf numFmtId="0" fontId="83" fillId="0" borderId="85" xfId="0" applyFont="1" applyBorder="1"/>
    <xf numFmtId="0" fontId="83" fillId="0" borderId="11" xfId="0" applyFont="1" applyBorder="1"/>
    <xf numFmtId="164" fontId="83" fillId="0" borderId="11" xfId="114" applyFont="1" applyBorder="1"/>
    <xf numFmtId="0" fontId="83" fillId="0" borderId="11" xfId="114" applyNumberFormat="1" applyFont="1" applyBorder="1"/>
    <xf numFmtId="0" fontId="94" fillId="0" borderId="0" xfId="0" applyFont="1"/>
    <xf numFmtId="0" fontId="80" fillId="0" borderId="65" xfId="0" applyFont="1" applyBorder="1" applyAlignment="1">
      <alignment horizontal="left"/>
    </xf>
    <xf numFmtId="0" fontId="77" fillId="0" borderId="63" xfId="0" applyFont="1" applyBorder="1" applyAlignment="1">
      <alignment horizontal="left"/>
    </xf>
    <xf numFmtId="0" fontId="77" fillId="0" borderId="63" xfId="0" applyFont="1" applyBorder="1"/>
    <xf numFmtId="164" fontId="77" fillId="0" borderId="16" xfId="0" applyNumberFormat="1" applyFont="1" applyBorder="1"/>
    <xf numFmtId="2" fontId="77" fillId="0" borderId="84" xfId="114" applyNumberFormat="1" applyFont="1" applyBorder="1"/>
    <xf numFmtId="164" fontId="77" fillId="0" borderId="11" xfId="0" applyNumberFormat="1" applyFont="1" applyBorder="1"/>
    <xf numFmtId="0" fontId="136" fillId="49" borderId="0" xfId="92" applyFont="1"/>
    <xf numFmtId="14" fontId="136" fillId="49" borderId="0" xfId="92" applyNumberFormat="1" applyFont="1"/>
    <xf numFmtId="0" fontId="136" fillId="46" borderId="0" xfId="87" applyFont="1"/>
    <xf numFmtId="14" fontId="136" fillId="46" borderId="0" xfId="87" applyNumberFormat="1" applyFont="1"/>
    <xf numFmtId="0" fontId="83" fillId="0" borderId="0" xfId="0" applyFont="1" applyAlignment="1">
      <alignment horizontal="left"/>
    </xf>
    <xf numFmtId="0" fontId="80" fillId="0" borderId="52" xfId="0" applyFont="1" applyBorder="1" applyAlignment="1">
      <alignment horizontal="center" wrapText="1"/>
    </xf>
    <xf numFmtId="0" fontId="78" fillId="0" borderId="12" xfId="107" applyFont="1" applyBorder="1" applyAlignment="1">
      <alignment horizontal="left"/>
    </xf>
    <xf numFmtId="0" fontId="78" fillId="0" borderId="16" xfId="107" applyFont="1" applyBorder="1" applyAlignment="1">
      <alignment horizontal="left" vertical="center"/>
    </xf>
    <xf numFmtId="164" fontId="94" fillId="0" borderId="0" xfId="114" applyFont="1"/>
    <xf numFmtId="174" fontId="94" fillId="0" borderId="0" xfId="0" applyNumberFormat="1" applyFont="1"/>
    <xf numFmtId="0" fontId="98" fillId="0" borderId="116" xfId="0" applyFont="1" applyBorder="1"/>
    <xf numFmtId="164" fontId="98" fillId="0" borderId="117" xfId="114" applyFont="1" applyBorder="1"/>
    <xf numFmtId="0" fontId="137" fillId="64" borderId="116" xfId="0" applyFont="1" applyFill="1" applyBorder="1"/>
    <xf numFmtId="164" fontId="137" fillId="64" borderId="117" xfId="114" applyFont="1" applyFill="1" applyBorder="1"/>
    <xf numFmtId="0" fontId="96" fillId="0" borderId="116" xfId="0" applyFont="1" applyBorder="1"/>
    <xf numFmtId="164" fontId="96" fillId="0" borderId="117" xfId="114" applyFont="1" applyBorder="1"/>
    <xf numFmtId="0" fontId="96" fillId="64" borderId="116" xfId="0" applyFont="1" applyFill="1" applyBorder="1"/>
    <xf numFmtId="164" fontId="96" fillId="64" borderId="117" xfId="114" applyFont="1" applyFill="1" applyBorder="1"/>
    <xf numFmtId="0" fontId="137" fillId="0" borderId="116" xfId="0" applyFont="1" applyBorder="1"/>
    <xf numFmtId="164" fontId="137" fillId="0" borderId="117" xfId="114" applyFont="1" applyBorder="1"/>
    <xf numFmtId="0" fontId="140" fillId="0" borderId="0" xfId="0" applyFont="1" applyAlignment="1">
      <alignment horizontal="center" vertical="center" wrapText="1"/>
    </xf>
    <xf numFmtId="173" fontId="0" fillId="0" borderId="11" xfId="114" applyNumberFormat="1" applyFont="1" applyFill="1" applyBorder="1" applyAlignment="1"/>
    <xf numFmtId="173" fontId="75" fillId="0" borderId="11" xfId="114" applyNumberFormat="1" applyFont="1" applyFill="1" applyBorder="1" applyAlignment="1"/>
    <xf numFmtId="0" fontId="141" fillId="0" borderId="0" xfId="0" applyFont="1"/>
    <xf numFmtId="173" fontId="0" fillId="0" borderId="0" xfId="0" applyNumberFormat="1"/>
    <xf numFmtId="173" fontId="141" fillId="0" borderId="0" xfId="0" applyNumberFormat="1" applyFont="1"/>
    <xf numFmtId="173" fontId="98" fillId="0" borderId="11" xfId="0" applyNumberFormat="1" applyFont="1" applyBorder="1" applyAlignment="1">
      <alignment horizontal="center" vertical="center"/>
    </xf>
    <xf numFmtId="173" fontId="75" fillId="0" borderId="11" xfId="0" applyNumberFormat="1" applyFont="1" applyBorder="1" applyAlignment="1">
      <alignment horizontal="center" vertical="center"/>
    </xf>
    <xf numFmtId="173" fontId="0" fillId="0" borderId="11" xfId="114" applyNumberFormat="1" applyFont="1" applyBorder="1"/>
    <xf numFmtId="173" fontId="0" fillId="0" borderId="17" xfId="114" applyNumberFormat="1" applyFont="1" applyBorder="1"/>
    <xf numFmtId="173" fontId="0" fillId="0" borderId="11" xfId="114" applyNumberFormat="1" applyFont="1" applyBorder="1" applyAlignment="1">
      <alignment vertical="center"/>
    </xf>
    <xf numFmtId="173" fontId="75" fillId="0" borderId="11" xfId="0" applyNumberFormat="1" applyFont="1" applyBorder="1"/>
    <xf numFmtId="173" fontId="0" fillId="0" borderId="0" xfId="114" applyNumberFormat="1" applyFont="1"/>
    <xf numFmtId="173" fontId="75" fillId="0" borderId="11" xfId="0" applyNumberFormat="1" applyFont="1" applyBorder="1" applyAlignment="1">
      <alignment horizontal="center" vertical="center" wrapText="1"/>
    </xf>
    <xf numFmtId="173" fontId="0" fillId="0" borderId="11" xfId="114" applyNumberFormat="1" applyFont="1" applyBorder="1" applyAlignment="1">
      <alignment horizontal="right"/>
    </xf>
    <xf numFmtId="173" fontId="75" fillId="0" borderId="11" xfId="114" applyNumberFormat="1" applyFont="1" applyBorder="1" applyAlignment="1">
      <alignment horizontal="right"/>
    </xf>
    <xf numFmtId="173" fontId="50" fillId="0" borderId="11" xfId="114" applyNumberFormat="1" applyFont="1" applyBorder="1" applyAlignment="1">
      <alignment vertical="center"/>
    </xf>
    <xf numFmtId="173" fontId="50" fillId="0" borderId="11" xfId="114" applyNumberFormat="1" applyFont="1" applyFill="1" applyBorder="1" applyAlignment="1"/>
    <xf numFmtId="173" fontId="112" fillId="0" borderId="11" xfId="114" applyNumberFormat="1" applyFont="1" applyBorder="1" applyAlignment="1">
      <alignment horizontal="right"/>
    </xf>
    <xf numFmtId="173" fontId="50" fillId="0" borderId="11" xfId="114" applyNumberFormat="1" applyFont="1" applyBorder="1" applyAlignment="1">
      <alignment horizontal="right"/>
    </xf>
    <xf numFmtId="43" fontId="0" fillId="0" borderId="0" xfId="0" applyNumberFormat="1"/>
    <xf numFmtId="189" fontId="142" fillId="58" borderId="11" xfId="247" applyNumberFormat="1" applyFont="1" applyFill="1" applyBorder="1"/>
    <xf numFmtId="164" fontId="1" fillId="0" borderId="0" xfId="114" applyFont="1"/>
    <xf numFmtId="41" fontId="96" fillId="0" borderId="11" xfId="114" applyNumberFormat="1" applyFont="1" applyFill="1" applyBorder="1" applyAlignment="1">
      <alignment horizontal="left" wrapText="1"/>
    </xf>
    <xf numFmtId="14" fontId="96" fillId="0" borderId="17" xfId="0" applyNumberFormat="1" applyFont="1" applyBorder="1" applyAlignment="1">
      <alignment horizontal="center" vertical="center" wrapText="1"/>
    </xf>
    <xf numFmtId="164" fontId="143" fillId="0" borderId="11" xfId="114" applyFont="1" applyBorder="1" applyAlignment="1"/>
    <xf numFmtId="164" fontId="143" fillId="0" borderId="11" xfId="114" applyFont="1" applyBorder="1" applyAlignment="1">
      <alignment horizontal="right"/>
    </xf>
    <xf numFmtId="0" fontId="143" fillId="0" borderId="0" xfId="0" applyFont="1"/>
    <xf numFmtId="164" fontId="143" fillId="0" borderId="11" xfId="114" applyFont="1" applyFill="1" applyBorder="1" applyAlignment="1">
      <alignment horizontal="right"/>
    </xf>
    <xf numFmtId="164" fontId="143" fillId="0" borderId="0" xfId="114" applyFont="1"/>
    <xf numFmtId="3" fontId="134" fillId="0" borderId="25" xfId="0" applyNumberFormat="1" applyFont="1" applyBorder="1" applyAlignment="1">
      <alignment horizontal="right" vertical="center"/>
    </xf>
    <xf numFmtId="3" fontId="83" fillId="0" borderId="25" xfId="0" applyNumberFormat="1" applyFont="1" applyBorder="1" applyAlignment="1">
      <alignment horizontal="right" vertical="center"/>
    </xf>
    <xf numFmtId="3" fontId="83" fillId="0" borderId="34" xfId="0" applyNumberFormat="1" applyFont="1" applyBorder="1" applyAlignment="1">
      <alignment horizontal="right" vertical="center"/>
    </xf>
    <xf numFmtId="0" fontId="80" fillId="0" borderId="89" xfId="0" applyFont="1" applyBorder="1"/>
    <xf numFmtId="0" fontId="80" fillId="0" borderId="88" xfId="0" applyFont="1" applyBorder="1"/>
    <xf numFmtId="164" fontId="80" fillId="0" borderId="88" xfId="114" applyFont="1" applyBorder="1"/>
    <xf numFmtId="164" fontId="80" fillId="0" borderId="88" xfId="0" applyNumberFormat="1" applyFont="1" applyBorder="1"/>
    <xf numFmtId="2" fontId="80" fillId="0" borderId="78" xfId="0" applyNumberFormat="1" applyFont="1" applyBorder="1"/>
    <xf numFmtId="0" fontId="80" fillId="0" borderId="0" xfId="0" applyFont="1"/>
    <xf numFmtId="164" fontId="80" fillId="0" borderId="88" xfId="114" applyFont="1" applyFill="1" applyBorder="1"/>
    <xf numFmtId="0" fontId="80" fillId="0" borderId="78" xfId="0" applyFont="1" applyBorder="1"/>
    <xf numFmtId="189" fontId="145" fillId="0" borderId="85" xfId="247" applyNumberFormat="1" applyFont="1" applyBorder="1"/>
    <xf numFmtId="189" fontId="145" fillId="0" borderId="11" xfId="247" applyNumberFormat="1" applyFont="1" applyBorder="1"/>
    <xf numFmtId="189" fontId="146" fillId="0" borderId="16" xfId="247" applyNumberFormat="1" applyFont="1" applyBorder="1"/>
    <xf numFmtId="189" fontId="145" fillId="0" borderId="84" xfId="247" applyNumberFormat="1" applyFont="1" applyBorder="1"/>
    <xf numFmtId="0" fontId="145" fillId="0" borderId="0" xfId="247" applyFont="1"/>
    <xf numFmtId="189" fontId="147" fillId="0" borderId="85" xfId="247" applyNumberFormat="1" applyFont="1" applyBorder="1"/>
    <xf numFmtId="189" fontId="147" fillId="0" borderId="11" xfId="247" applyNumberFormat="1" applyFont="1" applyBorder="1"/>
    <xf numFmtId="189" fontId="148" fillId="0" borderId="16" xfId="247" applyNumberFormat="1" applyFont="1" applyBorder="1"/>
    <xf numFmtId="189" fontId="147" fillId="0" borderId="84" xfId="247" applyNumberFormat="1" applyFont="1" applyBorder="1"/>
    <xf numFmtId="0" fontId="147" fillId="0" borderId="0" xfId="247" applyFont="1"/>
    <xf numFmtId="189" fontId="146" fillId="0" borderId="11" xfId="247" applyNumberFormat="1" applyFont="1" applyBorder="1"/>
    <xf numFmtId="164" fontId="99" fillId="0" borderId="11" xfId="114" applyFont="1" applyBorder="1" applyAlignment="1"/>
    <xf numFmtId="164" fontId="141" fillId="0" borderId="0" xfId="0" applyNumberFormat="1" applyFont="1"/>
    <xf numFmtId="49" fontId="99" fillId="0" borderId="11" xfId="0" applyNumberFormat="1" applyFont="1" applyBorder="1" applyAlignment="1">
      <alignment wrapText="1"/>
    </xf>
    <xf numFmtId="0" fontId="99" fillId="0" borderId="17" xfId="0" applyFont="1" applyBorder="1" applyAlignment="1">
      <alignment horizontal="left" vertical="center" wrapText="1"/>
    </xf>
    <xf numFmtId="14" fontId="99" fillId="0" borderId="17" xfId="0" applyNumberFormat="1" applyFont="1" applyBorder="1" applyAlignment="1">
      <alignment horizontal="center" vertical="center" wrapText="1"/>
    </xf>
    <xf numFmtId="14" fontId="99" fillId="0" borderId="17" xfId="0" applyNumberFormat="1" applyFont="1" applyBorder="1" applyAlignment="1">
      <alignment horizontal="left" vertical="center" wrapText="1"/>
    </xf>
    <xf numFmtId="164" fontId="99" fillId="0" borderId="11" xfId="114" applyFont="1" applyFill="1" applyBorder="1" applyAlignment="1">
      <alignment horizontal="left" wrapText="1"/>
    </xf>
    <xf numFmtId="164" fontId="99" fillId="0" borderId="0" xfId="114" applyFont="1" applyFill="1" applyAlignment="1">
      <alignment wrapText="1"/>
    </xf>
    <xf numFmtId="0" fontId="99" fillId="0" borderId="0" xfId="0" applyFont="1" applyAlignment="1">
      <alignment wrapText="1"/>
    </xf>
    <xf numFmtId="164" fontId="149" fillId="0" borderId="0" xfId="114" applyFont="1"/>
    <xf numFmtId="164" fontId="149" fillId="0" borderId="0" xfId="0" applyNumberFormat="1" applyFont="1"/>
    <xf numFmtId="191" fontId="149" fillId="0" borderId="0" xfId="114" applyNumberFormat="1" applyFont="1"/>
    <xf numFmtId="164" fontId="141" fillId="0" borderId="0" xfId="114" applyFont="1"/>
    <xf numFmtId="164" fontId="50" fillId="0" borderId="11" xfId="114" applyFont="1" applyFill="1" applyBorder="1" applyAlignment="1"/>
    <xf numFmtId="164" fontId="50" fillId="0" borderId="11" xfId="114" applyFont="1" applyFill="1" applyBorder="1" applyAlignment="1">
      <alignment horizontal="right"/>
    </xf>
    <xf numFmtId="0" fontId="79" fillId="57" borderId="19" xfId="0" applyFont="1" applyFill="1" applyBorder="1" applyAlignment="1">
      <alignment horizontal="center" vertical="center"/>
    </xf>
    <xf numFmtId="0" fontId="79" fillId="57" borderId="93" xfId="0" applyFont="1" applyFill="1" applyBorder="1" applyAlignment="1">
      <alignment horizontal="center" vertical="center"/>
    </xf>
    <xf numFmtId="14" fontId="136" fillId="65" borderId="19" xfId="0" applyNumberFormat="1" applyFont="1" applyFill="1" applyBorder="1" applyAlignment="1">
      <alignment horizontal="center"/>
    </xf>
    <xf numFmtId="14" fontId="136" fillId="65" borderId="21" xfId="0" applyNumberFormat="1" applyFont="1" applyFill="1" applyBorder="1" applyAlignment="1">
      <alignment horizontal="center"/>
    </xf>
    <xf numFmtId="0" fontId="80" fillId="0" borderId="0" xfId="0" applyFont="1" applyAlignment="1">
      <alignment horizontal="center" vertical="center"/>
    </xf>
    <xf numFmtId="0" fontId="80" fillId="0" borderId="94" xfId="0" applyFont="1" applyBorder="1" applyAlignment="1">
      <alignment horizontal="left" vertical="center" wrapText="1"/>
    </xf>
    <xf numFmtId="0" fontId="80" fillId="0" borderId="91" xfId="0" applyFont="1" applyBorder="1" applyAlignment="1">
      <alignment horizontal="left" vertical="center" wrapText="1"/>
    </xf>
    <xf numFmtId="0" fontId="80" fillId="0" borderId="40" xfId="0" applyFont="1" applyBorder="1" applyAlignment="1">
      <alignment horizontal="left" vertical="center" wrapText="1"/>
    </xf>
    <xf numFmtId="0" fontId="80" fillId="0" borderId="25" xfId="0" applyFont="1" applyBorder="1" applyAlignment="1">
      <alignment horizontal="left" vertical="center" wrapText="1"/>
    </xf>
    <xf numFmtId="0" fontId="80" fillId="0" borderId="60" xfId="0" applyFont="1" applyBorder="1" applyAlignment="1">
      <alignment horizontal="left" vertical="center" wrapText="1"/>
    </xf>
    <xf numFmtId="0" fontId="80" fillId="0" borderId="34" xfId="0" applyFont="1" applyBorder="1" applyAlignment="1">
      <alignment horizontal="left" vertical="center" wrapText="1"/>
    </xf>
    <xf numFmtId="0" fontId="80" fillId="0" borderId="90" xfId="0" applyFont="1" applyBorder="1" applyAlignment="1">
      <alignment horizontal="left" vertical="center"/>
    </xf>
    <xf numFmtId="0" fontId="80" fillId="0" borderId="13" xfId="0" applyFont="1" applyBorder="1" applyAlignment="1">
      <alignment horizontal="center" vertical="center" wrapText="1"/>
    </xf>
    <xf numFmtId="0" fontId="80" fillId="0" borderId="0" xfId="0" applyFont="1" applyAlignment="1">
      <alignment horizontal="center" vertical="center" wrapText="1"/>
    </xf>
    <xf numFmtId="0" fontId="80" fillId="0" borderId="15" xfId="0" applyFont="1" applyBorder="1" applyAlignment="1">
      <alignment horizontal="left" vertical="center" wrapText="1"/>
    </xf>
    <xf numFmtId="0" fontId="80" fillId="0" borderId="65" xfId="0" applyFont="1" applyBorder="1" applyAlignment="1">
      <alignment horizontal="left" vertical="center"/>
    </xf>
    <xf numFmtId="0" fontId="80" fillId="0" borderId="95" xfId="0" applyFont="1" applyBorder="1" applyAlignment="1">
      <alignment horizontal="left" vertical="center"/>
    </xf>
    <xf numFmtId="0" fontId="80" fillId="0" borderId="40" xfId="0" applyFont="1" applyBorder="1" applyAlignment="1">
      <alignment horizontal="left" vertical="center"/>
    </xf>
    <xf numFmtId="0" fontId="80" fillId="0" borderId="25" xfId="0" applyFont="1" applyBorder="1" applyAlignment="1">
      <alignment horizontal="left" vertical="center"/>
    </xf>
    <xf numFmtId="0" fontId="80" fillId="0" borderId="60" xfId="0" applyFont="1" applyBorder="1" applyAlignment="1">
      <alignment horizontal="left" vertical="center"/>
    </xf>
    <xf numFmtId="0" fontId="80" fillId="0" borderId="34" xfId="0" applyFont="1" applyBorder="1" applyAlignment="1">
      <alignment horizontal="left" vertical="center"/>
    </xf>
    <xf numFmtId="0" fontId="80" fillId="0" borderId="63" xfId="0" applyFont="1" applyBorder="1" applyAlignment="1">
      <alignment horizontal="left" vertical="center"/>
    </xf>
    <xf numFmtId="0" fontId="80" fillId="0" borderId="0" xfId="0" applyFont="1" applyAlignment="1">
      <alignment horizontal="left" vertical="center"/>
    </xf>
    <xf numFmtId="0" fontId="79" fillId="0" borderId="0" xfId="0" applyFont="1" applyAlignment="1">
      <alignment horizontal="left" vertical="center"/>
    </xf>
    <xf numFmtId="0" fontId="78" fillId="0" borderId="0" xfId="107" applyFont="1" applyBorder="1" applyAlignment="1">
      <alignment horizontal="left" vertical="center"/>
    </xf>
    <xf numFmtId="0" fontId="80" fillId="0" borderId="15" xfId="0" applyFont="1" applyBorder="1" applyAlignment="1">
      <alignment horizontal="left" vertical="center"/>
    </xf>
    <xf numFmtId="0" fontId="77" fillId="0" borderId="40" xfId="0" applyFont="1" applyBorder="1" applyAlignment="1">
      <alignment horizontal="left" vertical="top"/>
    </xf>
    <xf numFmtId="0" fontId="77" fillId="0" borderId="25" xfId="0" applyFont="1" applyBorder="1" applyAlignment="1">
      <alignment horizontal="left" vertical="top"/>
    </xf>
    <xf numFmtId="0" fontId="77" fillId="0" borderId="15" xfId="0" applyFont="1" applyBorder="1" applyAlignment="1">
      <alignment horizontal="left" vertical="center"/>
    </xf>
    <xf numFmtId="0" fontId="80" fillId="0" borderId="94" xfId="0" applyFont="1" applyBorder="1" applyAlignment="1">
      <alignment horizontal="left" vertical="center"/>
    </xf>
    <xf numFmtId="0" fontId="80" fillId="0" borderId="91" xfId="0" applyFont="1" applyBorder="1" applyAlignment="1">
      <alignment horizontal="left" vertical="center"/>
    </xf>
    <xf numFmtId="0" fontId="135" fillId="0" borderId="0" xfId="0" applyFont="1" applyAlignment="1">
      <alignment horizontal="left" vertical="center"/>
    </xf>
    <xf numFmtId="0" fontId="77" fillId="0" borderId="0" xfId="0" applyFont="1" applyAlignment="1">
      <alignment horizontal="left" vertical="center"/>
    </xf>
    <xf numFmtId="0" fontId="77" fillId="0" borderId="66" xfId="0" applyFont="1" applyBorder="1" applyAlignment="1">
      <alignment horizontal="left" vertical="top"/>
    </xf>
    <xf numFmtId="0" fontId="77" fillId="0" borderId="65" xfId="0" applyFont="1" applyBorder="1" applyAlignment="1">
      <alignment horizontal="left" vertical="center"/>
    </xf>
    <xf numFmtId="0" fontId="77" fillId="0" borderId="63" xfId="0" applyFont="1" applyBorder="1" applyAlignment="1">
      <alignment horizontal="left" vertical="center"/>
    </xf>
    <xf numFmtId="0" fontId="77" fillId="0" borderId="40" xfId="0" applyFont="1" applyBorder="1" applyAlignment="1">
      <alignment horizontal="left" vertical="center" wrapText="1"/>
    </xf>
    <xf numFmtId="0" fontId="77" fillId="0" borderId="0" xfId="0" applyFont="1" applyAlignment="1">
      <alignment horizontal="left" vertical="center" wrapText="1"/>
    </xf>
    <xf numFmtId="0" fontId="80" fillId="0" borderId="65" xfId="0" applyFont="1" applyBorder="1" applyAlignment="1">
      <alignment horizontal="center"/>
    </xf>
    <xf numFmtId="0" fontId="80" fillId="0" borderId="63" xfId="0" applyFont="1" applyBorder="1" applyAlignment="1">
      <alignment horizontal="center"/>
    </xf>
    <xf numFmtId="0" fontId="80" fillId="0" borderId="64" xfId="0" applyFont="1" applyBorder="1" applyAlignment="1">
      <alignment horizontal="center"/>
    </xf>
    <xf numFmtId="0" fontId="77" fillId="0" borderId="19" xfId="0" applyFont="1" applyBorder="1" applyAlignment="1">
      <alignment horizontal="center"/>
    </xf>
    <xf numFmtId="0" fontId="77" fillId="0" borderId="20" xfId="0" applyFont="1" applyBorder="1" applyAlignment="1">
      <alignment horizontal="center"/>
    </xf>
    <xf numFmtId="0" fontId="77" fillId="0" borderId="21" xfId="0" applyFont="1" applyBorder="1" applyAlignment="1">
      <alignment horizontal="center"/>
    </xf>
    <xf numFmtId="0" fontId="77" fillId="0" borderId="40" xfId="0" applyFont="1" applyBorder="1" applyAlignment="1">
      <alignment horizontal="left" vertical="center"/>
    </xf>
    <xf numFmtId="0" fontId="80" fillId="0" borderId="66" xfId="0" applyFont="1" applyBorder="1" applyAlignment="1">
      <alignment horizontal="left" vertical="center"/>
    </xf>
    <xf numFmtId="0" fontId="80" fillId="0" borderId="5" xfId="0" applyFont="1" applyBorder="1" applyAlignment="1">
      <alignment horizontal="left" vertical="center"/>
    </xf>
    <xf numFmtId="0" fontId="77" fillId="0" borderId="0" xfId="0" applyFont="1" applyAlignment="1">
      <alignment horizontal="center" vertical="center"/>
    </xf>
    <xf numFmtId="0" fontId="83" fillId="0" borderId="0" xfId="0" applyFont="1" applyAlignment="1">
      <alignment horizontal="center" vertical="center"/>
    </xf>
    <xf numFmtId="0" fontId="95" fillId="0" borderId="0" xfId="0" applyFont="1" applyAlignment="1">
      <alignment horizontal="center"/>
    </xf>
    <xf numFmtId="0" fontId="95" fillId="0" borderId="63" xfId="0" applyFont="1" applyBorder="1" applyAlignment="1">
      <alignment horizontal="center"/>
    </xf>
    <xf numFmtId="0" fontId="77" fillId="0" borderId="5" xfId="0" applyFont="1" applyBorder="1" applyAlignment="1">
      <alignment horizontal="center" vertical="center"/>
    </xf>
    <xf numFmtId="0" fontId="83" fillId="0" borderId="0" xfId="0" applyFont="1" applyAlignment="1">
      <alignment horizontal="center"/>
    </xf>
    <xf numFmtId="0" fontId="77" fillId="0" borderId="15" xfId="0" applyFont="1" applyBorder="1" applyAlignment="1">
      <alignment horizontal="center" vertical="center"/>
    </xf>
    <xf numFmtId="0" fontId="79" fillId="0" borderId="0" xfId="0" applyFont="1" applyAlignment="1">
      <alignment horizontal="center" vertical="center" wrapText="1"/>
    </xf>
    <xf numFmtId="0" fontId="0" fillId="0" borderId="63" xfId="0" applyBorder="1" applyAlignment="1">
      <alignment horizontal="center"/>
    </xf>
    <xf numFmtId="0" fontId="75" fillId="0" borderId="0" xfId="0" applyFont="1" applyAlignment="1">
      <alignment horizontal="center" vertical="center"/>
    </xf>
    <xf numFmtId="0" fontId="97" fillId="0" borderId="19" xfId="0" applyFont="1" applyBorder="1" applyAlignment="1">
      <alignment horizontal="center" vertical="center"/>
    </xf>
    <xf numFmtId="0" fontId="98" fillId="0" borderId="20" xfId="0" applyFont="1" applyBorder="1" applyAlignment="1">
      <alignment horizontal="center" vertical="center"/>
    </xf>
    <xf numFmtId="0" fontId="97" fillId="0" borderId="20" xfId="0" applyFont="1" applyBorder="1" applyAlignment="1">
      <alignment horizontal="center" vertical="center"/>
    </xf>
    <xf numFmtId="0" fontId="97" fillId="0" borderId="21" xfId="0" applyFont="1" applyBorder="1" applyAlignment="1">
      <alignment horizontal="center" vertical="center"/>
    </xf>
    <xf numFmtId="0" fontId="97" fillId="0" borderId="53" xfId="0" applyFont="1" applyBorder="1" applyAlignment="1">
      <alignment horizontal="center" vertical="center"/>
    </xf>
    <xf numFmtId="0" fontId="97" fillId="0" borderId="96" xfId="0" applyFont="1" applyBorder="1" applyAlignment="1">
      <alignment horizontal="center" vertical="center"/>
    </xf>
    <xf numFmtId="0" fontId="0" fillId="0" borderId="0" xfId="0" applyAlignment="1">
      <alignment horizontal="center" vertical="center"/>
    </xf>
    <xf numFmtId="14" fontId="125" fillId="0" borderId="11" xfId="0" applyNumberFormat="1" applyFont="1" applyBorder="1" applyAlignment="1">
      <alignment horizontal="center"/>
    </xf>
    <xf numFmtId="0" fontId="125" fillId="0" borderId="11" xfId="0" applyFont="1" applyBorder="1" applyAlignment="1">
      <alignment horizontal="center"/>
    </xf>
    <xf numFmtId="0" fontId="125" fillId="0" borderId="65" xfId="0" applyFont="1" applyBorder="1" applyAlignment="1">
      <alignment horizontal="center"/>
    </xf>
    <xf numFmtId="0" fontId="125" fillId="0" borderId="63" xfId="0" applyFont="1" applyBorder="1" applyAlignment="1">
      <alignment horizontal="center"/>
    </xf>
    <xf numFmtId="0" fontId="125" fillId="0" borderId="64" xfId="0" applyFont="1" applyBorder="1" applyAlignment="1">
      <alignment horizontal="center"/>
    </xf>
    <xf numFmtId="0" fontId="125" fillId="0" borderId="66" xfId="0" applyFont="1" applyBorder="1" applyAlignment="1">
      <alignment horizontal="center"/>
    </xf>
    <xf numFmtId="0" fontId="125" fillId="0" borderId="5" xfId="0" applyFont="1" applyBorder="1" applyAlignment="1">
      <alignment horizontal="center"/>
    </xf>
    <xf numFmtId="0" fontId="125" fillId="0" borderId="71" xfId="0" applyFont="1" applyBorder="1" applyAlignment="1">
      <alignment horizontal="center"/>
    </xf>
    <xf numFmtId="0" fontId="125" fillId="0" borderId="0" xfId="0" applyFont="1" applyAlignment="1">
      <alignment horizontal="center" vertical="center"/>
    </xf>
    <xf numFmtId="14" fontId="125" fillId="0" borderId="22" xfId="0" applyNumberFormat="1" applyFont="1" applyBorder="1" applyAlignment="1">
      <alignment horizontal="center"/>
    </xf>
    <xf numFmtId="14" fontId="125" fillId="0" borderId="18" xfId="0" applyNumberFormat="1" applyFont="1" applyBorder="1" applyAlignment="1">
      <alignment horizontal="center"/>
    </xf>
    <xf numFmtId="0" fontId="0" fillId="0" borderId="15" xfId="0" applyBorder="1" applyAlignment="1">
      <alignment horizontal="center" vertical="center"/>
    </xf>
    <xf numFmtId="0" fontId="99" fillId="0" borderId="19" xfId="0" applyFont="1" applyBorder="1" applyAlignment="1">
      <alignment horizontal="center" vertical="center"/>
    </xf>
    <xf numFmtId="0" fontId="99" fillId="0" borderId="20" xfId="0" applyFont="1" applyBorder="1" applyAlignment="1">
      <alignment horizontal="center" vertical="center"/>
    </xf>
    <xf numFmtId="0" fontId="99" fillId="0" borderId="21" xfId="0" applyFont="1" applyBorder="1" applyAlignment="1">
      <alignment horizontal="center" vertical="center"/>
    </xf>
    <xf numFmtId="0" fontId="75" fillId="0" borderId="0" xfId="0" applyFont="1" applyAlignment="1">
      <alignment horizontal="center" vertical="center" wrapText="1"/>
    </xf>
    <xf numFmtId="0" fontId="110" fillId="0" borderId="22" xfId="0" applyFont="1" applyBorder="1" applyAlignment="1">
      <alignment horizontal="center" vertical="center"/>
    </xf>
    <xf numFmtId="0" fontId="110" fillId="0" borderId="23" xfId="0" applyFont="1" applyBorder="1" applyAlignment="1">
      <alignment horizontal="center" vertical="center"/>
    </xf>
    <xf numFmtId="0" fontId="110" fillId="0" borderId="18" xfId="0" applyFont="1" applyBorder="1" applyAlignment="1">
      <alignment horizontal="center" vertical="center"/>
    </xf>
    <xf numFmtId="0" fontId="110" fillId="63" borderId="22" xfId="0" applyFont="1" applyFill="1" applyBorder="1" applyAlignment="1">
      <alignment horizontal="center" vertical="center"/>
    </xf>
    <xf numFmtId="0" fontId="110" fillId="63" borderId="23" xfId="0" applyFont="1" applyFill="1" applyBorder="1" applyAlignment="1">
      <alignment horizontal="center" vertical="center"/>
    </xf>
    <xf numFmtId="0" fontId="110" fillId="63" borderId="18" xfId="0" applyFont="1" applyFill="1" applyBorder="1" applyAlignment="1">
      <alignment horizontal="center" vertical="center"/>
    </xf>
    <xf numFmtId="0" fontId="110" fillId="63" borderId="67" xfId="0" applyFont="1" applyFill="1" applyBorder="1" applyAlignment="1">
      <alignment horizontal="center" vertical="center"/>
    </xf>
    <xf numFmtId="0" fontId="110" fillId="63" borderId="90" xfId="0" applyFont="1" applyFill="1" applyBorder="1" applyAlignment="1">
      <alignment horizontal="center" vertical="center"/>
    </xf>
    <xf numFmtId="0" fontId="110" fillId="63" borderId="91" xfId="0" applyFont="1" applyFill="1" applyBorder="1" applyAlignment="1">
      <alignment horizontal="center" vertical="center"/>
    </xf>
    <xf numFmtId="0" fontId="75" fillId="0" borderId="0" xfId="0" applyFont="1" applyAlignment="1">
      <alignment horizontal="center"/>
    </xf>
    <xf numFmtId="0" fontId="75" fillId="0" borderId="22" xfId="0" applyFont="1" applyBorder="1" applyAlignment="1">
      <alignment horizontal="center"/>
    </xf>
    <xf numFmtId="0" fontId="75" fillId="0" borderId="23" xfId="0" applyFont="1" applyBorder="1" applyAlignment="1">
      <alignment horizontal="center"/>
    </xf>
    <xf numFmtId="0" fontId="75" fillId="0" borderId="18" xfId="0" applyFont="1" applyBorder="1" applyAlignment="1">
      <alignment horizontal="center"/>
    </xf>
    <xf numFmtId="0" fontId="0" fillId="0" borderId="0" xfId="0" applyAlignment="1">
      <alignment horizontal="center" vertical="center" wrapText="1"/>
    </xf>
    <xf numFmtId="0" fontId="75" fillId="0" borderId="11" xfId="0" applyFont="1" applyBorder="1" applyAlignment="1">
      <alignment horizontal="center"/>
    </xf>
    <xf numFmtId="0" fontId="75" fillId="0" borderId="11" xfId="0" applyFont="1" applyBorder="1" applyAlignment="1">
      <alignment horizontal="center" vertical="center" wrapText="1"/>
    </xf>
    <xf numFmtId="164" fontId="75" fillId="0" borderId="11" xfId="114" applyFont="1" applyFill="1" applyBorder="1" applyAlignment="1">
      <alignment horizontal="right" vertical="center" wrapText="1"/>
    </xf>
    <xf numFmtId="0" fontId="98" fillId="0" borderId="0" xfId="0" applyFont="1" applyAlignment="1">
      <alignment horizontal="center" vertical="center"/>
    </xf>
    <xf numFmtId="0" fontId="75" fillId="0" borderId="22" xfId="0" applyFont="1" applyBorder="1" applyAlignment="1">
      <alignment horizontal="center" vertical="center"/>
    </xf>
    <xf numFmtId="0" fontId="75" fillId="0" borderId="23" xfId="0" applyFont="1" applyBorder="1" applyAlignment="1">
      <alignment horizontal="center" vertical="center"/>
    </xf>
    <xf numFmtId="0" fontId="0" fillId="0" borderId="0" xfId="0"/>
    <xf numFmtId="0" fontId="98" fillId="0" borderId="0" xfId="0" applyFont="1" applyAlignment="1">
      <alignment horizontal="center"/>
    </xf>
    <xf numFmtId="0" fontId="75" fillId="0" borderId="0" xfId="0" applyFont="1" applyAlignment="1">
      <alignment horizontal="left" vertical="center" wrapText="1"/>
    </xf>
    <xf numFmtId="0" fontId="98" fillId="0" borderId="0" xfId="0" applyFont="1" applyAlignment="1">
      <alignment horizontal="center" vertical="center" wrapText="1"/>
    </xf>
    <xf numFmtId="0" fontId="75" fillId="0" borderId="19" xfId="0" applyFont="1" applyBorder="1" applyAlignment="1">
      <alignment horizontal="center" wrapText="1"/>
    </xf>
    <xf numFmtId="0" fontId="75" fillId="0" borderId="21" xfId="0" applyFont="1" applyBorder="1" applyAlignment="1">
      <alignment horizontal="center" wrapText="1"/>
    </xf>
    <xf numFmtId="0" fontId="109" fillId="0" borderId="15" xfId="0" applyFont="1" applyBorder="1" applyAlignment="1">
      <alignment horizontal="center"/>
    </xf>
    <xf numFmtId="0" fontId="98" fillId="0" borderId="15" xfId="0" applyFont="1" applyBorder="1" applyAlignment="1">
      <alignment horizontal="center"/>
    </xf>
    <xf numFmtId="0" fontId="0" fillId="0" borderId="0" xfId="0" quotePrefix="1"/>
    <xf numFmtId="0" fontId="0" fillId="0" borderId="0" xfId="0" applyAlignment="1">
      <alignment horizontal="center"/>
    </xf>
  </cellXfs>
  <cellStyles count="404">
    <cellStyle name="          _x000d__x000a_386grabber=VGA.3GR_x000d__x000a_ 3" xfId="1" xr:uid="{00000000-0005-0000-0000-000000000000}"/>
    <cellStyle name="20% - Accent1" xfId="2" xr:uid="{00000000-0005-0000-0000-000001000000}"/>
    <cellStyle name="20% - Accent2" xfId="3" xr:uid="{00000000-0005-0000-0000-000002000000}"/>
    <cellStyle name="20% - Accent3" xfId="4" xr:uid="{00000000-0005-0000-0000-000003000000}"/>
    <cellStyle name="20% - Accent4" xfId="5" xr:uid="{00000000-0005-0000-0000-000004000000}"/>
    <cellStyle name="20% - Accent5" xfId="6" xr:uid="{00000000-0005-0000-0000-000005000000}"/>
    <cellStyle name="20% - Accent6" xfId="7" xr:uid="{00000000-0005-0000-0000-000006000000}"/>
    <cellStyle name="20% - Énfasis1 2" xfId="8" xr:uid="{00000000-0005-0000-0000-000007000000}"/>
    <cellStyle name="20% - Énfasis1 3" xfId="9" xr:uid="{00000000-0005-0000-0000-000008000000}"/>
    <cellStyle name="20% - Énfasis1 4" xfId="10" xr:uid="{00000000-0005-0000-0000-000009000000}"/>
    <cellStyle name="20% - Énfasis2 2" xfId="11" xr:uid="{00000000-0005-0000-0000-00000A000000}"/>
    <cellStyle name="20% - Énfasis2 3" xfId="12" xr:uid="{00000000-0005-0000-0000-00000B000000}"/>
    <cellStyle name="20% - Énfasis2 4" xfId="13" xr:uid="{00000000-0005-0000-0000-00000C000000}"/>
    <cellStyle name="20% - Énfasis3 2" xfId="14" xr:uid="{00000000-0005-0000-0000-00000D000000}"/>
    <cellStyle name="20% - Énfasis3 3" xfId="15" xr:uid="{00000000-0005-0000-0000-00000E000000}"/>
    <cellStyle name="20% - Énfasis3 4" xfId="16" xr:uid="{00000000-0005-0000-0000-00000F000000}"/>
    <cellStyle name="20% - Énfasis4 2" xfId="17" xr:uid="{00000000-0005-0000-0000-000010000000}"/>
    <cellStyle name="20% - Énfasis4 3" xfId="18" xr:uid="{00000000-0005-0000-0000-000011000000}"/>
    <cellStyle name="20% - Énfasis4 4" xfId="19" xr:uid="{00000000-0005-0000-0000-000012000000}"/>
    <cellStyle name="20% - Énfasis5 2" xfId="20" xr:uid="{00000000-0005-0000-0000-000013000000}"/>
    <cellStyle name="20% - Énfasis5 3" xfId="21" xr:uid="{00000000-0005-0000-0000-000014000000}"/>
    <cellStyle name="20% - Énfasis5 4" xfId="22" xr:uid="{00000000-0005-0000-0000-000015000000}"/>
    <cellStyle name="20% - Énfasis6 2" xfId="23" xr:uid="{00000000-0005-0000-0000-000016000000}"/>
    <cellStyle name="20% - Énfasis6 3" xfId="24" xr:uid="{00000000-0005-0000-0000-000017000000}"/>
    <cellStyle name="20% - Énfasis6 4" xfId="25" xr:uid="{00000000-0005-0000-0000-000018000000}"/>
    <cellStyle name="40% - Accent1" xfId="26" xr:uid="{00000000-0005-0000-0000-000019000000}"/>
    <cellStyle name="40% - Accent2" xfId="27" xr:uid="{00000000-0005-0000-0000-00001A000000}"/>
    <cellStyle name="40% - Accent3" xfId="28" xr:uid="{00000000-0005-0000-0000-00001B000000}"/>
    <cellStyle name="40% - Accent4" xfId="29" xr:uid="{00000000-0005-0000-0000-00001C000000}"/>
    <cellStyle name="40% - Accent5" xfId="30" xr:uid="{00000000-0005-0000-0000-00001D000000}"/>
    <cellStyle name="40% - Accent6" xfId="31" xr:uid="{00000000-0005-0000-0000-00001E000000}"/>
    <cellStyle name="40% - Énfasis1 2" xfId="32" xr:uid="{00000000-0005-0000-0000-00001F000000}"/>
    <cellStyle name="40% - Énfasis1 3" xfId="33" xr:uid="{00000000-0005-0000-0000-000020000000}"/>
    <cellStyle name="40% - Énfasis1 4" xfId="34" xr:uid="{00000000-0005-0000-0000-000021000000}"/>
    <cellStyle name="40% - Énfasis2 2" xfId="35" xr:uid="{00000000-0005-0000-0000-000022000000}"/>
    <cellStyle name="40% - Énfasis2 3" xfId="36" xr:uid="{00000000-0005-0000-0000-000023000000}"/>
    <cellStyle name="40% - Énfasis2 4" xfId="37" xr:uid="{00000000-0005-0000-0000-000024000000}"/>
    <cellStyle name="40% - Énfasis3 2" xfId="38" xr:uid="{00000000-0005-0000-0000-000025000000}"/>
    <cellStyle name="40% - Énfasis3 3" xfId="39" xr:uid="{00000000-0005-0000-0000-000026000000}"/>
    <cellStyle name="40% - Énfasis3 4" xfId="40" xr:uid="{00000000-0005-0000-0000-000027000000}"/>
    <cellStyle name="40% - Énfasis4 2" xfId="41" xr:uid="{00000000-0005-0000-0000-000028000000}"/>
    <cellStyle name="40% - Énfasis4 3" xfId="42" xr:uid="{00000000-0005-0000-0000-000029000000}"/>
    <cellStyle name="40% - Énfasis4 4" xfId="43" xr:uid="{00000000-0005-0000-0000-00002A000000}"/>
    <cellStyle name="40% - Énfasis5 2" xfId="44" xr:uid="{00000000-0005-0000-0000-00002B000000}"/>
    <cellStyle name="40% - Énfasis5 3" xfId="45" xr:uid="{00000000-0005-0000-0000-00002C000000}"/>
    <cellStyle name="40% - Énfasis5 4" xfId="46" xr:uid="{00000000-0005-0000-0000-00002D000000}"/>
    <cellStyle name="40% - Énfasis6 2" xfId="47" xr:uid="{00000000-0005-0000-0000-00002E000000}"/>
    <cellStyle name="40% - Énfasis6 3" xfId="48" xr:uid="{00000000-0005-0000-0000-00002F000000}"/>
    <cellStyle name="40% - Énfasis6 4" xfId="49" xr:uid="{00000000-0005-0000-0000-000030000000}"/>
    <cellStyle name="60% - Accent1" xfId="50" xr:uid="{00000000-0005-0000-0000-000031000000}"/>
    <cellStyle name="60% - Accent2" xfId="51" xr:uid="{00000000-0005-0000-0000-000032000000}"/>
    <cellStyle name="60% - Accent3" xfId="52" xr:uid="{00000000-0005-0000-0000-000033000000}"/>
    <cellStyle name="60% - Accent4" xfId="53" xr:uid="{00000000-0005-0000-0000-000034000000}"/>
    <cellStyle name="60% - Accent5" xfId="54" xr:uid="{00000000-0005-0000-0000-000035000000}"/>
    <cellStyle name="60% - Accent6" xfId="55" xr:uid="{00000000-0005-0000-0000-000036000000}"/>
    <cellStyle name="60% - Énfasis1 2" xfId="56" xr:uid="{00000000-0005-0000-0000-000037000000}"/>
    <cellStyle name="60% - Énfasis2 2" xfId="57" xr:uid="{00000000-0005-0000-0000-000038000000}"/>
    <cellStyle name="60% - Énfasis3 2" xfId="58" xr:uid="{00000000-0005-0000-0000-000039000000}"/>
    <cellStyle name="60% - Énfasis4 2" xfId="59" xr:uid="{00000000-0005-0000-0000-00003A000000}"/>
    <cellStyle name="60% - Énfasis5 2" xfId="60" xr:uid="{00000000-0005-0000-0000-00003B000000}"/>
    <cellStyle name="60% - Énfasis6 2" xfId="61" xr:uid="{00000000-0005-0000-0000-00003C000000}"/>
    <cellStyle name="Accent1" xfId="62" xr:uid="{00000000-0005-0000-0000-00003D000000}"/>
    <cellStyle name="Accent2" xfId="63" xr:uid="{00000000-0005-0000-0000-00003E000000}"/>
    <cellStyle name="Accent3" xfId="64" xr:uid="{00000000-0005-0000-0000-00003F000000}"/>
    <cellStyle name="Accent4" xfId="65" xr:uid="{00000000-0005-0000-0000-000040000000}"/>
    <cellStyle name="Accent5" xfId="66" xr:uid="{00000000-0005-0000-0000-000041000000}"/>
    <cellStyle name="Accent6" xfId="67" xr:uid="{00000000-0005-0000-0000-000042000000}"/>
    <cellStyle name="Bad" xfId="68" xr:uid="{00000000-0005-0000-0000-000043000000}"/>
    <cellStyle name="Bueno 2" xfId="69" xr:uid="{00000000-0005-0000-0000-000044000000}"/>
    <cellStyle name="Calculation" xfId="70" xr:uid="{00000000-0005-0000-0000-000045000000}"/>
    <cellStyle name="Cálculo 2" xfId="71" xr:uid="{00000000-0005-0000-0000-000046000000}"/>
    <cellStyle name="Celda de comprobación 2" xfId="72" xr:uid="{00000000-0005-0000-0000-000047000000}"/>
    <cellStyle name="Celda vinculada 2" xfId="73" xr:uid="{00000000-0005-0000-0000-000048000000}"/>
    <cellStyle name="Check Cell" xfId="74" xr:uid="{00000000-0005-0000-0000-000049000000}"/>
    <cellStyle name="Comma 2" xfId="75" xr:uid="{00000000-0005-0000-0000-00004A000000}"/>
    <cellStyle name="Comma 2 2" xfId="76" xr:uid="{00000000-0005-0000-0000-00004B000000}"/>
    <cellStyle name="Comma 2 3" xfId="77" xr:uid="{00000000-0005-0000-0000-00004C000000}"/>
    <cellStyle name="Comma 3" xfId="78" xr:uid="{00000000-0005-0000-0000-00004D000000}"/>
    <cellStyle name="Comma 4" xfId="79" xr:uid="{00000000-0005-0000-0000-00004E000000}"/>
    <cellStyle name="Comma 4 2" xfId="80" xr:uid="{00000000-0005-0000-0000-00004F000000}"/>
    <cellStyle name="Comma 4 2 2" xfId="81" xr:uid="{00000000-0005-0000-0000-000050000000}"/>
    <cellStyle name="Comma 4 2 2 2" xfId="82" xr:uid="{00000000-0005-0000-0000-000051000000}"/>
    <cellStyle name="Comma 5" xfId="83" xr:uid="{00000000-0005-0000-0000-000052000000}"/>
    <cellStyle name="Comma_Comparativo 2004" xfId="84" xr:uid="{00000000-0005-0000-0000-000053000000}"/>
    <cellStyle name="Encabezado 1 2" xfId="85" xr:uid="{00000000-0005-0000-0000-000054000000}"/>
    <cellStyle name="Encabezado 4 2" xfId="86" xr:uid="{00000000-0005-0000-0000-000055000000}"/>
    <cellStyle name="Énfasis1" xfId="87" builtinId="29"/>
    <cellStyle name="Énfasis1 2" xfId="88" xr:uid="{00000000-0005-0000-0000-000057000000}"/>
    <cellStyle name="Énfasis2 2" xfId="89" xr:uid="{00000000-0005-0000-0000-000058000000}"/>
    <cellStyle name="Énfasis2 3" xfId="90" xr:uid="{00000000-0005-0000-0000-000059000000}"/>
    <cellStyle name="Énfasis3 2" xfId="91" xr:uid="{00000000-0005-0000-0000-00005A000000}"/>
    <cellStyle name="Énfasis4" xfId="92" builtinId="41"/>
    <cellStyle name="Énfasis4 2" xfId="93" xr:uid="{00000000-0005-0000-0000-00005C000000}"/>
    <cellStyle name="Énfasis5 2" xfId="94" xr:uid="{00000000-0005-0000-0000-00005D000000}"/>
    <cellStyle name="Énfasis6 2" xfId="95" xr:uid="{00000000-0005-0000-0000-00005E000000}"/>
    <cellStyle name="Entrada 2" xfId="96" xr:uid="{00000000-0005-0000-0000-00005F000000}"/>
    <cellStyle name="Excel Built-in Normal" xfId="97" xr:uid="{00000000-0005-0000-0000-000060000000}"/>
    <cellStyle name="Excel Built-in Normal 2" xfId="98" xr:uid="{00000000-0005-0000-0000-000061000000}"/>
    <cellStyle name="Explanatory Text" xfId="99" xr:uid="{00000000-0005-0000-0000-000062000000}"/>
    <cellStyle name="Good" xfId="100" xr:uid="{00000000-0005-0000-0000-000063000000}"/>
    <cellStyle name="Heading" xfId="101" xr:uid="{00000000-0005-0000-0000-000064000000}"/>
    <cellStyle name="Heading 1" xfId="102" xr:uid="{00000000-0005-0000-0000-000065000000}"/>
    <cellStyle name="Heading 2" xfId="103" xr:uid="{00000000-0005-0000-0000-000066000000}"/>
    <cellStyle name="Heading 3" xfId="104" xr:uid="{00000000-0005-0000-0000-000067000000}"/>
    <cellStyle name="Heading 4" xfId="105" xr:uid="{00000000-0005-0000-0000-000068000000}"/>
    <cellStyle name="Heading 5" xfId="106" xr:uid="{00000000-0005-0000-0000-000069000000}"/>
    <cellStyle name="Hipervínculo" xfId="107" builtinId="8"/>
    <cellStyle name="Hipervínculo 2" xfId="108" xr:uid="{00000000-0005-0000-0000-00006B000000}"/>
    <cellStyle name="Hipervínculo 3" xfId="109" xr:uid="{00000000-0005-0000-0000-00006C000000}"/>
    <cellStyle name="Incorrecto 2" xfId="110" xr:uid="{00000000-0005-0000-0000-00006D000000}"/>
    <cellStyle name="Input" xfId="111" xr:uid="{00000000-0005-0000-0000-00006E000000}"/>
    <cellStyle name="Linked Cell" xfId="112" xr:uid="{00000000-0005-0000-0000-00006F000000}"/>
    <cellStyle name="Millares" xfId="113" builtinId="3"/>
    <cellStyle name="Millares [0]" xfId="114" builtinId="6"/>
    <cellStyle name="Millares [0] 2" xfId="115" xr:uid="{00000000-0005-0000-0000-000072000000}"/>
    <cellStyle name="Millares [0] 2 2" xfId="116" xr:uid="{00000000-0005-0000-0000-000073000000}"/>
    <cellStyle name="Millares [0] 2 2 2" xfId="117" xr:uid="{00000000-0005-0000-0000-000074000000}"/>
    <cellStyle name="Millares [0] 2 2 3" xfId="118" xr:uid="{00000000-0005-0000-0000-000075000000}"/>
    <cellStyle name="Millares [0] 2 3" xfId="119" xr:uid="{00000000-0005-0000-0000-000076000000}"/>
    <cellStyle name="Millares [0] 2 3 2" xfId="120" xr:uid="{00000000-0005-0000-0000-000077000000}"/>
    <cellStyle name="Millares [0] 2 4" xfId="121" xr:uid="{00000000-0005-0000-0000-000078000000}"/>
    <cellStyle name="Millares [0] 2 5" xfId="122" xr:uid="{00000000-0005-0000-0000-000079000000}"/>
    <cellStyle name="Millares [0] 3" xfId="123" xr:uid="{00000000-0005-0000-0000-00007A000000}"/>
    <cellStyle name="Millares [0] 3 2" xfId="124" xr:uid="{00000000-0005-0000-0000-00007B000000}"/>
    <cellStyle name="Millares [0] 3 2 2" xfId="125" xr:uid="{00000000-0005-0000-0000-00007C000000}"/>
    <cellStyle name="Millares [0] 3 2 3" xfId="126" xr:uid="{00000000-0005-0000-0000-00007D000000}"/>
    <cellStyle name="Millares [0] 3 3" xfId="127" xr:uid="{00000000-0005-0000-0000-00007E000000}"/>
    <cellStyle name="Millares [0] 3 4" xfId="128" xr:uid="{00000000-0005-0000-0000-00007F000000}"/>
    <cellStyle name="Millares [0] 3 5" xfId="129" xr:uid="{00000000-0005-0000-0000-000080000000}"/>
    <cellStyle name="Millares [0] 4" xfId="130" xr:uid="{00000000-0005-0000-0000-000081000000}"/>
    <cellStyle name="Millares [0] 4 2" xfId="131" xr:uid="{00000000-0005-0000-0000-000082000000}"/>
    <cellStyle name="Millares [0] 4 3" xfId="132" xr:uid="{00000000-0005-0000-0000-000083000000}"/>
    <cellStyle name="Millares [0] 4 4" xfId="133" xr:uid="{00000000-0005-0000-0000-000084000000}"/>
    <cellStyle name="Millares [0] 5" xfId="134" xr:uid="{00000000-0005-0000-0000-000085000000}"/>
    <cellStyle name="Millares [0] 6" xfId="135" xr:uid="{00000000-0005-0000-0000-000086000000}"/>
    <cellStyle name="Millares [0] 7" xfId="136" xr:uid="{00000000-0005-0000-0000-000087000000}"/>
    <cellStyle name="Millares [0] 8" xfId="137" xr:uid="{00000000-0005-0000-0000-000088000000}"/>
    <cellStyle name="Millares [0] 9" xfId="402" xr:uid="{F3897145-4C69-4063-BBA2-7D2614677C20}"/>
    <cellStyle name="Millares 10" xfId="138" xr:uid="{00000000-0005-0000-0000-000089000000}"/>
    <cellStyle name="Millares 10 2" xfId="139" xr:uid="{00000000-0005-0000-0000-00008A000000}"/>
    <cellStyle name="Millares 100 11" xfId="140" xr:uid="{00000000-0005-0000-0000-00008B000000}"/>
    <cellStyle name="Millares 100 11 2" xfId="141" xr:uid="{00000000-0005-0000-0000-00008C000000}"/>
    <cellStyle name="Millares 100 11 2 2" xfId="142" xr:uid="{00000000-0005-0000-0000-00008D000000}"/>
    <cellStyle name="Millares 11" xfId="143" xr:uid="{00000000-0005-0000-0000-00008E000000}"/>
    <cellStyle name="Millares 11 2" xfId="144" xr:uid="{00000000-0005-0000-0000-00008F000000}"/>
    <cellStyle name="Millares 12" xfId="145" xr:uid="{00000000-0005-0000-0000-000090000000}"/>
    <cellStyle name="Millares 13" xfId="146" xr:uid="{00000000-0005-0000-0000-000091000000}"/>
    <cellStyle name="Millares 14" xfId="147" xr:uid="{00000000-0005-0000-0000-000092000000}"/>
    <cellStyle name="Millares 15" xfId="148" xr:uid="{00000000-0005-0000-0000-000093000000}"/>
    <cellStyle name="Millares 16" xfId="149" xr:uid="{00000000-0005-0000-0000-000094000000}"/>
    <cellStyle name="Millares 17" xfId="150" xr:uid="{00000000-0005-0000-0000-000095000000}"/>
    <cellStyle name="Millares 174 2" xfId="151" xr:uid="{00000000-0005-0000-0000-000096000000}"/>
    <cellStyle name="Millares 174 2 2" xfId="152" xr:uid="{00000000-0005-0000-0000-000097000000}"/>
    <cellStyle name="Millares 174 2 2 2" xfId="153" xr:uid="{00000000-0005-0000-0000-000098000000}"/>
    <cellStyle name="Millares 18" xfId="154" xr:uid="{00000000-0005-0000-0000-000099000000}"/>
    <cellStyle name="Millares 19" xfId="155" xr:uid="{00000000-0005-0000-0000-00009A000000}"/>
    <cellStyle name="Millares 2" xfId="156" xr:uid="{00000000-0005-0000-0000-00009B000000}"/>
    <cellStyle name="Millares 2 2" xfId="157" xr:uid="{00000000-0005-0000-0000-00009C000000}"/>
    <cellStyle name="Millares 2 2 2" xfId="158" xr:uid="{00000000-0005-0000-0000-00009D000000}"/>
    <cellStyle name="Millares 2 2 2 2" xfId="159" xr:uid="{00000000-0005-0000-0000-00009E000000}"/>
    <cellStyle name="Millares 2 2 3" xfId="160" xr:uid="{00000000-0005-0000-0000-00009F000000}"/>
    <cellStyle name="Millares 2 2 3 2" xfId="161" xr:uid="{00000000-0005-0000-0000-0000A0000000}"/>
    <cellStyle name="Millares 2 2 4" xfId="162" xr:uid="{00000000-0005-0000-0000-0000A1000000}"/>
    <cellStyle name="Millares 2 2 5" xfId="163" xr:uid="{00000000-0005-0000-0000-0000A2000000}"/>
    <cellStyle name="Millares 2 2 6" xfId="164" xr:uid="{00000000-0005-0000-0000-0000A3000000}"/>
    <cellStyle name="Millares 2 2 7" xfId="165" xr:uid="{00000000-0005-0000-0000-0000A4000000}"/>
    <cellStyle name="Millares 2 3" xfId="166" xr:uid="{00000000-0005-0000-0000-0000A5000000}"/>
    <cellStyle name="Millares 2 3 2" xfId="167" xr:uid="{00000000-0005-0000-0000-0000A6000000}"/>
    <cellStyle name="Millares 2 3 3" xfId="168" xr:uid="{00000000-0005-0000-0000-0000A7000000}"/>
    <cellStyle name="Millares 2 4" xfId="169" xr:uid="{00000000-0005-0000-0000-0000A8000000}"/>
    <cellStyle name="Millares 2 4 2" xfId="170" xr:uid="{00000000-0005-0000-0000-0000A9000000}"/>
    <cellStyle name="Millares 2 5" xfId="171" xr:uid="{00000000-0005-0000-0000-0000AA000000}"/>
    <cellStyle name="Millares 2 6" xfId="172" xr:uid="{00000000-0005-0000-0000-0000AB000000}"/>
    <cellStyle name="Millares 2 7" xfId="173" xr:uid="{00000000-0005-0000-0000-0000AC000000}"/>
    <cellStyle name="Millares 20" xfId="174" xr:uid="{00000000-0005-0000-0000-0000AD000000}"/>
    <cellStyle name="Millares 21" xfId="175" xr:uid="{00000000-0005-0000-0000-0000AE000000}"/>
    <cellStyle name="Millares 212" xfId="176" xr:uid="{00000000-0005-0000-0000-0000AF000000}"/>
    <cellStyle name="Millares 212 2" xfId="177" xr:uid="{00000000-0005-0000-0000-0000B0000000}"/>
    <cellStyle name="Millares 22" xfId="178" xr:uid="{00000000-0005-0000-0000-0000B1000000}"/>
    <cellStyle name="Millares 23" xfId="179" xr:uid="{00000000-0005-0000-0000-0000B2000000}"/>
    <cellStyle name="Millares 24" xfId="401" xr:uid="{056A9CFD-2213-45E4-AA09-C4BA9DF3A458}"/>
    <cellStyle name="Millares 3" xfId="180" xr:uid="{00000000-0005-0000-0000-0000B3000000}"/>
    <cellStyle name="Millares 3 11" xfId="181" xr:uid="{00000000-0005-0000-0000-0000B4000000}"/>
    <cellStyle name="Millares 3 11 2" xfId="182" xr:uid="{00000000-0005-0000-0000-0000B5000000}"/>
    <cellStyle name="Millares 3 11 2 2" xfId="183" xr:uid="{00000000-0005-0000-0000-0000B6000000}"/>
    <cellStyle name="Millares 3 2" xfId="184" xr:uid="{00000000-0005-0000-0000-0000B7000000}"/>
    <cellStyle name="Millares 3 2 2" xfId="185" xr:uid="{00000000-0005-0000-0000-0000B8000000}"/>
    <cellStyle name="Millares 3 3" xfId="186" xr:uid="{00000000-0005-0000-0000-0000B9000000}"/>
    <cellStyle name="Millares 3 4" xfId="187" xr:uid="{00000000-0005-0000-0000-0000BA000000}"/>
    <cellStyle name="Millares 3 5" xfId="188" xr:uid="{00000000-0005-0000-0000-0000BB000000}"/>
    <cellStyle name="Millares 3 6" xfId="189" xr:uid="{00000000-0005-0000-0000-0000BC000000}"/>
    <cellStyle name="Millares 4" xfId="190" xr:uid="{00000000-0005-0000-0000-0000BD000000}"/>
    <cellStyle name="Millares 4 2" xfId="191" xr:uid="{00000000-0005-0000-0000-0000BE000000}"/>
    <cellStyle name="Millares 4 2 2" xfId="192" xr:uid="{00000000-0005-0000-0000-0000BF000000}"/>
    <cellStyle name="Millares 4 2 3" xfId="193" xr:uid="{00000000-0005-0000-0000-0000C0000000}"/>
    <cellStyle name="Millares 4 3" xfId="194" xr:uid="{00000000-0005-0000-0000-0000C1000000}"/>
    <cellStyle name="Millares 4 3 2" xfId="195" xr:uid="{00000000-0005-0000-0000-0000C2000000}"/>
    <cellStyle name="Millares 4 4" xfId="196" xr:uid="{00000000-0005-0000-0000-0000C3000000}"/>
    <cellStyle name="Millares 5" xfId="197" xr:uid="{00000000-0005-0000-0000-0000C4000000}"/>
    <cellStyle name="Millares 5 2" xfId="198" xr:uid="{00000000-0005-0000-0000-0000C5000000}"/>
    <cellStyle name="Millares 5 3" xfId="199" xr:uid="{00000000-0005-0000-0000-0000C6000000}"/>
    <cellStyle name="Millares 6" xfId="200" xr:uid="{00000000-0005-0000-0000-0000C7000000}"/>
    <cellStyle name="Millares 6 2" xfId="201" xr:uid="{00000000-0005-0000-0000-0000C8000000}"/>
    <cellStyle name="Millares 654 2 2" xfId="202" xr:uid="{00000000-0005-0000-0000-0000C9000000}"/>
    <cellStyle name="Millares 656" xfId="203" xr:uid="{00000000-0005-0000-0000-0000CA000000}"/>
    <cellStyle name="Millares 656 2" xfId="204" xr:uid="{00000000-0005-0000-0000-0000CB000000}"/>
    <cellStyle name="Millares 656 2 2" xfId="205" xr:uid="{00000000-0005-0000-0000-0000CC000000}"/>
    <cellStyle name="Millares 657" xfId="206" xr:uid="{00000000-0005-0000-0000-0000CD000000}"/>
    <cellStyle name="Millares 657 2" xfId="207" xr:uid="{00000000-0005-0000-0000-0000CE000000}"/>
    <cellStyle name="Millares 657 2 2" xfId="208" xr:uid="{00000000-0005-0000-0000-0000CF000000}"/>
    <cellStyle name="Millares 7" xfId="209" xr:uid="{00000000-0005-0000-0000-0000D0000000}"/>
    <cellStyle name="Millares 7 2" xfId="210" xr:uid="{00000000-0005-0000-0000-0000D1000000}"/>
    <cellStyle name="Millares 7 3" xfId="211" xr:uid="{00000000-0005-0000-0000-0000D2000000}"/>
    <cellStyle name="Millares 8" xfId="212" xr:uid="{00000000-0005-0000-0000-0000D3000000}"/>
    <cellStyle name="Millares 8 2" xfId="213" xr:uid="{00000000-0005-0000-0000-0000D4000000}"/>
    <cellStyle name="Millares 9" xfId="214" xr:uid="{00000000-0005-0000-0000-0000D5000000}"/>
    <cellStyle name="Millares 9 2" xfId="215" xr:uid="{00000000-0005-0000-0000-0000D6000000}"/>
    <cellStyle name="Millares 9 3" xfId="216" xr:uid="{00000000-0005-0000-0000-0000D7000000}"/>
    <cellStyle name="Moneda" xfId="217" builtinId="4"/>
    <cellStyle name="Neutral 2" xfId="218" xr:uid="{00000000-0005-0000-0000-0000D9000000}"/>
    <cellStyle name="Neutral 3" xfId="219" xr:uid="{00000000-0005-0000-0000-0000DA000000}"/>
    <cellStyle name="Neutral 4" xfId="220" xr:uid="{00000000-0005-0000-0000-0000DB000000}"/>
    <cellStyle name="No-definido" xfId="221" xr:uid="{00000000-0005-0000-0000-0000DC000000}"/>
    <cellStyle name="Normal" xfId="0" builtinId="0"/>
    <cellStyle name="Normal 10" xfId="222" xr:uid="{00000000-0005-0000-0000-0000DE000000}"/>
    <cellStyle name="Normal 10 10 2 2 2" xfId="223" xr:uid="{00000000-0005-0000-0000-0000DF000000}"/>
    <cellStyle name="Normal 1016" xfId="224" xr:uid="{00000000-0005-0000-0000-0000E0000000}"/>
    <cellStyle name="Normal 1018" xfId="225" xr:uid="{00000000-0005-0000-0000-0000E1000000}"/>
    <cellStyle name="Normal 1022" xfId="226" xr:uid="{00000000-0005-0000-0000-0000E2000000}"/>
    <cellStyle name="Normal 1024" xfId="227" xr:uid="{00000000-0005-0000-0000-0000E3000000}"/>
    <cellStyle name="Normal 1025" xfId="228" xr:uid="{00000000-0005-0000-0000-0000E4000000}"/>
    <cellStyle name="Normal 1026" xfId="229" xr:uid="{00000000-0005-0000-0000-0000E5000000}"/>
    <cellStyle name="Normal 1027" xfId="230" xr:uid="{00000000-0005-0000-0000-0000E6000000}"/>
    <cellStyle name="Normal 105" xfId="231" xr:uid="{00000000-0005-0000-0000-0000E7000000}"/>
    <cellStyle name="Normal 107" xfId="232" xr:uid="{00000000-0005-0000-0000-0000E8000000}"/>
    <cellStyle name="Normal 109" xfId="233" xr:uid="{00000000-0005-0000-0000-0000E9000000}"/>
    <cellStyle name="Normal 11" xfId="234" xr:uid="{00000000-0005-0000-0000-0000EA000000}"/>
    <cellStyle name="Normal 11 2" xfId="235" xr:uid="{00000000-0005-0000-0000-0000EB000000}"/>
    <cellStyle name="Normal 11 2 2" xfId="236" xr:uid="{00000000-0005-0000-0000-0000EC000000}"/>
    <cellStyle name="Normal 11 3" xfId="237" xr:uid="{00000000-0005-0000-0000-0000ED000000}"/>
    <cellStyle name="Normal 12" xfId="238" xr:uid="{00000000-0005-0000-0000-0000EE000000}"/>
    <cellStyle name="Normal 12 10" xfId="239" xr:uid="{00000000-0005-0000-0000-0000EF000000}"/>
    <cellStyle name="Normal 12 2 10" xfId="240" xr:uid="{00000000-0005-0000-0000-0000F0000000}"/>
    <cellStyle name="Normal 12 2 2 4" xfId="241" xr:uid="{00000000-0005-0000-0000-0000F1000000}"/>
    <cellStyle name="Normal 125" xfId="242" xr:uid="{00000000-0005-0000-0000-0000F2000000}"/>
    <cellStyle name="Normal 126" xfId="243" xr:uid="{00000000-0005-0000-0000-0000F3000000}"/>
    <cellStyle name="Normal 15 2" xfId="244" xr:uid="{00000000-0005-0000-0000-0000F4000000}"/>
    <cellStyle name="Normal 17 2" xfId="245" xr:uid="{00000000-0005-0000-0000-0000F5000000}"/>
    <cellStyle name="Normal 199 2 2" xfId="246" xr:uid="{00000000-0005-0000-0000-0000F6000000}"/>
    <cellStyle name="Normal 2" xfId="247" xr:uid="{00000000-0005-0000-0000-0000F7000000}"/>
    <cellStyle name="Normal 2 10" xfId="248" xr:uid="{00000000-0005-0000-0000-0000F8000000}"/>
    <cellStyle name="Normal 2 10 2 2 2" xfId="249" xr:uid="{00000000-0005-0000-0000-0000F9000000}"/>
    <cellStyle name="Normal 2 11" xfId="250" xr:uid="{00000000-0005-0000-0000-0000FA000000}"/>
    <cellStyle name="Normal 2 12" xfId="251" xr:uid="{00000000-0005-0000-0000-0000FB000000}"/>
    <cellStyle name="Normal 2 13" xfId="252" xr:uid="{00000000-0005-0000-0000-0000FC000000}"/>
    <cellStyle name="Normal 2 14" xfId="253" xr:uid="{00000000-0005-0000-0000-0000FD000000}"/>
    <cellStyle name="Normal 2 15" xfId="254" xr:uid="{00000000-0005-0000-0000-0000FE000000}"/>
    <cellStyle name="Normal 2 16" xfId="255" xr:uid="{00000000-0005-0000-0000-0000FF000000}"/>
    <cellStyle name="Normal 2 17" xfId="256" xr:uid="{00000000-0005-0000-0000-000000010000}"/>
    <cellStyle name="Normal 2 18" xfId="257" xr:uid="{00000000-0005-0000-0000-000001010000}"/>
    <cellStyle name="Normal 2 19" xfId="258" xr:uid="{00000000-0005-0000-0000-000002010000}"/>
    <cellStyle name="Normal 2 2" xfId="259" xr:uid="{00000000-0005-0000-0000-000003010000}"/>
    <cellStyle name="Normal 2 2 2" xfId="260" xr:uid="{00000000-0005-0000-0000-000004010000}"/>
    <cellStyle name="Normal 2 2 2 3" xfId="261" xr:uid="{00000000-0005-0000-0000-000005010000}"/>
    <cellStyle name="Normal 2 2 3" xfId="262" xr:uid="{00000000-0005-0000-0000-000006010000}"/>
    <cellStyle name="Normal 2 20" xfId="263" xr:uid="{00000000-0005-0000-0000-000007010000}"/>
    <cellStyle name="Normal 2 21" xfId="264" xr:uid="{00000000-0005-0000-0000-000008010000}"/>
    <cellStyle name="Normal 2 22" xfId="265" xr:uid="{00000000-0005-0000-0000-000009010000}"/>
    <cellStyle name="Normal 2 23" xfId="266" xr:uid="{00000000-0005-0000-0000-00000A010000}"/>
    <cellStyle name="Normal 2 24" xfId="267" xr:uid="{00000000-0005-0000-0000-00000B010000}"/>
    <cellStyle name="Normal 2 25" xfId="268" xr:uid="{00000000-0005-0000-0000-00000C010000}"/>
    <cellStyle name="Normal 2 26" xfId="269" xr:uid="{00000000-0005-0000-0000-00000D010000}"/>
    <cellStyle name="Normal 2 27" xfId="270" xr:uid="{00000000-0005-0000-0000-00000E010000}"/>
    <cellStyle name="Normal 2 3" xfId="271" xr:uid="{00000000-0005-0000-0000-00000F010000}"/>
    <cellStyle name="Normal 2 3 2" xfId="272" xr:uid="{00000000-0005-0000-0000-000010010000}"/>
    <cellStyle name="Normal 2 3 3" xfId="273" xr:uid="{00000000-0005-0000-0000-000011010000}"/>
    <cellStyle name="Normal 2 3 4" xfId="403" xr:uid="{0FC2FBA5-A5C7-4B4A-A42E-0F2B873D4828}"/>
    <cellStyle name="Normal 2 4" xfId="274" xr:uid="{00000000-0005-0000-0000-000012010000}"/>
    <cellStyle name="Normal 2 4 2" xfId="275" xr:uid="{00000000-0005-0000-0000-000013010000}"/>
    <cellStyle name="Normal 2 4 3" xfId="276" xr:uid="{00000000-0005-0000-0000-000014010000}"/>
    <cellStyle name="Normal 2 5" xfId="277" xr:uid="{00000000-0005-0000-0000-000015010000}"/>
    <cellStyle name="Normal 2 5 2" xfId="278" xr:uid="{00000000-0005-0000-0000-000016010000}"/>
    <cellStyle name="Normal 2 6" xfId="279" xr:uid="{00000000-0005-0000-0000-000017010000}"/>
    <cellStyle name="Normal 2 6 2" xfId="280" xr:uid="{00000000-0005-0000-0000-000018010000}"/>
    <cellStyle name="Normal 2 7" xfId="281" xr:uid="{00000000-0005-0000-0000-000019010000}"/>
    <cellStyle name="Normal 2 8" xfId="282" xr:uid="{00000000-0005-0000-0000-00001A010000}"/>
    <cellStyle name="Normal 2 9" xfId="283" xr:uid="{00000000-0005-0000-0000-00001B010000}"/>
    <cellStyle name="Normal 3" xfId="284" xr:uid="{00000000-0005-0000-0000-00001C010000}"/>
    <cellStyle name="Normal 3 2" xfId="285" xr:uid="{00000000-0005-0000-0000-00001D010000}"/>
    <cellStyle name="Normal 3 2 2" xfId="286" xr:uid="{00000000-0005-0000-0000-00001E010000}"/>
    <cellStyle name="Normal 3 2 3" xfId="287" xr:uid="{00000000-0005-0000-0000-00001F010000}"/>
    <cellStyle name="Normal 3 3" xfId="288" xr:uid="{00000000-0005-0000-0000-000020010000}"/>
    <cellStyle name="Normal 3 4" xfId="289" xr:uid="{00000000-0005-0000-0000-000021010000}"/>
    <cellStyle name="Normal 3 5" xfId="290" xr:uid="{00000000-0005-0000-0000-000022010000}"/>
    <cellStyle name="Normal 3 6" xfId="291" xr:uid="{00000000-0005-0000-0000-000023010000}"/>
    <cellStyle name="Normal 3 7" xfId="292" xr:uid="{00000000-0005-0000-0000-000024010000}"/>
    <cellStyle name="Normal 34 2 2" xfId="293" xr:uid="{00000000-0005-0000-0000-000025010000}"/>
    <cellStyle name="Normal 4" xfId="294" xr:uid="{00000000-0005-0000-0000-000026010000}"/>
    <cellStyle name="Normal 4 2" xfId="295" xr:uid="{00000000-0005-0000-0000-000027010000}"/>
    <cellStyle name="Normal 4 2 2" xfId="296" xr:uid="{00000000-0005-0000-0000-000028010000}"/>
    <cellStyle name="Normal 4 3" xfId="297" xr:uid="{00000000-0005-0000-0000-000029010000}"/>
    <cellStyle name="Normal 4 4" xfId="298" xr:uid="{00000000-0005-0000-0000-00002A010000}"/>
    <cellStyle name="Normal 4 5" xfId="299" xr:uid="{00000000-0005-0000-0000-00002B010000}"/>
    <cellStyle name="Normal 5" xfId="300" xr:uid="{00000000-0005-0000-0000-00002C010000}"/>
    <cellStyle name="Normal 5 2" xfId="301" xr:uid="{00000000-0005-0000-0000-00002D010000}"/>
    <cellStyle name="Normal 5 3" xfId="302" xr:uid="{00000000-0005-0000-0000-00002E010000}"/>
    <cellStyle name="Normal 5 4" xfId="303" xr:uid="{00000000-0005-0000-0000-00002F010000}"/>
    <cellStyle name="Normal 6" xfId="304" xr:uid="{00000000-0005-0000-0000-000030010000}"/>
    <cellStyle name="Normal 6 2" xfId="305" xr:uid="{00000000-0005-0000-0000-000031010000}"/>
    <cellStyle name="Normal 6 3" xfId="306" xr:uid="{00000000-0005-0000-0000-000032010000}"/>
    <cellStyle name="Normal 601" xfId="307" xr:uid="{00000000-0005-0000-0000-000033010000}"/>
    <cellStyle name="Normal 605" xfId="308" xr:uid="{00000000-0005-0000-0000-000034010000}"/>
    <cellStyle name="Normal 606" xfId="309" xr:uid="{00000000-0005-0000-0000-000035010000}"/>
    <cellStyle name="Normal 636" xfId="310" xr:uid="{00000000-0005-0000-0000-000036010000}"/>
    <cellStyle name="Normal 640" xfId="311" xr:uid="{00000000-0005-0000-0000-000037010000}"/>
    <cellStyle name="Normal 643" xfId="312" xr:uid="{00000000-0005-0000-0000-000038010000}"/>
    <cellStyle name="Normal 646" xfId="313" xr:uid="{00000000-0005-0000-0000-000039010000}"/>
    <cellStyle name="Normal 647" xfId="314" xr:uid="{00000000-0005-0000-0000-00003A010000}"/>
    <cellStyle name="Normal 649" xfId="315" xr:uid="{00000000-0005-0000-0000-00003B010000}"/>
    <cellStyle name="Normal 650" xfId="316" xr:uid="{00000000-0005-0000-0000-00003C010000}"/>
    <cellStyle name="Normal 651" xfId="317" xr:uid="{00000000-0005-0000-0000-00003D010000}"/>
    <cellStyle name="Normal 652" xfId="318" xr:uid="{00000000-0005-0000-0000-00003E010000}"/>
    <cellStyle name="Normal 653" xfId="319" xr:uid="{00000000-0005-0000-0000-00003F010000}"/>
    <cellStyle name="Normal 654" xfId="320" xr:uid="{00000000-0005-0000-0000-000040010000}"/>
    <cellStyle name="Normal 655" xfId="321" xr:uid="{00000000-0005-0000-0000-000041010000}"/>
    <cellStyle name="Normal 656" xfId="322" xr:uid="{00000000-0005-0000-0000-000042010000}"/>
    <cellStyle name="Normal 657" xfId="323" xr:uid="{00000000-0005-0000-0000-000043010000}"/>
    <cellStyle name="Normal 658" xfId="324" xr:uid="{00000000-0005-0000-0000-000044010000}"/>
    <cellStyle name="Normal 659" xfId="325" xr:uid="{00000000-0005-0000-0000-000045010000}"/>
    <cellStyle name="Normal 660" xfId="326" xr:uid="{00000000-0005-0000-0000-000046010000}"/>
    <cellStyle name="Normal 662" xfId="327" xr:uid="{00000000-0005-0000-0000-000047010000}"/>
    <cellStyle name="Normal 663" xfId="328" xr:uid="{00000000-0005-0000-0000-000048010000}"/>
    <cellStyle name="Normal 664" xfId="329" xr:uid="{00000000-0005-0000-0000-000049010000}"/>
    <cellStyle name="Normal 665" xfId="330" xr:uid="{00000000-0005-0000-0000-00004A010000}"/>
    <cellStyle name="Normal 667" xfId="331" xr:uid="{00000000-0005-0000-0000-00004B010000}"/>
    <cellStyle name="Normal 673" xfId="332" xr:uid="{00000000-0005-0000-0000-00004C010000}"/>
    <cellStyle name="Normal 674" xfId="333" xr:uid="{00000000-0005-0000-0000-00004D010000}"/>
    <cellStyle name="Normal 675" xfId="334" xr:uid="{00000000-0005-0000-0000-00004E010000}"/>
    <cellStyle name="Normal 676" xfId="335" xr:uid="{00000000-0005-0000-0000-00004F010000}"/>
    <cellStyle name="Normal 677" xfId="336" xr:uid="{00000000-0005-0000-0000-000050010000}"/>
    <cellStyle name="Normal 678" xfId="337" xr:uid="{00000000-0005-0000-0000-000051010000}"/>
    <cellStyle name="Normal 679" xfId="338" xr:uid="{00000000-0005-0000-0000-000052010000}"/>
    <cellStyle name="Normal 684" xfId="339" xr:uid="{00000000-0005-0000-0000-000053010000}"/>
    <cellStyle name="Normal 7" xfId="340" xr:uid="{00000000-0005-0000-0000-000054010000}"/>
    <cellStyle name="Normal 713" xfId="341" xr:uid="{00000000-0005-0000-0000-000055010000}"/>
    <cellStyle name="Normal 714" xfId="342" xr:uid="{00000000-0005-0000-0000-000056010000}"/>
    <cellStyle name="Normal 715" xfId="343" xr:uid="{00000000-0005-0000-0000-000057010000}"/>
    <cellStyle name="Normal 744" xfId="344" xr:uid="{00000000-0005-0000-0000-000058010000}"/>
    <cellStyle name="Normal 8" xfId="345" xr:uid="{00000000-0005-0000-0000-000059010000}"/>
    <cellStyle name="Normal 802" xfId="346" xr:uid="{00000000-0005-0000-0000-00005A010000}"/>
    <cellStyle name="Normal 9" xfId="347" xr:uid="{00000000-0005-0000-0000-00005B010000}"/>
    <cellStyle name="Normal 944" xfId="348" xr:uid="{00000000-0005-0000-0000-00005C010000}"/>
    <cellStyle name="Normal 947" xfId="349" xr:uid="{00000000-0005-0000-0000-00005D010000}"/>
    <cellStyle name="Normal 952" xfId="350" xr:uid="{00000000-0005-0000-0000-00005E010000}"/>
    <cellStyle name="Normal 957" xfId="351" xr:uid="{00000000-0005-0000-0000-00005F010000}"/>
    <cellStyle name="Normal 958" xfId="352" xr:uid="{00000000-0005-0000-0000-000060010000}"/>
    <cellStyle name="Normal 959" xfId="353" xr:uid="{00000000-0005-0000-0000-000061010000}"/>
    <cellStyle name="Normal 960" xfId="354" xr:uid="{00000000-0005-0000-0000-000062010000}"/>
    <cellStyle name="Normal 961" xfId="355" xr:uid="{00000000-0005-0000-0000-000063010000}"/>
    <cellStyle name="Normal 962" xfId="356" xr:uid="{00000000-0005-0000-0000-000064010000}"/>
    <cellStyle name="Normal 963" xfId="357" xr:uid="{00000000-0005-0000-0000-000065010000}"/>
    <cellStyle name="Normal 964" xfId="358" xr:uid="{00000000-0005-0000-0000-000066010000}"/>
    <cellStyle name="Normal 965" xfId="359" xr:uid="{00000000-0005-0000-0000-000067010000}"/>
    <cellStyle name="Normal 966" xfId="360" xr:uid="{00000000-0005-0000-0000-000068010000}"/>
    <cellStyle name="Normal 967" xfId="361" xr:uid="{00000000-0005-0000-0000-000069010000}"/>
    <cellStyle name="Normal 971" xfId="362" xr:uid="{00000000-0005-0000-0000-00006A010000}"/>
    <cellStyle name="Normal 986" xfId="363" xr:uid="{00000000-0005-0000-0000-00006B010000}"/>
    <cellStyle name="Notas 2" xfId="364" xr:uid="{00000000-0005-0000-0000-00006C010000}"/>
    <cellStyle name="Notas 2 2" xfId="365" xr:uid="{00000000-0005-0000-0000-00006D010000}"/>
    <cellStyle name="Notas 3" xfId="366" xr:uid="{00000000-0005-0000-0000-00006E010000}"/>
    <cellStyle name="Notas 4" xfId="367" xr:uid="{00000000-0005-0000-0000-00006F010000}"/>
    <cellStyle name="Note" xfId="368" xr:uid="{00000000-0005-0000-0000-000070010000}"/>
    <cellStyle name="Output" xfId="369" xr:uid="{00000000-0005-0000-0000-000071010000}"/>
    <cellStyle name="Percent (0)" xfId="370" xr:uid="{00000000-0005-0000-0000-000072010000}"/>
    <cellStyle name="Percent 2" xfId="371" xr:uid="{00000000-0005-0000-0000-000073010000}"/>
    <cellStyle name="Percent 2 2" xfId="372" xr:uid="{00000000-0005-0000-0000-000074010000}"/>
    <cellStyle name="Percent 3" xfId="373" xr:uid="{00000000-0005-0000-0000-000075010000}"/>
    <cellStyle name="Percent 4" xfId="374" xr:uid="{00000000-0005-0000-0000-000076010000}"/>
    <cellStyle name="Porcentaje 2" xfId="375" xr:uid="{00000000-0005-0000-0000-000077010000}"/>
    <cellStyle name="Porcentaje 2 2" xfId="376" xr:uid="{00000000-0005-0000-0000-000078010000}"/>
    <cellStyle name="Porcentaje 2 3" xfId="377" xr:uid="{00000000-0005-0000-0000-000079010000}"/>
    <cellStyle name="Porcentaje 3" xfId="378" xr:uid="{00000000-0005-0000-0000-00007A010000}"/>
    <cellStyle name="Porcentaje 3 2" xfId="379" xr:uid="{00000000-0005-0000-0000-00007B010000}"/>
    <cellStyle name="Porcentaje 3 3" xfId="380" xr:uid="{00000000-0005-0000-0000-00007C010000}"/>
    <cellStyle name="Porcentaje 4" xfId="381" xr:uid="{00000000-0005-0000-0000-00007D010000}"/>
    <cellStyle name="Porcentual 2" xfId="382" xr:uid="{00000000-0005-0000-0000-00007E010000}"/>
    <cellStyle name="Porcentual 2 2" xfId="383" xr:uid="{00000000-0005-0000-0000-00007F010000}"/>
    <cellStyle name="Porcentual 2 3" xfId="384" xr:uid="{00000000-0005-0000-0000-000080010000}"/>
    <cellStyle name="Porcentual 2 4" xfId="385" xr:uid="{00000000-0005-0000-0000-000081010000}"/>
    <cellStyle name="Porcentual 3" xfId="386" xr:uid="{00000000-0005-0000-0000-000082010000}"/>
    <cellStyle name="Porcentual 3 2" xfId="387" xr:uid="{00000000-0005-0000-0000-000083010000}"/>
    <cellStyle name="Salida 2" xfId="388" xr:uid="{00000000-0005-0000-0000-000084010000}"/>
    <cellStyle name="Texto de advertencia 2" xfId="389" xr:uid="{00000000-0005-0000-0000-000085010000}"/>
    <cellStyle name="Texto explicativo 2" xfId="390" xr:uid="{00000000-0005-0000-0000-000086010000}"/>
    <cellStyle name="Texto explicativo 3" xfId="391" xr:uid="{00000000-0005-0000-0000-000087010000}"/>
    <cellStyle name="Tickmark" xfId="392" xr:uid="{00000000-0005-0000-0000-000088010000}"/>
    <cellStyle name="Title" xfId="393" xr:uid="{00000000-0005-0000-0000-000089010000}"/>
    <cellStyle name="Título 2 2" xfId="394" xr:uid="{00000000-0005-0000-0000-00008A010000}"/>
    <cellStyle name="Título 3 2" xfId="395" xr:uid="{00000000-0005-0000-0000-00008B010000}"/>
    <cellStyle name="Título 4" xfId="396" xr:uid="{00000000-0005-0000-0000-00008C010000}"/>
    <cellStyle name="Total 2" xfId="397" xr:uid="{00000000-0005-0000-0000-00008D010000}"/>
    <cellStyle name="Total 3" xfId="398" xr:uid="{00000000-0005-0000-0000-00008E010000}"/>
    <cellStyle name="Total 4" xfId="399" xr:uid="{00000000-0005-0000-0000-00008F010000}"/>
    <cellStyle name="Warning Text" xfId="400" xr:uid="{00000000-0005-0000-0000-00009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9.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0.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53340</xdr:rowOff>
    </xdr:from>
    <xdr:to>
      <xdr:col>2</xdr:col>
      <xdr:colOff>53340</xdr:colOff>
      <xdr:row>4</xdr:row>
      <xdr:rowOff>65828</xdr:rowOff>
    </xdr:to>
    <xdr:pic>
      <xdr:nvPicPr>
        <xdr:cNvPr id="1036" name="Imagen 3">
          <a:extLst>
            <a:ext uri="{FF2B5EF4-FFF2-40B4-BE49-F238E27FC236}">
              <a16:creationId xmlns:a16="http://schemas.microsoft.com/office/drawing/2014/main" id="{F29337E2-08E6-6A20-2326-46D855687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160020" y="53340"/>
          <a:ext cx="172212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1</xdr:col>
      <xdr:colOff>1562100</xdr:colOff>
      <xdr:row>3</xdr:row>
      <xdr:rowOff>45508</xdr:rowOff>
    </xdr:to>
    <xdr:pic>
      <xdr:nvPicPr>
        <xdr:cNvPr id="3" name="Imagen 4">
          <a:extLst>
            <a:ext uri="{FF2B5EF4-FFF2-40B4-BE49-F238E27FC236}">
              <a16:creationId xmlns:a16="http://schemas.microsoft.com/office/drawing/2014/main" id="{85D36BDE-2330-4EB1-90B9-C22D2EC442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388620" y="0"/>
          <a:ext cx="1485900" cy="594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190500</xdr:colOff>
      <xdr:row>0</xdr:row>
      <xdr:rowOff>22860</xdr:rowOff>
    </xdr:from>
    <xdr:to>
      <xdr:col>1</xdr:col>
      <xdr:colOff>1242060</xdr:colOff>
      <xdr:row>2</xdr:row>
      <xdr:rowOff>93741</xdr:rowOff>
    </xdr:to>
    <xdr:pic>
      <xdr:nvPicPr>
        <xdr:cNvPr id="34828" name="Imagen 3">
          <a:extLst>
            <a:ext uri="{FF2B5EF4-FFF2-40B4-BE49-F238E27FC236}">
              <a16:creationId xmlns:a16="http://schemas.microsoft.com/office/drawing/2014/main" id="{4097C60B-DBA0-3F12-9DE0-E4711B0365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90500" y="22860"/>
          <a:ext cx="141732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68580</xdr:colOff>
      <xdr:row>0</xdr:row>
      <xdr:rowOff>114300</xdr:rowOff>
    </xdr:from>
    <xdr:to>
      <xdr:col>2</xdr:col>
      <xdr:colOff>130517</xdr:colOff>
      <xdr:row>4</xdr:row>
      <xdr:rowOff>45720</xdr:rowOff>
    </xdr:to>
    <xdr:pic>
      <xdr:nvPicPr>
        <xdr:cNvPr id="35852" name="Imagen 3">
          <a:extLst>
            <a:ext uri="{FF2B5EF4-FFF2-40B4-BE49-F238E27FC236}">
              <a16:creationId xmlns:a16="http://schemas.microsoft.com/office/drawing/2014/main" id="{82EC3179-A731-034E-AD47-81A121894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236220" y="114300"/>
          <a:ext cx="167640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281940</xdr:colOff>
      <xdr:row>0</xdr:row>
      <xdr:rowOff>53340</xdr:rowOff>
    </xdr:from>
    <xdr:to>
      <xdr:col>1</xdr:col>
      <xdr:colOff>1104900</xdr:colOff>
      <xdr:row>1</xdr:row>
      <xdr:rowOff>114300</xdr:rowOff>
    </xdr:to>
    <xdr:pic>
      <xdr:nvPicPr>
        <xdr:cNvPr id="36876" name="Imagen 3">
          <a:extLst>
            <a:ext uri="{FF2B5EF4-FFF2-40B4-BE49-F238E27FC236}">
              <a16:creationId xmlns:a16="http://schemas.microsoft.com/office/drawing/2014/main" id="{1645A6F2-CA8A-8144-56F3-4A6371FBAD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281940" y="53340"/>
          <a:ext cx="125730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342900</xdr:colOff>
      <xdr:row>0</xdr:row>
      <xdr:rowOff>114300</xdr:rowOff>
    </xdr:from>
    <xdr:to>
      <xdr:col>1</xdr:col>
      <xdr:colOff>1303020</xdr:colOff>
      <xdr:row>3</xdr:row>
      <xdr:rowOff>0</xdr:rowOff>
    </xdr:to>
    <xdr:pic>
      <xdr:nvPicPr>
        <xdr:cNvPr id="37900" name="Imagen 3">
          <a:extLst>
            <a:ext uri="{FF2B5EF4-FFF2-40B4-BE49-F238E27FC236}">
              <a16:creationId xmlns:a16="http://schemas.microsoft.com/office/drawing/2014/main" id="{0F91CDD4-DF7D-4C00-C9FF-DD69D9BA4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342900" y="114300"/>
          <a:ext cx="14325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213360</xdr:colOff>
      <xdr:row>0</xdr:row>
      <xdr:rowOff>83820</xdr:rowOff>
    </xdr:from>
    <xdr:to>
      <xdr:col>1</xdr:col>
      <xdr:colOff>922020</xdr:colOff>
      <xdr:row>1</xdr:row>
      <xdr:rowOff>152400</xdr:rowOff>
    </xdr:to>
    <xdr:pic>
      <xdr:nvPicPr>
        <xdr:cNvPr id="38924" name="Imagen 3">
          <a:extLst>
            <a:ext uri="{FF2B5EF4-FFF2-40B4-BE49-F238E27FC236}">
              <a16:creationId xmlns:a16="http://schemas.microsoft.com/office/drawing/2014/main" id="{B487D649-46BD-B860-80E9-9D2BC60A2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213360" y="83820"/>
          <a:ext cx="128016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220980</xdr:colOff>
      <xdr:row>0</xdr:row>
      <xdr:rowOff>83820</xdr:rowOff>
    </xdr:from>
    <xdr:to>
      <xdr:col>1</xdr:col>
      <xdr:colOff>1021080</xdr:colOff>
      <xdr:row>2</xdr:row>
      <xdr:rowOff>111760</xdr:rowOff>
    </xdr:to>
    <xdr:pic>
      <xdr:nvPicPr>
        <xdr:cNvPr id="39948" name="Imagen 3">
          <a:extLst>
            <a:ext uri="{FF2B5EF4-FFF2-40B4-BE49-F238E27FC236}">
              <a16:creationId xmlns:a16="http://schemas.microsoft.com/office/drawing/2014/main" id="{8D462282-41B7-7C74-7641-2FCC950B0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220980" y="83820"/>
          <a:ext cx="112014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152400</xdr:colOff>
      <xdr:row>0</xdr:row>
      <xdr:rowOff>22860</xdr:rowOff>
    </xdr:from>
    <xdr:to>
      <xdr:col>1</xdr:col>
      <xdr:colOff>1089660</xdr:colOff>
      <xdr:row>1</xdr:row>
      <xdr:rowOff>137160</xdr:rowOff>
    </xdr:to>
    <xdr:pic>
      <xdr:nvPicPr>
        <xdr:cNvPr id="40972" name="Imagen 3">
          <a:extLst>
            <a:ext uri="{FF2B5EF4-FFF2-40B4-BE49-F238E27FC236}">
              <a16:creationId xmlns:a16="http://schemas.microsoft.com/office/drawing/2014/main" id="{8C08E7AF-D09F-20B4-A136-5EB1BCE18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52400" y="22860"/>
          <a:ext cx="125730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1150620</xdr:colOff>
      <xdr:row>1</xdr:row>
      <xdr:rowOff>38100</xdr:rowOff>
    </xdr:to>
    <xdr:pic>
      <xdr:nvPicPr>
        <xdr:cNvPr id="41996" name="Imagen 3">
          <a:extLst>
            <a:ext uri="{FF2B5EF4-FFF2-40B4-BE49-F238E27FC236}">
              <a16:creationId xmlns:a16="http://schemas.microsoft.com/office/drawing/2014/main" id="{536D6497-50E6-F1FF-131D-49E95B701D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76200" y="0"/>
          <a:ext cx="139446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205740</xdr:colOff>
      <xdr:row>0</xdr:row>
      <xdr:rowOff>129540</xdr:rowOff>
    </xdr:from>
    <xdr:ext cx="1666516" cy="672321"/>
    <xdr:pic>
      <xdr:nvPicPr>
        <xdr:cNvPr id="2" name="Imagen 3">
          <a:extLst>
            <a:ext uri="{FF2B5EF4-FFF2-40B4-BE49-F238E27FC236}">
              <a16:creationId xmlns:a16="http://schemas.microsoft.com/office/drawing/2014/main" id="{71D5C455-0FDC-4C95-9B3C-41F83A659F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209550" y="133350"/>
          <a:ext cx="1666516" cy="67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24848</xdr:colOff>
      <xdr:row>0</xdr:row>
      <xdr:rowOff>132521</xdr:rowOff>
    </xdr:from>
    <xdr:to>
      <xdr:col>2</xdr:col>
      <xdr:colOff>314740</xdr:colOff>
      <xdr:row>0</xdr:row>
      <xdr:rowOff>687456</xdr:rowOff>
    </xdr:to>
    <xdr:pic>
      <xdr:nvPicPr>
        <xdr:cNvPr id="2" name="WordPictureWatermark785624567">
          <a:extLst>
            <a:ext uri="{FF2B5EF4-FFF2-40B4-BE49-F238E27FC236}">
              <a16:creationId xmlns:a16="http://schemas.microsoft.com/office/drawing/2014/main" id="{0EB1FD77-DC24-464F-95FA-BD20793D84F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29" t="6877" r="70445" b="88060"/>
        <a:stretch/>
      </xdr:blipFill>
      <xdr:spPr bwMode="auto">
        <a:xfrm>
          <a:off x="24848" y="132521"/>
          <a:ext cx="1562432" cy="554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68580</xdr:colOff>
      <xdr:row>0</xdr:row>
      <xdr:rowOff>198120</xdr:rowOff>
    </xdr:from>
    <xdr:to>
      <xdr:col>1</xdr:col>
      <xdr:colOff>1440180</xdr:colOff>
      <xdr:row>1</xdr:row>
      <xdr:rowOff>358140</xdr:rowOff>
    </xdr:to>
    <xdr:pic>
      <xdr:nvPicPr>
        <xdr:cNvPr id="44044" name="Imagen 3">
          <a:extLst>
            <a:ext uri="{FF2B5EF4-FFF2-40B4-BE49-F238E27FC236}">
              <a16:creationId xmlns:a16="http://schemas.microsoft.com/office/drawing/2014/main" id="{C07BA481-888A-914E-9DF8-0077FE287D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388620" y="198120"/>
          <a:ext cx="13716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68580</xdr:colOff>
      <xdr:row>0</xdr:row>
      <xdr:rowOff>76200</xdr:rowOff>
    </xdr:from>
    <xdr:to>
      <xdr:col>1</xdr:col>
      <xdr:colOff>1348740</xdr:colOff>
      <xdr:row>2</xdr:row>
      <xdr:rowOff>68580</xdr:rowOff>
    </xdr:to>
    <xdr:pic>
      <xdr:nvPicPr>
        <xdr:cNvPr id="45068" name="Imagen 3">
          <a:extLst>
            <a:ext uri="{FF2B5EF4-FFF2-40B4-BE49-F238E27FC236}">
              <a16:creationId xmlns:a16="http://schemas.microsoft.com/office/drawing/2014/main" id="{F4152ECA-352D-FD82-ED34-BF3D7EC7F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388620" y="76200"/>
          <a:ext cx="128016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220980</xdr:colOff>
      <xdr:row>0</xdr:row>
      <xdr:rowOff>45720</xdr:rowOff>
    </xdr:from>
    <xdr:to>
      <xdr:col>1</xdr:col>
      <xdr:colOff>1295400</xdr:colOff>
      <xdr:row>2</xdr:row>
      <xdr:rowOff>182922</xdr:rowOff>
    </xdr:to>
    <xdr:pic>
      <xdr:nvPicPr>
        <xdr:cNvPr id="46092" name="Imagen 3">
          <a:extLst>
            <a:ext uri="{FF2B5EF4-FFF2-40B4-BE49-F238E27FC236}">
              <a16:creationId xmlns:a16="http://schemas.microsoft.com/office/drawing/2014/main" id="{99B3778D-48F7-B68B-FB01-EB6347A5CD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220980" y="45720"/>
          <a:ext cx="13944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144780</xdr:colOff>
      <xdr:row>0</xdr:row>
      <xdr:rowOff>15240</xdr:rowOff>
    </xdr:from>
    <xdr:to>
      <xdr:col>1</xdr:col>
      <xdr:colOff>312439</xdr:colOff>
      <xdr:row>3</xdr:row>
      <xdr:rowOff>22669</xdr:rowOff>
    </xdr:to>
    <xdr:pic>
      <xdr:nvPicPr>
        <xdr:cNvPr id="47116" name="Imagen 3">
          <a:extLst>
            <a:ext uri="{FF2B5EF4-FFF2-40B4-BE49-F238E27FC236}">
              <a16:creationId xmlns:a16="http://schemas.microsoft.com/office/drawing/2014/main" id="{1FA19D54-52D4-63B0-0B52-DBC770D5B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44780" y="15240"/>
          <a:ext cx="124206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83820</xdr:colOff>
      <xdr:row>0</xdr:row>
      <xdr:rowOff>38100</xdr:rowOff>
    </xdr:from>
    <xdr:to>
      <xdr:col>1</xdr:col>
      <xdr:colOff>1158240</xdr:colOff>
      <xdr:row>1</xdr:row>
      <xdr:rowOff>99060</xdr:rowOff>
    </xdr:to>
    <xdr:pic>
      <xdr:nvPicPr>
        <xdr:cNvPr id="48140" name="Imagen 3">
          <a:extLst>
            <a:ext uri="{FF2B5EF4-FFF2-40B4-BE49-F238E27FC236}">
              <a16:creationId xmlns:a16="http://schemas.microsoft.com/office/drawing/2014/main" id="{C225B088-547F-847E-57FC-A00951D66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83820" y="38100"/>
          <a:ext cx="139446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114300</xdr:colOff>
      <xdr:row>0</xdr:row>
      <xdr:rowOff>60960</xdr:rowOff>
    </xdr:from>
    <xdr:to>
      <xdr:col>1</xdr:col>
      <xdr:colOff>1013460</xdr:colOff>
      <xdr:row>2</xdr:row>
      <xdr:rowOff>60960</xdr:rowOff>
    </xdr:to>
    <xdr:pic>
      <xdr:nvPicPr>
        <xdr:cNvPr id="49164" name="Imagen 3">
          <a:extLst>
            <a:ext uri="{FF2B5EF4-FFF2-40B4-BE49-F238E27FC236}">
              <a16:creationId xmlns:a16="http://schemas.microsoft.com/office/drawing/2014/main" id="{C0F431A0-FA07-217F-2936-FA71E582F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114300" y="60960"/>
          <a:ext cx="12192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99060</xdr:colOff>
      <xdr:row>0</xdr:row>
      <xdr:rowOff>53340</xdr:rowOff>
    </xdr:from>
    <xdr:to>
      <xdr:col>1</xdr:col>
      <xdr:colOff>1173480</xdr:colOff>
      <xdr:row>2</xdr:row>
      <xdr:rowOff>129540</xdr:rowOff>
    </xdr:to>
    <xdr:pic>
      <xdr:nvPicPr>
        <xdr:cNvPr id="50188" name="Imagen 3">
          <a:extLst>
            <a:ext uri="{FF2B5EF4-FFF2-40B4-BE49-F238E27FC236}">
              <a16:creationId xmlns:a16="http://schemas.microsoft.com/office/drawing/2014/main" id="{A0C18785-620D-30AB-1AF5-DDC2BBF85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99060" y="53340"/>
          <a:ext cx="139446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22860</xdr:colOff>
      <xdr:row>0</xdr:row>
      <xdr:rowOff>83820</xdr:rowOff>
    </xdr:from>
    <xdr:to>
      <xdr:col>1</xdr:col>
      <xdr:colOff>1501140</xdr:colOff>
      <xdr:row>2</xdr:row>
      <xdr:rowOff>129540</xdr:rowOff>
    </xdr:to>
    <xdr:pic>
      <xdr:nvPicPr>
        <xdr:cNvPr id="51212" name="Imagen 3">
          <a:extLst>
            <a:ext uri="{FF2B5EF4-FFF2-40B4-BE49-F238E27FC236}">
              <a16:creationId xmlns:a16="http://schemas.microsoft.com/office/drawing/2014/main" id="{FE4064B3-6AFE-A2B9-F335-777E2CEBC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342900" y="83820"/>
          <a:ext cx="14782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137160</xdr:colOff>
      <xdr:row>0</xdr:row>
      <xdr:rowOff>53340</xdr:rowOff>
    </xdr:from>
    <xdr:to>
      <xdr:col>2</xdr:col>
      <xdr:colOff>1158240</xdr:colOff>
      <xdr:row>3</xdr:row>
      <xdr:rowOff>92986</xdr:rowOff>
    </xdr:to>
    <xdr:pic>
      <xdr:nvPicPr>
        <xdr:cNvPr id="2073" name="Imagen 3">
          <a:extLst>
            <a:ext uri="{FF2B5EF4-FFF2-40B4-BE49-F238E27FC236}">
              <a16:creationId xmlns:a16="http://schemas.microsoft.com/office/drawing/2014/main" id="{A030B923-EEFE-3854-9CFE-7D478FC7DA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37160" y="53340"/>
          <a:ext cx="14097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12700</xdr:colOff>
      <xdr:row>83</xdr:row>
      <xdr:rowOff>215900</xdr:rowOff>
    </xdr:from>
    <xdr:to>
      <xdr:col>2</xdr:col>
      <xdr:colOff>3251200</xdr:colOff>
      <xdr:row>93</xdr:row>
      <xdr:rowOff>0</xdr:rowOff>
    </xdr:to>
    <xdr:pic>
      <xdr:nvPicPr>
        <xdr:cNvPr id="3073" name="Picture 1" descr="Línea de firma de Microsoft Office...">
          <a:extLst>
            <a:ext uri="{FF2B5EF4-FFF2-40B4-BE49-F238E27FC236}">
              <a16:creationId xmlns:a16="http://schemas.microsoft.com/office/drawing/2014/main" id="{61C5D173-C5E7-2364-6EE3-BA3F065A293C}"/>
            </a:ext>
          </a:extLst>
        </xdr:cNvPr>
        <xdr:cNvPicPr>
          <a:picLocks noGrp="1" noRot="1" noChangeAspect="1" noEditPoints="1" noChangeArrowheads="1" noCrop="1"/>
          <a:extLst>
            <a:ext uri="{F385189D-CB6C-4498-A905-10932F83BE7A}">
              <a15:signatureLine xmlns:a15="http://schemas.microsoft.com/office/drawing/2012/main" isSignatureLine="1" id="{65237113-31A1-49CF-B29F-3B8A1A4C7150}" provId="{00000000-0000-0000-0000-000000000000}" signingInstructionsSet="0" allowComments="0" showSignDate="1" suggestedSigner="Sebastian Oporto L." suggestedSigner2="Presidente" suggestedSignerEmail="soporto@investor.com.py" signingInstructions="" addlXml="" sigProvUrl=""/>
            </a:ext>
          </a:extLst>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0" y="15697200"/>
          <a:ext cx="32385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3086100</xdr:colOff>
      <xdr:row>83</xdr:row>
      <xdr:rowOff>254000</xdr:rowOff>
    </xdr:from>
    <xdr:to>
      <xdr:col>7</xdr:col>
      <xdr:colOff>393700</xdr:colOff>
      <xdr:row>93</xdr:row>
      <xdr:rowOff>0</xdr:rowOff>
    </xdr:to>
    <xdr:pic>
      <xdr:nvPicPr>
        <xdr:cNvPr id="3074" name="Picture 3" descr="Línea de firma de Microsoft Office...">
          <a:extLst>
            <a:ext uri="{FF2B5EF4-FFF2-40B4-BE49-F238E27FC236}">
              <a16:creationId xmlns:a16="http://schemas.microsoft.com/office/drawing/2014/main" id="{B1CE0FE8-978B-92E7-A8DC-940D0000A232}"/>
            </a:ext>
          </a:extLst>
        </xdr:cNvPr>
        <xdr:cNvPicPr>
          <a:picLocks noGrp="1" noRot="1" noChangeAspect="1" noEditPoints="1" noChangeArrowheads="1" noCrop="1"/>
          <a:extLst>
            <a:ext uri="{F385189D-CB6C-4498-A905-10932F83BE7A}">
              <a15:signatureLine xmlns:a15="http://schemas.microsoft.com/office/drawing/2012/main" isSignatureLine="1" id="{6BACF563-08FD-44F5-AD47-1E12C17925DA}" provId="{00000000-0000-0000-0000-000000000000}" signingInstructionsSet="0" allowComments="0" showSignDate="1" suggestedSigner="Lic. Sady Pereira" suggestedSigner2="Contador" suggestedSignerEmail="sady.pereira@inpositiva.com.py" signingInstructions="" addlXml="" sigProvUrl=""/>
            </a:ext>
          </a:extLst>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04400" y="15697200"/>
          <a:ext cx="238760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259080</xdr:colOff>
      <xdr:row>0</xdr:row>
      <xdr:rowOff>91440</xdr:rowOff>
    </xdr:from>
    <xdr:to>
      <xdr:col>1</xdr:col>
      <xdr:colOff>1203960</xdr:colOff>
      <xdr:row>4</xdr:row>
      <xdr:rowOff>5311</xdr:rowOff>
    </xdr:to>
    <xdr:pic>
      <xdr:nvPicPr>
        <xdr:cNvPr id="5132" name="Imagen 3">
          <a:extLst>
            <a:ext uri="{FF2B5EF4-FFF2-40B4-BE49-F238E27FC236}">
              <a16:creationId xmlns:a16="http://schemas.microsoft.com/office/drawing/2014/main" id="{50995BA6-3D89-C834-A00B-756D3968FC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259080" y="91440"/>
          <a:ext cx="133350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121920</xdr:colOff>
      <xdr:row>0</xdr:row>
      <xdr:rowOff>106680</xdr:rowOff>
    </xdr:from>
    <xdr:to>
      <xdr:col>2</xdr:col>
      <xdr:colOff>441960</xdr:colOff>
      <xdr:row>2</xdr:row>
      <xdr:rowOff>105410</xdr:rowOff>
    </xdr:to>
    <xdr:pic>
      <xdr:nvPicPr>
        <xdr:cNvPr id="6156" name="Imagen 3">
          <a:extLst>
            <a:ext uri="{FF2B5EF4-FFF2-40B4-BE49-F238E27FC236}">
              <a16:creationId xmlns:a16="http://schemas.microsoft.com/office/drawing/2014/main" id="{B5E2B183-4CA5-7C2F-2E03-5D92C9AB9B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21920" y="106680"/>
          <a:ext cx="149352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68580</xdr:rowOff>
    </xdr:from>
    <xdr:to>
      <xdr:col>1</xdr:col>
      <xdr:colOff>1158240</xdr:colOff>
      <xdr:row>0</xdr:row>
      <xdr:rowOff>617220</xdr:rowOff>
    </xdr:to>
    <xdr:pic>
      <xdr:nvPicPr>
        <xdr:cNvPr id="7180" name="Imagen 3">
          <a:extLst>
            <a:ext uri="{FF2B5EF4-FFF2-40B4-BE49-F238E27FC236}">
              <a16:creationId xmlns:a16="http://schemas.microsoft.com/office/drawing/2014/main" id="{F61E1AFC-7B35-ED2E-431B-E872D33A1B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14300" y="68580"/>
          <a:ext cx="140970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175260</xdr:colOff>
      <xdr:row>0</xdr:row>
      <xdr:rowOff>60960</xdr:rowOff>
    </xdr:from>
    <xdr:to>
      <xdr:col>1</xdr:col>
      <xdr:colOff>922020</xdr:colOff>
      <xdr:row>1</xdr:row>
      <xdr:rowOff>45720</xdr:rowOff>
    </xdr:to>
    <xdr:pic>
      <xdr:nvPicPr>
        <xdr:cNvPr id="30732" name="Imagen 3">
          <a:extLst>
            <a:ext uri="{FF2B5EF4-FFF2-40B4-BE49-F238E27FC236}">
              <a16:creationId xmlns:a16="http://schemas.microsoft.com/office/drawing/2014/main" id="{AAA937C4-2B9A-44E9-B14B-7910C8DA6D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75260" y="60960"/>
          <a:ext cx="113538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83820</xdr:colOff>
      <xdr:row>0</xdr:row>
      <xdr:rowOff>83820</xdr:rowOff>
    </xdr:from>
    <xdr:to>
      <xdr:col>2</xdr:col>
      <xdr:colOff>1104900</xdr:colOff>
      <xdr:row>2</xdr:row>
      <xdr:rowOff>60960</xdr:rowOff>
    </xdr:to>
    <xdr:pic>
      <xdr:nvPicPr>
        <xdr:cNvPr id="31756" name="Imagen 3">
          <a:extLst>
            <a:ext uri="{FF2B5EF4-FFF2-40B4-BE49-F238E27FC236}">
              <a16:creationId xmlns:a16="http://schemas.microsoft.com/office/drawing/2014/main" id="{6F95D3A6-F21D-0A0E-11E0-2AFDAA5D13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289560" y="83820"/>
          <a:ext cx="1409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144780</xdr:colOff>
      <xdr:row>0</xdr:row>
      <xdr:rowOff>38100</xdr:rowOff>
    </xdr:from>
    <xdr:to>
      <xdr:col>1</xdr:col>
      <xdr:colOff>1165860</xdr:colOff>
      <xdr:row>3</xdr:row>
      <xdr:rowOff>132080</xdr:rowOff>
    </xdr:to>
    <xdr:pic>
      <xdr:nvPicPr>
        <xdr:cNvPr id="32783" name="Imagen 2">
          <a:extLst>
            <a:ext uri="{FF2B5EF4-FFF2-40B4-BE49-F238E27FC236}">
              <a16:creationId xmlns:a16="http://schemas.microsoft.com/office/drawing/2014/main" id="{15F59C06-8C9B-FEB5-0D20-A475141C33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44780" y="38100"/>
          <a:ext cx="14097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C11E68/Plantilla%20Exel%20EEFF%20cnv_SET_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CIO-INV/Desktop/Informe%201er%20Semestre%2006-2018/Res%20173%20INVESTOR%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ROCIO-INV/Desktop/Informe%201er%20Semestre%2006-2018/Res%20173%20INVESTOR%202013.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inpositivapy-my.sharepoint.com/personal/sady_pereira_inpositiva_com_py/Documents/10.Investor%20SA/Contabilidad/Conformaciones%20de%20Cuentas%20Contables/6.Conformaciones%202023/3.23.SSP_COMPOSICION%20FINAL%20MARZO.xlsx" TargetMode="External"/><Relationship Id="rId1" Type="http://schemas.openxmlformats.org/officeDocument/2006/relationships/externalLinkPath" Target="/personal/sady_pereira_inpositiva_com_py/Documents/10.Investor%20SA/Contabilidad/Conformaciones%20de%20Cuentas%20Contables/6.Conformaciones%202023/3.23.SSP_COMPOSICION%20FINAL%20MARZO.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sadypereira/Library/CloudStorage/OneDrive-Inpositiva/10.Investor%20SA/Contabilidad/Conformaciones%20de%20Cuentas%20Contables/5.Conformaciones%202022/12.%20COMPOSICION%20FINAL%20DICIEMBRE.xlsx?16A5DF41" TargetMode="External"/><Relationship Id="rId1" Type="http://schemas.openxmlformats.org/officeDocument/2006/relationships/externalLinkPath" Target="file:///16A5DF41/12.%20COMPOSICION%20FINAL%20DICIEMBR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sady_pereira_inpositiva_com_py/Documents/10.Investor%20SA/Contabilidad/CNV_EEFF_Informes/2022/CNV_Informes/03.2022/3-EEFF%20Basicos%20Investor%20CBSA_EEFF%2031-03-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OneDrive%20-%20Inpositiva/10.Investor%20SA/Contabilidad/Conformaciones%20de%20Cuentas%20Contables/Conformaciones%202022/09.%20COMPOSICION%20FINAL%20SETIEMBR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General Resol 950"/>
      <sheetName val="Estado de Resultados Resol 950"/>
      <sheetName val="Flujos de efectivo (950)"/>
      <sheetName val="Estado variacion PN (2)"/>
      <sheetName val="BalanceSistema_Set_19"/>
      <sheetName val="CR Sistema_Set_19"/>
      <sheetName val="activo pasivo"/>
      <sheetName val="2018 (2)"/>
      <sheetName val="anex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Sistema_Dic_13"/>
      <sheetName val="CR Sistema_DIC_13"/>
      <sheetName val="Balance General"/>
      <sheetName val="Estado de Resultados"/>
      <sheetName val="Flujos de efectivo"/>
      <sheetName val="Estado variacion PN"/>
      <sheetName val="anexos"/>
      <sheetName val="2012"/>
    </sheetNames>
    <sheetDataSet>
      <sheetData sheetId="0"/>
      <sheetData sheetId="1"/>
      <sheetData sheetId="2"/>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Sistema_Dic_13"/>
      <sheetName val="CR Sistema_DIC_13"/>
      <sheetName val="Balance General"/>
      <sheetName val="Estado de Resultados"/>
      <sheetName val="Flujos de efectivo"/>
      <sheetName val="Estado variacion PN"/>
      <sheetName val="anexos"/>
      <sheetName val="2012"/>
    </sheetNames>
    <sheetDataSet>
      <sheetData sheetId="0"/>
      <sheetData sheetId="1"/>
      <sheetData sheetId="2"/>
      <sheetData sheetId="3" refreshError="1"/>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EFF "/>
      <sheetName val="EERR "/>
      <sheetName val="1010101 RECAUDACIONES A DEP ML"/>
      <sheetName val="1010102 CAJA"/>
      <sheetName val="1010102 RECAUDACIONES A DEP ME"/>
      <sheetName val="101010201 CAJA"/>
      <sheetName val="101010301 FONDO FIJO"/>
      <sheetName val="1010104 BANCO OPERACIONES"/>
      <sheetName val="1010105 BANCOS ADMINISTRATIVOS"/>
      <sheetName val="BROKER "/>
      <sheetName val="RESUMEN PORTAFOLIO"/>
      <sheetName val="Bonos GS"/>
      <sheetName val="BONOS REPOS GS"/>
      <sheetName val="CDA GS REPOS"/>
      <sheetName val="CDA GS"/>
      <sheetName val="CDA GS GARANTIA (2)"/>
      <sheetName val="Bonos$"/>
      <sheetName val="CDA $ "/>
      <sheetName val="CDA $  Repos"/>
      <sheetName val="CDA $ BVAPASA"/>
      <sheetName val="ACCIONES"/>
      <sheetName val="Repos Pendientes"/>
      <sheetName val="Filtro Clientes SSP"/>
      <sheetName val="1010301 CLIENTES ML"/>
      <sheetName val="1010302 CLIENTES ME"/>
      <sheetName val="DOCUM A COBRAR OP PROPIAS ML"/>
      <sheetName val="101030103 DOC A COB OP PR ML"/>
      <sheetName val="DOCUM A COBRAR OP PROPIAS ME"/>
      <sheetName val="1010302101 ANTICIPOS IRE"/>
      <sheetName val="101030102 RETENCIONES IVA"/>
      <sheetName val="101030105 RETENCIONES IDU"/>
      <sheetName val="101030020106 IVA CF"/>
      <sheetName val="SET - VISION INTEGRL"/>
      <sheetName val="101030202 ANTICIPO PROVEEDORES"/>
      <sheetName val="101030203 ANTICIPO PROVEED ME"/>
      <sheetName val="101030203 ANTICIPOS AL PERSONAL"/>
      <sheetName val="1010303102 GARANTIAS DE ALQUILE"/>
      <sheetName val="101030401 CTAS A COBRAR DIRECT"/>
      <sheetName val="101030405 CTAS A COBRAR PR ML 2"/>
      <sheetName val="101030406 CTAS A COBRAR PR ME"/>
      <sheetName val="1010502 SEGUROS A DEVENGAR"/>
      <sheetName val="1010503 INTERERES A DEVENGAR"/>
      <sheetName val="INVERSIONES PERMANENTES"/>
      <sheetName val="OTRAS INVERSIONES BVPASA"/>
      <sheetName val="OTRAS INVERSIONES CAJA DE VALOR"/>
      <sheetName val="BIENES DE USO 2022 (2)"/>
      <sheetName val="BIENES INTANGIBLES 2022"/>
      <sheetName val="09_Acreedores x Intemed Gs"/>
      <sheetName val="201010202 DOC POR OP PROPIAS ME"/>
      <sheetName val="201010301 CTAS A PAGAR ER ML"/>
      <sheetName val="201010302 CTAS A PAGAR ER ME"/>
      <sheetName val="201010102 DOC POR OP PROPIAS ML"/>
      <sheetName val="09_Acreedores x Intemed $"/>
      <sheetName val="201020101 PRESTAMOS BANCARIOS"/>
      <sheetName val="INTERESES A PAGAR A BANCOS ML"/>
      <sheetName val="INTERESES A PAGAR BANCOS ME"/>
      <sheetName val="201030102 IVA A PAGAR"/>
      <sheetName val="201030501 PROVEEDORES ML "/>
      <sheetName val="201030502 PROVEEDORES ME"/>
      <sheetName val="201030506 TARJETAS DE CREDITO"/>
      <sheetName val="2010405 IPS A PAGAR"/>
      <sheetName val="2010502 ANTIC CLIENT INTE ME"/>
      <sheetName val="2010501 ANTIC CLIENT INTE ML "/>
      <sheetName val="2010507INGRESOS DIFERIDOS ADM"/>
      <sheetName val="2010508 ANTIC CLIENTES ADM"/>
      <sheetName val="Acta 31 03 2023"/>
      <sheetName val="CAPITALIZ UTILID AFPISA"/>
      <sheetName val="EMISION CON PRIMA_ACTA DIRECT"/>
      <sheetName val="ACTA 25 03 2022"/>
      <sheetName val="ACTA 25 02 2021"/>
      <sheetName val="3.23"/>
    </sheetNames>
    <sheetDataSet>
      <sheetData sheetId="0">
        <row r="20">
          <cell r="B20">
            <v>41996</v>
          </cell>
        </row>
        <row r="24">
          <cell r="B24">
            <v>32187148</v>
          </cell>
        </row>
        <row r="26">
          <cell r="B26">
            <v>1103637920</v>
          </cell>
        </row>
        <row r="28">
          <cell r="B28">
            <v>28665920</v>
          </cell>
        </row>
        <row r="29">
          <cell r="B29">
            <v>1074972000</v>
          </cell>
        </row>
        <row r="31">
          <cell r="B31">
            <v>3507000000</v>
          </cell>
        </row>
        <row r="33">
          <cell r="B33">
            <v>195400000</v>
          </cell>
        </row>
        <row r="36">
          <cell r="B36">
            <v>20627000000</v>
          </cell>
        </row>
        <row r="37">
          <cell r="B37">
            <v>12588866686</v>
          </cell>
        </row>
        <row r="38">
          <cell r="B38">
            <v>28723251840</v>
          </cell>
        </row>
        <row r="39">
          <cell r="B39">
            <v>716648000</v>
          </cell>
        </row>
        <row r="40">
          <cell r="B40">
            <v>1631348872</v>
          </cell>
        </row>
        <row r="42">
          <cell r="B42">
            <v>1558565067</v>
          </cell>
        </row>
        <row r="45">
          <cell r="B45">
            <v>11170667151</v>
          </cell>
        </row>
        <row r="46">
          <cell r="B46">
            <v>67260281</v>
          </cell>
        </row>
        <row r="49">
          <cell r="B49">
            <v>2525586204</v>
          </cell>
        </row>
        <row r="51">
          <cell r="B51">
            <v>2056310212</v>
          </cell>
        </row>
        <row r="52">
          <cell r="B52">
            <v>295062098</v>
          </cell>
        </row>
        <row r="54">
          <cell r="B54">
            <v>8509999</v>
          </cell>
        </row>
        <row r="55">
          <cell r="B55">
            <v>165703895</v>
          </cell>
        </row>
        <row r="57">
          <cell r="B57">
            <v>3200000</v>
          </cell>
        </row>
        <row r="60">
          <cell r="B60">
            <v>3090732760</v>
          </cell>
        </row>
        <row r="61">
          <cell r="B61">
            <v>1500000000</v>
          </cell>
        </row>
        <row r="62">
          <cell r="B62">
            <v>926137913</v>
          </cell>
        </row>
        <row r="63">
          <cell r="B63">
            <v>664594846</v>
          </cell>
        </row>
        <row r="65">
          <cell r="B65">
            <v>17482027</v>
          </cell>
        </row>
        <row r="66">
          <cell r="B66">
            <v>187640683</v>
          </cell>
        </row>
        <row r="67">
          <cell r="B67">
            <v>594246569</v>
          </cell>
        </row>
        <row r="70">
          <cell r="B70">
            <v>56062500000</v>
          </cell>
        </row>
        <row r="79">
          <cell r="B79">
            <v>1003000000</v>
          </cell>
        </row>
        <row r="80">
          <cell r="B80">
            <v>4000000000</v>
          </cell>
        </row>
        <row r="81">
          <cell r="B81">
            <v>650260447</v>
          </cell>
        </row>
        <row r="88">
          <cell r="B88">
            <v>699841823</v>
          </cell>
        </row>
        <row r="109">
          <cell r="B109">
            <v>13980915</v>
          </cell>
        </row>
        <row r="110">
          <cell r="B110">
            <v>13980915</v>
          </cell>
        </row>
        <row r="112">
          <cell r="B112">
            <v>26173849803</v>
          </cell>
        </row>
        <row r="114">
          <cell r="B114">
            <v>15966921900</v>
          </cell>
        </row>
        <row r="115">
          <cell r="B115">
            <v>1494191343</v>
          </cell>
        </row>
        <row r="117">
          <cell r="B117">
            <v>839517954</v>
          </cell>
        </row>
        <row r="119">
          <cell r="B119">
            <v>72903230</v>
          </cell>
        </row>
        <row r="120">
          <cell r="B120">
            <v>49363157600</v>
          </cell>
        </row>
        <row r="122">
          <cell r="B122">
            <v>28736157600</v>
          </cell>
        </row>
        <row r="123">
          <cell r="B123">
            <v>1136701210</v>
          </cell>
        </row>
        <row r="130">
          <cell r="B130">
            <v>22069986</v>
          </cell>
        </row>
        <row r="136">
          <cell r="B136">
            <v>58201896</v>
          </cell>
        </row>
        <row r="138">
          <cell r="B138">
            <v>10682000000</v>
          </cell>
        </row>
        <row r="139">
          <cell r="B139">
            <v>17923003</v>
          </cell>
        </row>
        <row r="151">
          <cell r="B151">
            <v>1714654982</v>
          </cell>
        </row>
      </sheetData>
      <sheetData sheetId="1">
        <row r="5">
          <cell r="B5">
            <v>91301646148</v>
          </cell>
        </row>
        <row r="6">
          <cell r="B6">
            <v>446307580</v>
          </cell>
        </row>
        <row r="12">
          <cell r="B12">
            <v>39574400</v>
          </cell>
        </row>
        <row r="13">
          <cell r="B13">
            <v>111567955</v>
          </cell>
        </row>
        <row r="14">
          <cell r="B14">
            <v>80066178</v>
          </cell>
        </row>
        <row r="16">
          <cell r="B16">
            <v>84629009798</v>
          </cell>
        </row>
        <row r="21">
          <cell r="B21">
            <v>341225</v>
          </cell>
        </row>
        <row r="22">
          <cell r="B22">
            <v>1096423574</v>
          </cell>
        </row>
        <row r="23">
          <cell r="B23">
            <v>745131</v>
          </cell>
        </row>
        <row r="24">
          <cell r="B24">
            <v>2983900800</v>
          </cell>
        </row>
        <row r="25">
          <cell r="B25">
            <v>1156464019</v>
          </cell>
        </row>
        <row r="27">
          <cell r="B27">
            <v>50000000</v>
          </cell>
        </row>
        <row r="28">
          <cell r="B28">
            <v>707245488</v>
          </cell>
        </row>
        <row r="33">
          <cell r="B33">
            <v>17276153537</v>
          </cell>
        </row>
        <row r="34">
          <cell r="B34">
            <v>17241379310</v>
          </cell>
        </row>
        <row r="35">
          <cell r="B35">
            <v>34774227</v>
          </cell>
        </row>
        <row r="36">
          <cell r="B36">
            <v>103518994350</v>
          </cell>
        </row>
        <row r="37">
          <cell r="B37">
            <v>85274975194</v>
          </cell>
        </row>
        <row r="42">
          <cell r="B42">
            <v>32581033636</v>
          </cell>
        </row>
        <row r="43">
          <cell r="B43">
            <v>49235071519</v>
          </cell>
        </row>
        <row r="44">
          <cell r="B44">
            <v>2589030000</v>
          </cell>
        </row>
        <row r="46">
          <cell r="B46">
            <v>25000000</v>
          </cell>
        </row>
        <row r="49">
          <cell r="B49">
            <v>38853575</v>
          </cell>
        </row>
        <row r="53">
          <cell r="B53">
            <v>860550302</v>
          </cell>
        </row>
        <row r="71">
          <cell r="B71">
            <v>5230554</v>
          </cell>
        </row>
        <row r="86">
          <cell r="B86">
            <v>5646970053</v>
          </cell>
        </row>
        <row r="88">
          <cell r="B88">
            <v>528773046</v>
          </cell>
        </row>
        <row r="94">
          <cell r="B94">
            <v>-1892720717</v>
          </cell>
        </row>
        <row r="95">
          <cell r="B95">
            <v>1078321621</v>
          </cell>
        </row>
        <row r="96">
          <cell r="B96">
            <v>11471949138</v>
          </cell>
        </row>
        <row r="97">
          <cell r="B97">
            <v>11471949138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UESTO A PAGAR"/>
      <sheetName val="CALCULO DE IMP.RENTA"/>
      <sheetName val="EEFF "/>
      <sheetName val="EERR "/>
      <sheetName val="1010101 RECAUDACIONES A DEP ML"/>
      <sheetName val="1010102 CAJA"/>
      <sheetName val="1010102 RECAUDACIONES A DEP ME"/>
      <sheetName val="101010201 CAJA"/>
      <sheetName val="101010301 FONDO FIJO"/>
      <sheetName val="1010104 BANCO OPERACIONES"/>
      <sheetName val="1010105 BANCOS ADMINISTRATIVOS"/>
      <sheetName val="BROKER "/>
      <sheetName val="RESUMEN PORTAFOLIO"/>
      <sheetName val="Bonos $"/>
      <sheetName val="BONOS REPOS GS"/>
      <sheetName val="CDA GS REPOS"/>
      <sheetName val="CDA GS"/>
      <sheetName val="CDA GS GARANTIA (2)"/>
      <sheetName val="Bonos$"/>
      <sheetName val="CDA $ - REPOS"/>
      <sheetName val="CDA $ BVAPASA"/>
      <sheetName val="ACCIONES"/>
      <sheetName val="Repos Pendientes 2022"/>
      <sheetName val="Filtro Clientes SSP"/>
      <sheetName val="1010301 CLIENTES ML"/>
      <sheetName val="1010302 CLIENTES ME"/>
      <sheetName val="DOCUM A COBRAR OP PROPIAS ML"/>
      <sheetName val="101030103 DOC A COB OP PR ML"/>
      <sheetName val="DOCUM A COBRAR OP PROPIAS ME"/>
      <sheetName val="1010302101 ANTICIPOS IRE"/>
      <sheetName val="101030102 RETENCIONES IVA"/>
      <sheetName val="101030105 RETENCIONES IDU"/>
      <sheetName val="101030020106 IVA CF"/>
      <sheetName val="SET - VISION INTEGRL"/>
      <sheetName val="101030202 ANTICIPO PROVEEDORES"/>
      <sheetName val="101030203 ANTICIPO PROVEED ME"/>
      <sheetName val="101030203 ANTICIPOS AL PERSONAL"/>
      <sheetName val="1010303102 GARANTIAS DE ALQUILE"/>
      <sheetName val="101030401 CTAS A COBRAR DIRECT"/>
      <sheetName val="101030405 CTAS A COBRAR PR ML 2"/>
      <sheetName val="101030406 CTAS A COBRAR PR ME"/>
      <sheetName val="1010502 SEGUROS A DEVENGAR"/>
      <sheetName val="1010503 INTERERES A DEVENGAR"/>
      <sheetName val="INVERSIONES PERMANENTES"/>
      <sheetName val="OTRAS INVERSIONES BVPASA"/>
      <sheetName val="OTRAS INVERSIONES CAJA DE VALOR"/>
      <sheetName val="BIENES DE USO 2022"/>
      <sheetName val="BIENES INTANGIBLES 2022"/>
      <sheetName val="09_Acreedores x Intemed Gs"/>
      <sheetName val="201010202 DOC POR OP PROPIAS ME"/>
      <sheetName val="201010301 CTAS A PAGAR ER ML"/>
      <sheetName val="201010302 CTAS A PAGAR ER ME"/>
      <sheetName val="201010102 DOC POR OP PROPIAS ML"/>
      <sheetName val="09_Acreedores x Intemed $"/>
      <sheetName val="201020101 PRESTAMOS BANCARIOS"/>
      <sheetName val="INTERESES A PAGAR A BANCOS ML"/>
      <sheetName val="INTERESES A PAGAR BANCOS ME"/>
      <sheetName val="IMP A PAGAR"/>
      <sheetName val="201030501 PROVEEDORES ML "/>
      <sheetName val="201030502 PROVEEDORES ME"/>
      <sheetName val="201030506 TARJETAS DE CREDITO"/>
      <sheetName val="2010405 IPS A PAGAR"/>
      <sheetName val="2010501 ANTIC CLIENT INTE ML "/>
      <sheetName val="2010502 ANTIC CLIENT INTE ME"/>
      <sheetName val="2010507INGRESOS DIFERIDOS ADM"/>
      <sheetName val="2010508 ANTIC CLIENTES ADM"/>
      <sheetName val="EMISION CON PRIMA_ACTA DIRECT"/>
      <sheetName val="ACTA 25 03 2022"/>
      <sheetName val="ACTA 25 02 2021"/>
      <sheetName val="CAPITALIZ UTILID AFPISA"/>
      <sheetName val="12"/>
    </sheetNames>
    <sheetDataSet>
      <sheetData sheetId="0" refreshError="1"/>
      <sheetData sheetId="1" refreshError="1"/>
      <sheetData sheetId="2" refreshError="1">
        <row r="7">
          <cell r="B7">
            <v>-333850</v>
          </cell>
        </row>
        <row r="58">
          <cell r="B58">
            <v>3200000</v>
          </cell>
        </row>
        <row r="76">
          <cell r="B76">
            <v>47451703</v>
          </cell>
        </row>
        <row r="82">
          <cell r="C82">
            <v>12102212443</v>
          </cell>
        </row>
        <row r="91">
          <cell r="B91">
            <v>79174642</v>
          </cell>
        </row>
        <row r="92">
          <cell r="B92">
            <v>1981449298</v>
          </cell>
        </row>
        <row r="93">
          <cell r="B93">
            <v>27866433</v>
          </cell>
        </row>
        <row r="94">
          <cell r="B94">
            <v>104084949</v>
          </cell>
        </row>
        <row r="95">
          <cell r="B95">
            <v>76495056</v>
          </cell>
        </row>
        <row r="96">
          <cell r="B96">
            <v>1407421152</v>
          </cell>
        </row>
        <row r="97">
          <cell r="B97">
            <v>4448595000</v>
          </cell>
        </row>
        <row r="98">
          <cell r="B98">
            <v>-3935238148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Infomac Gral Emp "/>
      <sheetName val="Balance Gral. Resol. 30"/>
      <sheetName val="Estado de Resultado Resol. 30"/>
      <sheetName val="Flujo de Efectivo Resol. Res 30"/>
      <sheetName val="Estado de Variacion PN "/>
      <sheetName val=" Flujo de Fondos Calculo INVEST"/>
      <sheetName val="NOTA A LOS ESTADOS CONTA. 1-4"/>
      <sheetName val="NOTA 5 A-C CRITERIOS ESPECIF."/>
      <sheetName val="NOTA D - DISPONIBILIDADES"/>
      <sheetName val="NOTA E - INVERSIONES TEMP Y PER"/>
      <sheetName val="NOTA F - CREDITOS"/>
      <sheetName val="NOTA G BIENES DE USO"/>
      <sheetName val="NOTA H CARGOS DIFERIDOS"/>
      <sheetName val=" NOTA I INTANGIBLES"/>
      <sheetName val="NOTA J OTROS ACTIVOS CTES y NO "/>
      <sheetName val="NOTA K PRESTAMOS"/>
      <sheetName val="NOTA L DOCUM y CTAS A PAG"/>
      <sheetName val="NOTAS M-Q ACREED y CTAS A PAG"/>
      <sheetName val="NOTA R SALDOS Y TRANSACC"/>
      <sheetName val="NOTA S RESULTADOS CON PERS"/>
      <sheetName val=" NOTA T PATRIMONIO Y PREVIS"/>
      <sheetName val="NOTA V INGRESOS OPERATIVOS"/>
      <sheetName val="NOTA W OTROS GASTOS OPER"/>
      <sheetName val="NOTA X OTROS INGRESOS Y EGR"/>
      <sheetName val="NOTA Y RESULTADOS FINANC"/>
      <sheetName val="NOTA Z RESULT EXTRA"/>
      <sheetName val="NOTA 6 INFORMACION REFERENTE"/>
    </sheetNames>
    <sheetDataSet>
      <sheetData sheetId="0"/>
      <sheetData sheetId="1"/>
      <sheetData sheetId="2">
        <row r="14">
          <cell r="D14">
            <v>1326416148</v>
          </cell>
        </row>
      </sheetData>
      <sheetData sheetId="3">
        <row r="111">
          <cell r="D111">
            <v>6452450697</v>
          </cell>
        </row>
      </sheetData>
      <sheetData sheetId="4"/>
      <sheetData sheetId="5">
        <row r="26">
          <cell r="J26">
            <v>51062715201.639999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EFF "/>
      <sheetName val="EERR "/>
      <sheetName val="1010101 RECAUDACIONES A DEP ML"/>
      <sheetName val="1010102 CAJA"/>
      <sheetName val="101010201 CAJA"/>
      <sheetName val="101010301 FONDO FIJO"/>
      <sheetName val="1010104 BANCO OPERACIONES"/>
      <sheetName val="1010105 BANCOS ADMINISTRATIVOS"/>
      <sheetName val="BROKER "/>
      <sheetName val="RESUMEN PORTAFOLIO"/>
      <sheetName val="Bonos GS"/>
      <sheetName val="BONOS REPOS GS"/>
      <sheetName val="CDA GS REPOS"/>
      <sheetName val="CDA GS"/>
      <sheetName val="CDA GS GARANTIA (2)"/>
      <sheetName val="Bonos$ 09 2022"/>
      <sheetName val="CDA $ - VER"/>
      <sheetName val="CDA $ 09 2022"/>
      <sheetName val="ACCIONES"/>
      <sheetName val="REPOS - AL 30 09 PENDIENTES"/>
      <sheetName val="1010301 CLIENTES ML"/>
      <sheetName val="1010302 CLIENTES ME"/>
      <sheetName val="DOCUM A COBRAR OP PROPIAS ML"/>
      <sheetName val="DOCUM A COBRAR OP PROPIAS ME"/>
      <sheetName val="1010302101 ANTICIPOS IRE"/>
      <sheetName val="101030102 RETENCIONES IVA"/>
      <sheetName val="101030105 RETENCIONES IDU"/>
      <sheetName val="101030020106 IVA CF"/>
      <sheetName val="SET - VISION INTEGRL"/>
      <sheetName val="101030202 ANTICIPO PROVEEDORES"/>
      <sheetName val="101030203 ANTICIPOS AL PERSONAL"/>
      <sheetName val="1010303102 GARANTIAS DE ALQUILE"/>
      <sheetName val="101030401 CTAS A COBRAR DIRECT"/>
      <sheetName val="101030405 CTAS A COBRAR PR ML 2"/>
      <sheetName val="101030406 CTAS A COBRAR PR ME"/>
      <sheetName val="1010502 SEGUROS A DEVENGAR"/>
      <sheetName val="1010503 INTERERES A DEVENGAR"/>
      <sheetName val="INVERSIONES PERMANENTES"/>
      <sheetName val="OTRAS INVERSIONES BVPASA"/>
      <sheetName val="OTRAS INVERSIONES CAJA DE VALOR"/>
      <sheetName val="BIENES DE USO 2021 Actualizar"/>
      <sheetName val="BIENES INTANGIBLES 2021"/>
      <sheetName val="09_Acreedores x Intemed Gs"/>
      <sheetName val="201010102 DOC POR OP PROPIAS ML"/>
      <sheetName val="201010202 DOC POR OP PROPIAS ME"/>
      <sheetName val="201010301 CTAS A PAGAR ER ML"/>
      <sheetName val="201010302 CTAS A PAGAR ER ME"/>
      <sheetName val="09_Acreedores x Intemed $"/>
      <sheetName val="201020101 PRESTAMOS BANCARIOS"/>
      <sheetName val="INTERESES A PAGAR A BANCOS ML"/>
      <sheetName val="INTERESES A PAGAR BANCOS ME"/>
      <sheetName val="IMP A PAGAR"/>
      <sheetName val="201030501 PROVEEDORES ML "/>
      <sheetName val="201030502 PROVEEDORES ME"/>
      <sheetName val="201030506 TARJETAS DE CREDITO"/>
      <sheetName val="2010405 IPS A PAGAR"/>
      <sheetName val="2010501 ANTIC CLIENT INTE ML "/>
      <sheetName val="2010502 ANTIC CLIENT INTE ME"/>
      <sheetName val="2010507INGRESOS DIFERIDOS ADM"/>
      <sheetName val="2010508 ANTIC CLIENTES ADM"/>
      <sheetName val="EMISION CON PRIMA_ACTA DIRECT"/>
      <sheetName val="ACTA 25 03 2022"/>
      <sheetName val="ACTA 25 02 2021"/>
      <sheetName val="CAPITALIZ UTILID AFPISA"/>
      <sheetName val="09"/>
    </sheetNames>
    <sheetDataSet>
      <sheetData sheetId="0">
        <row r="8">
          <cell r="B8">
            <v>1000000</v>
          </cell>
        </row>
      </sheetData>
      <sheetData sheetId="1">
        <row r="5">
          <cell r="B5">
            <v>359336410372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20">
          <cell r="N220">
            <v>2057578368.96</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7">
          <cell r="D7">
            <v>4080000000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persons/person.xml><?xml version="1.0" encoding="utf-8"?>
<personList xmlns="http://schemas.microsoft.com/office/spreadsheetml/2018/threadedcomments" xmlns:x="http://schemas.openxmlformats.org/spreadsheetml/2006/main">
  <person displayName="Sady Pereira" id="{7E019D68-714F-43B1-8D27-771F5D71F20E}" userId="Sady Pereir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5" dT="2022-04-11T02:26:16.17" personId="{7E019D68-714F-43B1-8D27-771F5D71F20E}" id="{EACBCB32-E259-4B42-BD51-69056D5CDC0B}">
    <text>Aca se registran los SALDO DEL BALANCE GENERAL, A COBRAR Y PAGAR.
Empresas y personas vinculadas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costa@investor.com.py"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9.x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4:H69"/>
  <sheetViews>
    <sheetView showGridLines="0" zoomScale="130" zoomScaleNormal="130" workbookViewId="0">
      <selection activeCell="D26" sqref="D26"/>
    </sheetView>
  </sheetViews>
  <sheetFormatPr baseColWidth="10" defaultColWidth="11.33203125" defaultRowHeight="14"/>
  <cols>
    <col min="1" max="1" width="4.6640625" style="4" customWidth="1"/>
    <col min="2" max="2" width="22.1640625" style="4" customWidth="1"/>
    <col min="3" max="3" width="42" style="4" bestFit="1" customWidth="1"/>
    <col min="4" max="4" width="39.33203125" style="5" bestFit="1" customWidth="1"/>
    <col min="5" max="5" width="16.6640625" style="4" customWidth="1"/>
    <col min="6" max="6" width="12.83203125" style="4" hidden="1" customWidth="1"/>
    <col min="7" max="7" width="12.6640625" style="4" hidden="1" customWidth="1"/>
    <col min="8" max="8" width="11" style="4" hidden="1" customWidth="1"/>
    <col min="9" max="16384" width="11.33203125" style="4"/>
  </cols>
  <sheetData>
    <row r="4" spans="1:8">
      <c r="F4" s="686" t="s">
        <v>850</v>
      </c>
      <c r="G4" s="687">
        <v>45016</v>
      </c>
    </row>
    <row r="5" spans="1:8">
      <c r="B5" s="777" t="s">
        <v>0</v>
      </c>
      <c r="C5" s="777"/>
      <c r="D5" s="777"/>
      <c r="F5" s="4" t="s">
        <v>851</v>
      </c>
      <c r="G5" s="135">
        <f>+G4</f>
        <v>45016</v>
      </c>
    </row>
    <row r="6" spans="1:8" ht="14.5" customHeight="1">
      <c r="B6" s="777" t="s">
        <v>944</v>
      </c>
      <c r="C6" s="777"/>
      <c r="D6" s="777"/>
      <c r="F6" s="688" t="s">
        <v>4</v>
      </c>
      <c r="G6" s="689">
        <v>45016</v>
      </c>
      <c r="H6" s="689">
        <v>44926</v>
      </c>
    </row>
    <row r="7" spans="1:8" ht="15" customHeight="1" thickBot="1">
      <c r="D7" s="690"/>
      <c r="F7" s="688" t="s">
        <v>852</v>
      </c>
      <c r="G7" s="689">
        <f>+G6</f>
        <v>45016</v>
      </c>
      <c r="H7" s="689">
        <v>44651</v>
      </c>
    </row>
    <row r="8" spans="1:8" ht="15" customHeight="1" thickBot="1">
      <c r="B8" s="691" t="s">
        <v>1</v>
      </c>
      <c r="C8" s="775">
        <f>+G4</f>
        <v>45016</v>
      </c>
      <c r="D8" s="776"/>
    </row>
    <row r="9" spans="1:8" ht="14" hidden="1" customHeight="1">
      <c r="A9" s="6"/>
      <c r="B9" s="6"/>
      <c r="C9" s="6"/>
      <c r="D9" s="7"/>
    </row>
    <row r="10" spans="1:8" ht="15" thickBot="1">
      <c r="A10" s="147"/>
    </row>
    <row r="11" spans="1:8" ht="26.25" customHeight="1" thickBot="1">
      <c r="B11" s="773" t="s">
        <v>2</v>
      </c>
      <c r="C11" s="774"/>
      <c r="D11" s="19" t="s">
        <v>3</v>
      </c>
    </row>
    <row r="12" spans="1:8" ht="26.25" customHeight="1">
      <c r="B12" s="8" t="s">
        <v>719</v>
      </c>
      <c r="C12" s="9"/>
      <c r="D12" s="3" t="s">
        <v>696</v>
      </c>
    </row>
    <row r="13" spans="1:8" ht="26.25" customHeight="1">
      <c r="B13" s="8" t="s">
        <v>720</v>
      </c>
      <c r="C13" s="12"/>
      <c r="D13" s="11"/>
    </row>
    <row r="14" spans="1:8">
      <c r="A14" s="5"/>
      <c r="B14" s="10"/>
      <c r="C14" s="4" t="s">
        <v>4</v>
      </c>
      <c r="D14" s="1" t="s">
        <v>498</v>
      </c>
      <c r="E14" s="4" t="str">
        <f>PROPER(B14)</f>
        <v/>
      </c>
    </row>
    <row r="15" spans="1:8">
      <c r="A15" s="5"/>
      <c r="B15" s="10"/>
      <c r="C15" s="4" t="s">
        <v>5</v>
      </c>
      <c r="D15" s="1" t="s">
        <v>499</v>
      </c>
      <c r="E15" s="4" t="str">
        <f>PROPER(B15)</f>
        <v/>
      </c>
    </row>
    <row r="16" spans="1:8">
      <c r="A16" s="5"/>
      <c r="B16" s="10"/>
      <c r="C16" s="4" t="s">
        <v>6</v>
      </c>
      <c r="D16" s="1" t="s">
        <v>500</v>
      </c>
    </row>
    <row r="17" spans="1:4">
      <c r="A17" s="5"/>
      <c r="B17" s="10"/>
      <c r="C17" s="4" t="s">
        <v>672</v>
      </c>
      <c r="D17" s="1" t="s">
        <v>501</v>
      </c>
    </row>
    <row r="18" spans="1:4">
      <c r="A18" s="5"/>
      <c r="B18" s="10"/>
      <c r="C18" s="4" t="s">
        <v>7</v>
      </c>
      <c r="D18" s="1" t="s">
        <v>718</v>
      </c>
    </row>
    <row r="19" spans="1:4">
      <c r="A19" s="5"/>
      <c r="B19" s="10"/>
      <c r="C19" s="4" t="s">
        <v>8</v>
      </c>
      <c r="D19" s="1" t="s">
        <v>502</v>
      </c>
    </row>
    <row r="20" spans="1:4">
      <c r="A20" s="5"/>
      <c r="B20" s="10"/>
      <c r="C20" s="4" t="s">
        <v>9</v>
      </c>
      <c r="D20" s="2"/>
    </row>
    <row r="21" spans="1:4">
      <c r="A21" s="5"/>
      <c r="B21" s="10"/>
      <c r="C21" s="4" t="s">
        <v>10</v>
      </c>
      <c r="D21" s="2"/>
    </row>
    <row r="22" spans="1:4">
      <c r="A22" s="5"/>
      <c r="B22" s="10"/>
      <c r="C22" s="4" t="s">
        <v>11</v>
      </c>
      <c r="D22" s="2"/>
    </row>
    <row r="23" spans="1:4">
      <c r="A23" s="5"/>
      <c r="B23" s="10"/>
      <c r="D23" s="2"/>
    </row>
    <row r="24" spans="1:4">
      <c r="A24" s="5"/>
      <c r="B24" s="8" t="s">
        <v>721</v>
      </c>
      <c r="D24" s="692"/>
    </row>
    <row r="25" spans="1:4">
      <c r="A25" s="5"/>
      <c r="B25" s="10"/>
      <c r="D25" s="3"/>
    </row>
    <row r="26" spans="1:4">
      <c r="A26" s="5"/>
      <c r="B26" s="10"/>
      <c r="C26" s="13" t="s">
        <v>12</v>
      </c>
      <c r="D26" s="1" t="s">
        <v>697</v>
      </c>
    </row>
    <row r="27" spans="1:4">
      <c r="A27" s="5"/>
      <c r="B27" s="10"/>
      <c r="C27" s="13" t="s">
        <v>673</v>
      </c>
      <c r="D27" s="1" t="s">
        <v>697</v>
      </c>
    </row>
    <row r="28" spans="1:4">
      <c r="A28" s="5"/>
      <c r="B28" s="10"/>
      <c r="C28" s="13" t="s">
        <v>674</v>
      </c>
      <c r="D28" s="1" t="s">
        <v>697</v>
      </c>
    </row>
    <row r="29" spans="1:4">
      <c r="A29" s="5"/>
      <c r="B29" s="10"/>
      <c r="C29" s="13" t="s">
        <v>675</v>
      </c>
      <c r="D29" s="1" t="s">
        <v>697</v>
      </c>
    </row>
    <row r="30" spans="1:4">
      <c r="A30" s="5"/>
      <c r="B30" s="10"/>
      <c r="C30" s="13" t="s">
        <v>676</v>
      </c>
      <c r="D30" s="2" t="s">
        <v>372</v>
      </c>
    </row>
    <row r="31" spans="1:4">
      <c r="A31" s="5"/>
      <c r="B31" s="10"/>
      <c r="C31" s="4" t="s">
        <v>677</v>
      </c>
      <c r="D31" s="1" t="s">
        <v>698</v>
      </c>
    </row>
    <row r="32" spans="1:4">
      <c r="A32" s="5"/>
      <c r="B32" s="10"/>
      <c r="C32" s="4" t="s">
        <v>678</v>
      </c>
      <c r="D32" s="1" t="s">
        <v>698</v>
      </c>
    </row>
    <row r="33" spans="1:4">
      <c r="A33" s="5"/>
      <c r="B33" s="10"/>
      <c r="C33" s="4" t="s">
        <v>679</v>
      </c>
      <c r="D33" s="1" t="s">
        <v>698</v>
      </c>
    </row>
    <row r="34" spans="1:4">
      <c r="A34" s="5"/>
      <c r="B34" s="10"/>
      <c r="C34" s="4" t="s">
        <v>680</v>
      </c>
      <c r="D34" s="1" t="s">
        <v>699</v>
      </c>
    </row>
    <row r="35" spans="1:4">
      <c r="A35" s="5"/>
      <c r="B35" s="10"/>
      <c r="C35" s="4" t="s">
        <v>13</v>
      </c>
      <c r="D35" s="1" t="s">
        <v>700</v>
      </c>
    </row>
    <row r="36" spans="1:4">
      <c r="A36" s="5"/>
      <c r="B36" s="10"/>
      <c r="C36" s="4" t="s">
        <v>681</v>
      </c>
      <c r="D36" s="1" t="s">
        <v>701</v>
      </c>
    </row>
    <row r="37" spans="1:4">
      <c r="A37" s="5"/>
      <c r="B37" s="10"/>
      <c r="C37" s="4" t="s">
        <v>682</v>
      </c>
      <c r="D37" s="1" t="s">
        <v>702</v>
      </c>
    </row>
    <row r="38" spans="1:4">
      <c r="A38" s="5"/>
      <c r="B38" s="10"/>
      <c r="C38" s="4" t="s">
        <v>683</v>
      </c>
      <c r="D38" s="1" t="s">
        <v>703</v>
      </c>
    </row>
    <row r="39" spans="1:4">
      <c r="A39" s="5"/>
      <c r="B39" s="10"/>
      <c r="C39" s="4" t="s">
        <v>14</v>
      </c>
      <c r="D39" s="1" t="s">
        <v>704</v>
      </c>
    </row>
    <row r="40" spans="1:4">
      <c r="A40" s="5"/>
      <c r="B40" s="10"/>
      <c r="C40" s="4" t="s">
        <v>15</v>
      </c>
      <c r="D40" s="1" t="s">
        <v>705</v>
      </c>
    </row>
    <row r="41" spans="1:4">
      <c r="A41" s="5"/>
      <c r="B41" s="10"/>
      <c r="C41" s="4" t="s">
        <v>684</v>
      </c>
      <c r="D41" s="1" t="s">
        <v>706</v>
      </c>
    </row>
    <row r="42" spans="1:4">
      <c r="A42" s="5"/>
      <c r="B42" s="10"/>
      <c r="C42" s="4" t="s">
        <v>685</v>
      </c>
      <c r="D42" s="1" t="s">
        <v>707</v>
      </c>
    </row>
    <row r="43" spans="1:4">
      <c r="A43" s="5"/>
      <c r="B43" s="10"/>
      <c r="C43" s="4" t="s">
        <v>686</v>
      </c>
      <c r="D43" s="1" t="s">
        <v>708</v>
      </c>
    </row>
    <row r="44" spans="1:4">
      <c r="A44" s="5"/>
      <c r="B44" s="10"/>
      <c r="C44" s="4" t="s">
        <v>16</v>
      </c>
      <c r="D44" s="1" t="s">
        <v>708</v>
      </c>
    </row>
    <row r="45" spans="1:4">
      <c r="A45" s="5"/>
      <c r="B45" s="10"/>
      <c r="C45" s="4" t="s">
        <v>687</v>
      </c>
      <c r="D45" s="1" t="s">
        <v>708</v>
      </c>
    </row>
    <row r="46" spans="1:4">
      <c r="A46" s="5"/>
      <c r="B46" s="10"/>
      <c r="C46" s="4" t="s">
        <v>688</v>
      </c>
      <c r="D46" s="1" t="s">
        <v>708</v>
      </c>
    </row>
    <row r="47" spans="1:4">
      <c r="A47" s="5"/>
      <c r="B47" s="10"/>
      <c r="C47" s="4" t="s">
        <v>689</v>
      </c>
      <c r="D47" s="1" t="s">
        <v>708</v>
      </c>
    </row>
    <row r="48" spans="1:4">
      <c r="A48" s="5"/>
      <c r="B48" s="10"/>
      <c r="C48" s="4" t="s">
        <v>690</v>
      </c>
      <c r="D48" s="1" t="s">
        <v>709</v>
      </c>
    </row>
    <row r="49" spans="1:4">
      <c r="A49" s="5"/>
      <c r="B49" s="10"/>
      <c r="C49" s="4" t="s">
        <v>17</v>
      </c>
      <c r="D49" s="1" t="s">
        <v>710</v>
      </c>
    </row>
    <row r="50" spans="1:4">
      <c r="A50" s="5"/>
      <c r="B50" s="10"/>
      <c r="C50" s="4" t="s">
        <v>691</v>
      </c>
      <c r="D50" s="1" t="s">
        <v>711</v>
      </c>
    </row>
    <row r="51" spans="1:4">
      <c r="A51" s="5"/>
      <c r="B51" s="10"/>
      <c r="C51" s="4" t="s">
        <v>18</v>
      </c>
      <c r="D51" s="1" t="s">
        <v>711</v>
      </c>
    </row>
    <row r="52" spans="1:4">
      <c r="A52" s="5"/>
      <c r="B52" s="10"/>
      <c r="C52" s="4" t="s">
        <v>692</v>
      </c>
      <c r="D52" s="1" t="s">
        <v>712</v>
      </c>
    </row>
    <row r="53" spans="1:4">
      <c r="A53" s="5"/>
      <c r="B53" s="8"/>
      <c r="C53" s="4" t="s">
        <v>693</v>
      </c>
      <c r="D53" s="1" t="s">
        <v>713</v>
      </c>
    </row>
    <row r="54" spans="1:4">
      <c r="A54" s="5"/>
      <c r="B54" s="10"/>
      <c r="C54" s="4" t="s">
        <v>19</v>
      </c>
      <c r="D54" s="1" t="s">
        <v>714</v>
      </c>
    </row>
    <row r="55" spans="1:4">
      <c r="A55" s="5"/>
      <c r="B55" s="10"/>
      <c r="C55" s="4" t="s">
        <v>20</v>
      </c>
      <c r="D55" s="1" t="s">
        <v>715</v>
      </c>
    </row>
    <row r="56" spans="1:4">
      <c r="A56" s="5"/>
      <c r="B56" s="10"/>
      <c r="C56" s="4" t="s">
        <v>21</v>
      </c>
      <c r="D56" s="1" t="s">
        <v>716</v>
      </c>
    </row>
    <row r="57" spans="1:4">
      <c r="A57" s="5"/>
      <c r="B57" s="10"/>
      <c r="D57" s="2" t="s">
        <v>372</v>
      </c>
    </row>
    <row r="58" spans="1:4">
      <c r="A58" s="5"/>
      <c r="B58" s="10"/>
      <c r="C58" s="13" t="s">
        <v>22</v>
      </c>
      <c r="D58" s="1" t="s">
        <v>717</v>
      </c>
    </row>
    <row r="59" spans="1:4">
      <c r="A59" s="5"/>
      <c r="B59" s="10"/>
      <c r="C59" s="4" t="s">
        <v>23</v>
      </c>
      <c r="D59" s="2"/>
    </row>
    <row r="60" spans="1:4">
      <c r="A60" s="5"/>
      <c r="B60" s="10"/>
      <c r="C60" s="4" t="s">
        <v>694</v>
      </c>
      <c r="D60" s="2"/>
    </row>
    <row r="61" spans="1:4">
      <c r="A61" s="5"/>
      <c r="B61" s="10"/>
      <c r="C61" s="4" t="s">
        <v>695</v>
      </c>
      <c r="D61" s="2"/>
    </row>
    <row r="62" spans="1:4">
      <c r="A62" s="5"/>
      <c r="B62" s="10"/>
      <c r="C62" s="4" t="s">
        <v>24</v>
      </c>
      <c r="D62" s="2"/>
    </row>
    <row r="63" spans="1:4">
      <c r="A63" s="5"/>
      <c r="B63" s="10"/>
      <c r="C63" s="4" t="s">
        <v>25</v>
      </c>
      <c r="D63" s="2"/>
    </row>
    <row r="64" spans="1:4">
      <c r="A64" s="5"/>
      <c r="B64" s="10"/>
      <c r="C64" s="4" t="s">
        <v>26</v>
      </c>
      <c r="D64" s="2"/>
    </row>
    <row r="65" spans="1:4">
      <c r="A65" s="5"/>
      <c r="B65" s="10"/>
      <c r="C65" s="4" t="s">
        <v>27</v>
      </c>
      <c r="D65" s="2"/>
    </row>
    <row r="66" spans="1:4">
      <c r="A66" s="5"/>
      <c r="B66" s="10"/>
      <c r="C66" s="4" t="s">
        <v>28</v>
      </c>
      <c r="D66" s="2"/>
    </row>
    <row r="67" spans="1:4">
      <c r="A67" s="5"/>
      <c r="B67" s="10"/>
      <c r="D67" s="2"/>
    </row>
    <row r="68" spans="1:4">
      <c r="A68" s="5"/>
      <c r="B68" s="14"/>
      <c r="C68" s="15"/>
      <c r="D68" s="693"/>
    </row>
    <row r="69" spans="1:4" ht="21" customHeight="1">
      <c r="A69" s="16"/>
      <c r="D69" s="17"/>
    </row>
  </sheetData>
  <mergeCells count="4">
    <mergeCell ref="B11:C11"/>
    <mergeCell ref="C8:D8"/>
    <mergeCell ref="B5:D5"/>
    <mergeCell ref="B6:D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rgb="FF002060"/>
  </sheetPr>
  <dimension ref="B1:G109"/>
  <sheetViews>
    <sheetView showGridLines="0" zoomScale="130" zoomScaleNormal="130" workbookViewId="0">
      <selection activeCell="D26" sqref="D26"/>
    </sheetView>
  </sheetViews>
  <sheetFormatPr baseColWidth="10" defaultColWidth="11.5" defaultRowHeight="15"/>
  <cols>
    <col min="1" max="1" width="5.6640625" customWidth="1"/>
    <col min="2" max="2" width="47.6640625" customWidth="1"/>
    <col min="3" max="4" width="15.83203125" style="543" bestFit="1" customWidth="1"/>
    <col min="5" max="5" width="15.5" customWidth="1"/>
    <col min="6" max="6" width="22.1640625" customWidth="1"/>
    <col min="7" max="7" width="12.33203125" bestFit="1" customWidth="1"/>
  </cols>
  <sheetData>
    <row r="1" spans="2:6">
      <c r="B1" s="309"/>
    </row>
    <row r="5" spans="2:6">
      <c r="B5" s="829" t="s">
        <v>973</v>
      </c>
      <c r="C5" s="829"/>
      <c r="D5" s="829"/>
    </row>
    <row r="6" spans="2:6">
      <c r="B6" s="848" t="s">
        <v>579</v>
      </c>
      <c r="C6" s="848"/>
      <c r="D6" s="848"/>
    </row>
    <row r="7" spans="2:6">
      <c r="B7" s="545" t="s">
        <v>638</v>
      </c>
      <c r="C7" s="544"/>
      <c r="D7" s="350"/>
    </row>
    <row r="8" spans="2:6">
      <c r="B8" s="311" t="s">
        <v>347</v>
      </c>
      <c r="C8" s="546">
        <f>+Indice!G5</f>
        <v>45016</v>
      </c>
      <c r="D8" s="547">
        <f>+Indice!H6</f>
        <v>44926</v>
      </c>
    </row>
    <row r="9" spans="2:6">
      <c r="B9" s="317" t="s">
        <v>600</v>
      </c>
      <c r="C9" s="328">
        <v>0</v>
      </c>
      <c r="D9" s="320">
        <v>0</v>
      </c>
    </row>
    <row r="10" spans="2:6">
      <c r="B10" s="548" t="s">
        <v>503</v>
      </c>
      <c r="C10" s="549">
        <v>37159632.095999993</v>
      </c>
      <c r="D10" s="550">
        <v>36615964.579999998</v>
      </c>
      <c r="F10" s="551"/>
    </row>
    <row r="11" spans="2:6">
      <c r="B11" s="548" t="s">
        <v>614</v>
      </c>
      <c r="C11" s="549">
        <v>4000000</v>
      </c>
      <c r="D11" s="549">
        <v>20500000</v>
      </c>
      <c r="F11" s="551"/>
    </row>
    <row r="12" spans="2:6">
      <c r="B12" s="548" t="s">
        <v>606</v>
      </c>
      <c r="C12" s="549">
        <v>3593989.7199999997</v>
      </c>
      <c r="D12" s="549">
        <v>38482498.560999997</v>
      </c>
      <c r="F12" s="551"/>
    </row>
    <row r="13" spans="2:6">
      <c r="B13" s="548" t="s">
        <v>613</v>
      </c>
      <c r="C13" s="549">
        <v>1970876020</v>
      </c>
      <c r="D13" s="549">
        <v>304654</v>
      </c>
      <c r="F13" s="551"/>
    </row>
    <row r="14" spans="2:6">
      <c r="B14" s="548" t="s">
        <v>348</v>
      </c>
      <c r="C14" s="549">
        <v>4001</v>
      </c>
      <c r="D14" s="549">
        <v>2020</v>
      </c>
      <c r="F14" s="551"/>
    </row>
    <row r="15" spans="2:6">
      <c r="B15" s="548" t="s">
        <v>349</v>
      </c>
      <c r="C15" s="549">
        <v>20786016.915999997</v>
      </c>
      <c r="D15" s="549">
        <v>30185433.174000002</v>
      </c>
      <c r="F15" s="551"/>
    </row>
    <row r="16" spans="2:6">
      <c r="B16" s="548" t="s">
        <v>350</v>
      </c>
      <c r="C16" s="549">
        <v>8000000</v>
      </c>
      <c r="D16" s="549">
        <v>8000000</v>
      </c>
      <c r="F16" s="551"/>
    </row>
    <row r="17" spans="2:7">
      <c r="B17" s="548" t="s">
        <v>351</v>
      </c>
      <c r="C17" s="549">
        <v>89296490.743999988</v>
      </c>
      <c r="D17" s="550">
        <v>91245530.86999999</v>
      </c>
      <c r="G17" s="136"/>
    </row>
    <row r="18" spans="2:7">
      <c r="B18" s="548" t="s">
        <v>615</v>
      </c>
      <c r="C18" s="549">
        <v>3071027</v>
      </c>
      <c r="D18" s="549">
        <v>3032638</v>
      </c>
      <c r="G18" s="136"/>
    </row>
    <row r="19" spans="2:7">
      <c r="B19" s="548" t="s">
        <v>495</v>
      </c>
      <c r="C19" s="549">
        <v>21704114.6688</v>
      </c>
      <c r="D19" s="549">
        <v>22174986.092999998</v>
      </c>
      <c r="G19" s="136"/>
    </row>
    <row r="20" spans="2:7">
      <c r="B20" s="548" t="s">
        <v>603</v>
      </c>
      <c r="C20" s="549">
        <v>1385925.5671999999</v>
      </c>
      <c r="D20" s="549">
        <v>1464726.4580000001</v>
      </c>
      <c r="G20" s="136"/>
    </row>
    <row r="21" spans="2:7">
      <c r="B21" s="548" t="s">
        <v>352</v>
      </c>
      <c r="C21" s="549">
        <v>16736916</v>
      </c>
      <c r="D21" s="549">
        <v>339656</v>
      </c>
      <c r="G21" s="136"/>
    </row>
    <row r="22" spans="2:7">
      <c r="B22" s="548" t="s">
        <v>353</v>
      </c>
      <c r="C22" s="549">
        <v>17403940.009599999</v>
      </c>
      <c r="D22" s="549">
        <v>8073204.3339999998</v>
      </c>
      <c r="G22" s="136"/>
    </row>
    <row r="23" spans="2:7">
      <c r="B23" s="548" t="s">
        <v>894</v>
      </c>
      <c r="C23" s="549">
        <v>8000001</v>
      </c>
      <c r="D23" s="549">
        <v>7997595</v>
      </c>
      <c r="G23" s="136"/>
    </row>
    <row r="24" spans="2:7">
      <c r="B24" s="548" t="s">
        <v>895</v>
      </c>
      <c r="C24" s="549">
        <v>50165288.335199997</v>
      </c>
      <c r="D24" s="549">
        <v>51260226.770999998</v>
      </c>
      <c r="G24" s="136"/>
    </row>
    <row r="25" spans="2:7">
      <c r="B25" s="548" t="s">
        <v>896</v>
      </c>
      <c r="C25" s="549">
        <v>500000</v>
      </c>
      <c r="D25" s="549">
        <v>500000</v>
      </c>
      <c r="G25" s="136"/>
    </row>
    <row r="26" spans="2:7">
      <c r="B26" s="548" t="s">
        <v>610</v>
      </c>
      <c r="C26" s="549">
        <v>5000003</v>
      </c>
      <c r="D26" s="549">
        <v>5000003</v>
      </c>
      <c r="G26" s="136"/>
    </row>
    <row r="27" spans="2:7">
      <c r="B27" s="548" t="s">
        <v>354</v>
      </c>
      <c r="C27" s="549">
        <v>32187148</v>
      </c>
      <c r="D27" s="549">
        <v>32187148</v>
      </c>
      <c r="G27" s="136"/>
    </row>
    <row r="28" spans="2:7">
      <c r="B28" s="548" t="s">
        <v>612</v>
      </c>
      <c r="C28" s="549">
        <v>4000020</v>
      </c>
      <c r="D28" s="549">
        <v>4664130</v>
      </c>
      <c r="G28" s="136"/>
    </row>
    <row r="29" spans="2:7">
      <c r="B29" s="548" t="s">
        <v>605</v>
      </c>
      <c r="C29" s="549">
        <v>35832471.664799996</v>
      </c>
      <c r="D29" s="549">
        <v>43343586.038999997</v>
      </c>
      <c r="G29" s="136"/>
    </row>
    <row r="30" spans="2:7">
      <c r="B30" s="548" t="s">
        <v>355</v>
      </c>
      <c r="C30" s="549">
        <v>0</v>
      </c>
      <c r="D30" s="549">
        <v>13290257.981000001</v>
      </c>
      <c r="G30" s="136"/>
    </row>
    <row r="31" spans="2:7">
      <c r="B31" s="548" t="s">
        <v>356</v>
      </c>
      <c r="C31" s="549">
        <v>0</v>
      </c>
      <c r="D31" s="549">
        <v>44393033</v>
      </c>
      <c r="G31" s="136"/>
    </row>
    <row r="32" spans="2:7">
      <c r="B32" s="548" t="s">
        <v>357</v>
      </c>
      <c r="C32" s="549">
        <v>313812</v>
      </c>
      <c r="D32" s="549">
        <v>13396553</v>
      </c>
      <c r="G32" s="136"/>
    </row>
    <row r="33" spans="2:7">
      <c r="B33" s="548" t="s">
        <v>358</v>
      </c>
      <c r="C33" s="549">
        <v>1609018.0896000001</v>
      </c>
      <c r="D33" s="549">
        <v>3722303.2989999996</v>
      </c>
      <c r="G33" s="136"/>
    </row>
    <row r="34" spans="2:7">
      <c r="B34" s="548" t="s">
        <v>897</v>
      </c>
      <c r="C34" s="549">
        <v>49710161</v>
      </c>
      <c r="D34" s="549">
        <v>42975373</v>
      </c>
      <c r="G34" s="136"/>
    </row>
    <row r="35" spans="2:7">
      <c r="B35" s="315" t="s">
        <v>898</v>
      </c>
      <c r="C35" s="549">
        <v>2667578.8503999999</v>
      </c>
      <c r="D35" s="549">
        <v>27266818.149999999</v>
      </c>
      <c r="G35" s="136"/>
    </row>
    <row r="36" spans="2:7">
      <c r="B36" s="548" t="s">
        <v>617</v>
      </c>
      <c r="C36" s="549">
        <v>18475491</v>
      </c>
      <c r="D36" s="549">
        <v>7162335</v>
      </c>
      <c r="G36" s="136"/>
    </row>
    <row r="37" spans="2:7">
      <c r="B37" s="548" t="s">
        <v>609</v>
      </c>
      <c r="C37" s="549">
        <v>3726856.2591999997</v>
      </c>
      <c r="D37" s="549">
        <v>15029007.356999999</v>
      </c>
      <c r="G37" s="136"/>
    </row>
    <row r="38" spans="2:7">
      <c r="B38" s="548" t="s">
        <v>359</v>
      </c>
      <c r="C38" s="549">
        <v>4515</v>
      </c>
      <c r="D38" s="550">
        <v>4100</v>
      </c>
      <c r="G38" s="136"/>
    </row>
    <row r="39" spans="2:7" s="733" customFormat="1">
      <c r="B39" s="731" t="s">
        <v>937</v>
      </c>
      <c r="C39" s="732">
        <v>-12937417923</v>
      </c>
      <c r="D39" s="734">
        <v>-17960772505</v>
      </c>
      <c r="F39" s="735"/>
      <c r="G39" s="735"/>
    </row>
    <row r="40" spans="2:7" s="733" customFormat="1">
      <c r="B40" s="731" t="s">
        <v>607</v>
      </c>
      <c r="C40" s="732">
        <v>-9756990739.4743996</v>
      </c>
      <c r="D40" s="734">
        <v>-3310535240.6489997</v>
      </c>
      <c r="G40" s="735"/>
    </row>
    <row r="41" spans="2:7">
      <c r="B41" s="548" t="s">
        <v>607</v>
      </c>
      <c r="C41" s="549">
        <v>58765.135999999991</v>
      </c>
      <c r="D41" s="550">
        <v>39616.888999999996</v>
      </c>
      <c r="G41" s="136"/>
    </row>
    <row r="42" spans="2:7">
      <c r="B42" s="548" t="s">
        <v>360</v>
      </c>
      <c r="C42" s="549">
        <v>2612605</v>
      </c>
      <c r="D42" s="549">
        <v>139443015</v>
      </c>
      <c r="G42" s="136"/>
    </row>
    <row r="43" spans="2:7">
      <c r="B43" s="548" t="s">
        <v>361</v>
      </c>
      <c r="C43" s="549">
        <v>12920231.797599999</v>
      </c>
      <c r="D43" s="549">
        <v>13334195.381000001</v>
      </c>
      <c r="F43" s="551"/>
    </row>
    <row r="44" spans="2:7">
      <c r="B44" s="548" t="s">
        <v>362</v>
      </c>
      <c r="C44" s="549">
        <v>8401050</v>
      </c>
      <c r="D44" s="549">
        <v>7263549</v>
      </c>
      <c r="F44" s="551"/>
    </row>
    <row r="45" spans="2:7">
      <c r="B45" s="548" t="s">
        <v>363</v>
      </c>
      <c r="C45" s="340">
        <v>16659127.7432</v>
      </c>
      <c r="D45" s="549">
        <v>3690888.0579999997</v>
      </c>
      <c r="F45" s="551"/>
    </row>
    <row r="46" spans="2:7" s="733" customFormat="1">
      <c r="B46" s="731" t="s">
        <v>496</v>
      </c>
      <c r="C46" s="732">
        <v>-1334832</v>
      </c>
      <c r="D46" s="732">
        <v>-1813385437</v>
      </c>
    </row>
    <row r="47" spans="2:7" s="221" customFormat="1">
      <c r="B47" s="758" t="s">
        <v>854</v>
      </c>
      <c r="C47" s="340">
        <v>2738187653</v>
      </c>
      <c r="D47" s="340">
        <v>-13893725776</v>
      </c>
    </row>
    <row r="48" spans="2:7">
      <c r="B48" s="548" t="s">
        <v>364</v>
      </c>
      <c r="C48" s="549">
        <v>542091244</v>
      </c>
      <c r="D48" s="549">
        <v>24906986</v>
      </c>
      <c r="F48" s="551"/>
    </row>
    <row r="49" spans="2:6">
      <c r="B49" s="548" t="s">
        <v>365</v>
      </c>
      <c r="C49" s="549">
        <v>58328840.697599992</v>
      </c>
      <c r="D49" s="550">
        <v>25143323.607999999</v>
      </c>
      <c r="F49" s="551"/>
    </row>
    <row r="50" spans="2:6">
      <c r="B50" s="552" t="s">
        <v>853</v>
      </c>
      <c r="C50" s="549">
        <v>41995.572800000002</v>
      </c>
      <c r="D50" s="550">
        <v>172947345.85699999</v>
      </c>
      <c r="F50" s="551"/>
    </row>
    <row r="51" spans="2:6">
      <c r="B51" s="548" t="s">
        <v>366</v>
      </c>
      <c r="C51" s="549">
        <v>691780</v>
      </c>
      <c r="D51" s="549">
        <v>194212295</v>
      </c>
      <c r="F51" s="551"/>
    </row>
    <row r="52" spans="2:6">
      <c r="B52" s="548" t="s">
        <v>367</v>
      </c>
      <c r="C52" s="340">
        <v>375545553.09359998</v>
      </c>
      <c r="D52" s="549">
        <v>42280374.188000001</v>
      </c>
      <c r="F52" s="551"/>
    </row>
    <row r="53" spans="2:6" s="221" customFormat="1">
      <c r="B53" s="346" t="s">
        <v>368</v>
      </c>
      <c r="C53" s="340">
        <v>2059216.3631999998</v>
      </c>
      <c r="D53" s="340">
        <v>-3923584702.4529996</v>
      </c>
    </row>
    <row r="54" spans="2:6">
      <c r="B54" s="548" t="s">
        <v>616</v>
      </c>
      <c r="C54" s="549">
        <v>29227881</v>
      </c>
      <c r="D54" s="549">
        <v>28130713</v>
      </c>
      <c r="F54" s="551"/>
    </row>
    <row r="55" spans="2:6">
      <c r="B55" s="548" t="s">
        <v>608</v>
      </c>
      <c r="C55" s="549">
        <v>3708008.4167999998</v>
      </c>
      <c r="D55" s="549">
        <v>6366895.4050000003</v>
      </c>
      <c r="F55" s="551"/>
    </row>
    <row r="56" spans="2:6">
      <c r="B56" s="548" t="s">
        <v>369</v>
      </c>
      <c r="C56" s="549">
        <v>364684512</v>
      </c>
      <c r="D56" s="549">
        <v>23049318</v>
      </c>
      <c r="F56" s="551"/>
    </row>
    <row r="57" spans="2:6">
      <c r="B57" s="548" t="s">
        <v>370</v>
      </c>
      <c r="C57" s="549">
        <v>340590975.22879994</v>
      </c>
      <c r="D57" s="549">
        <v>57358518.203999996</v>
      </c>
      <c r="F57" s="551"/>
    </row>
    <row r="58" spans="2:6">
      <c r="B58" s="548" t="s">
        <v>899</v>
      </c>
      <c r="C58" s="549">
        <v>17579160.445599999</v>
      </c>
      <c r="D58" s="549">
        <v>1470658.007</v>
      </c>
      <c r="F58" s="551"/>
    </row>
    <row r="59" spans="2:6">
      <c r="B59" s="548" t="s">
        <v>900</v>
      </c>
      <c r="C59" s="549">
        <v>7891398</v>
      </c>
      <c r="D59" s="549">
        <v>25723875</v>
      </c>
      <c r="F59" s="551"/>
    </row>
    <row r="60" spans="2:6">
      <c r="B60" s="548" t="s">
        <v>604</v>
      </c>
      <c r="C60" s="549">
        <v>2149944</v>
      </c>
      <c r="D60" s="549">
        <v>2196870</v>
      </c>
      <c r="F60" s="551"/>
    </row>
    <row r="61" spans="2:6">
      <c r="B61" s="548" t="s">
        <v>611</v>
      </c>
      <c r="C61" s="549">
        <v>3000000</v>
      </c>
      <c r="D61" s="549">
        <v>3000000</v>
      </c>
      <c r="F61" s="551"/>
    </row>
    <row r="62" spans="2:6" s="733" customFormat="1">
      <c r="B62" s="731" t="s">
        <v>1013</v>
      </c>
      <c r="C62" s="732">
        <v>22695743494.4744</v>
      </c>
      <c r="D62" s="732">
        <v>40902003661.101997</v>
      </c>
    </row>
    <row r="63" spans="2:6">
      <c r="B63" s="317" t="s">
        <v>599</v>
      </c>
      <c r="C63" s="334">
        <f>SUM(C9:C62)</f>
        <v>6932640379.4159966</v>
      </c>
      <c r="D63" s="334">
        <f>SUM(D9:D62)</f>
        <v>1343172218.2640076</v>
      </c>
    </row>
    <row r="65" spans="2:5">
      <c r="B65" s="848" t="s">
        <v>618</v>
      </c>
      <c r="C65" s="848"/>
      <c r="D65" s="848"/>
    </row>
    <row r="66" spans="2:5">
      <c r="B66" s="311" t="s">
        <v>347</v>
      </c>
      <c r="C66" s="546">
        <f>+C8</f>
        <v>45016</v>
      </c>
      <c r="D66" s="547">
        <f>+D8</f>
        <v>44926</v>
      </c>
    </row>
    <row r="67" spans="2:5">
      <c r="B67" s="313" t="s">
        <v>40</v>
      </c>
      <c r="C67" s="328">
        <v>-114650</v>
      </c>
      <c r="D67" s="320">
        <v>0</v>
      </c>
    </row>
    <row r="68" spans="2:5">
      <c r="B68" s="548" t="s">
        <v>601</v>
      </c>
      <c r="C68" s="549">
        <v>-1165551</v>
      </c>
      <c r="D68" s="550">
        <v>-333850</v>
      </c>
    </row>
    <row r="69" spans="2:5">
      <c r="B69" s="548" t="s">
        <v>602</v>
      </c>
      <c r="C69" s="549">
        <v>1000000</v>
      </c>
      <c r="D69" s="549">
        <v>1000000</v>
      </c>
    </row>
    <row r="70" spans="2:5">
      <c r="B70" s="317" t="s">
        <v>619</v>
      </c>
      <c r="C70" s="334">
        <f>SUM(C67:C69)</f>
        <v>-280201</v>
      </c>
      <c r="D70" s="334">
        <f>SUM(D67:D69)</f>
        <v>666150</v>
      </c>
    </row>
    <row r="72" spans="2:5">
      <c r="B72" s="317" t="s">
        <v>371</v>
      </c>
      <c r="C72" s="334">
        <f>+C63+C70</f>
        <v>6932360178.4159966</v>
      </c>
      <c r="D72" s="334">
        <f>+D63+D70</f>
        <v>1343838368.2640076</v>
      </c>
    </row>
    <row r="73" spans="2:5">
      <c r="B73" t="s">
        <v>372</v>
      </c>
    </row>
    <row r="74" spans="2:5">
      <c r="B74" s="553" t="s">
        <v>934</v>
      </c>
      <c r="C74" s="554">
        <f>+C72-'Balance Gral. Resol. 30'!D14</f>
        <v>0</v>
      </c>
      <c r="D74" s="554">
        <f>+D72-'Balance Gral. Resol. 30'!E14</f>
        <v>0.264007568359375</v>
      </c>
      <c r="E74" s="136"/>
    </row>
    <row r="77" spans="2:5">
      <c r="B77" t="s">
        <v>372</v>
      </c>
    </row>
    <row r="78" spans="2:5">
      <c r="B78" t="s">
        <v>372</v>
      </c>
    </row>
    <row r="79" spans="2:5">
      <c r="B79" t="s">
        <v>372</v>
      </c>
    </row>
    <row r="80" spans="2:5">
      <c r="B80" t="s">
        <v>372</v>
      </c>
    </row>
    <row r="81" spans="2:2">
      <c r="B81" t="s">
        <v>372</v>
      </c>
    </row>
    <row r="82" spans="2:2">
      <c r="B82" t="s">
        <v>372</v>
      </c>
    </row>
    <row r="83" spans="2:2">
      <c r="B83" t="s">
        <v>372</v>
      </c>
    </row>
    <row r="84" spans="2:2">
      <c r="B84" t="s">
        <v>372</v>
      </c>
    </row>
    <row r="85" spans="2:2">
      <c r="B85" t="s">
        <v>372</v>
      </c>
    </row>
    <row r="86" spans="2:2">
      <c r="B86" t="s">
        <v>372</v>
      </c>
    </row>
    <row r="87" spans="2:2">
      <c r="B87" t="s">
        <v>372</v>
      </c>
    </row>
    <row r="88" spans="2:2">
      <c r="B88" t="s">
        <v>372</v>
      </c>
    </row>
    <row r="89" spans="2:2">
      <c r="B89" t="s">
        <v>372</v>
      </c>
    </row>
    <row r="90" spans="2:2">
      <c r="B90" t="s">
        <v>372</v>
      </c>
    </row>
    <row r="91" spans="2:2">
      <c r="B91" t="s">
        <v>372</v>
      </c>
    </row>
    <row r="108" spans="5:5">
      <c r="E108" t="s">
        <v>372</v>
      </c>
    </row>
    <row r="109" spans="5:5">
      <c r="E109" t="s">
        <v>372</v>
      </c>
    </row>
  </sheetData>
  <autoFilter ref="B8:D70" xr:uid="{00000000-0009-0000-0000-000009000000}"/>
  <mergeCells count="3">
    <mergeCell ref="B6:D6"/>
    <mergeCell ref="B65:D65"/>
    <mergeCell ref="B5:D5"/>
  </mergeCells>
  <hyperlinks>
    <hyperlink ref="B7" location="'Balance Gral. Resol. 30'!A1" display="'Balance Gral. Resol. 30'!A1" xr:uid="{00000000-0004-0000-0900-000000000000}"/>
  </hyperlink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K88"/>
  <sheetViews>
    <sheetView topLeftCell="B67" zoomScale="130" zoomScaleNormal="130" workbookViewId="0">
      <selection activeCell="D26" sqref="D26"/>
    </sheetView>
  </sheetViews>
  <sheetFormatPr baseColWidth="10" defaultRowHeight="15"/>
  <cols>
    <col min="1" max="1" width="4.5" customWidth="1"/>
    <col min="2" max="2" width="50.1640625" customWidth="1"/>
    <col min="3" max="3" width="17" customWidth="1"/>
    <col min="4" max="4" width="19.83203125" bestFit="1" customWidth="1"/>
    <col min="5" max="5" width="15.5" customWidth="1"/>
    <col min="6" max="6" width="17.1640625" customWidth="1"/>
    <col min="7" max="7" width="18.1640625" customWidth="1"/>
    <col min="8" max="8" width="15" bestFit="1" customWidth="1"/>
    <col min="9" max="9" width="18.1640625" bestFit="1" customWidth="1"/>
    <col min="10" max="10" width="17.1640625" bestFit="1" customWidth="1"/>
    <col min="11" max="11" width="18.1640625" bestFit="1" customWidth="1"/>
  </cols>
  <sheetData>
    <row r="1" spans="2:11">
      <c r="D1" s="479"/>
      <c r="E1" s="479"/>
      <c r="F1" s="479"/>
      <c r="G1" s="479"/>
      <c r="H1" s="479"/>
      <c r="I1" s="479"/>
      <c r="J1" s="479"/>
      <c r="K1" s="479"/>
    </row>
    <row r="2" spans="2:11">
      <c r="B2" s="355"/>
      <c r="D2" s="479"/>
      <c r="E2" s="479"/>
      <c r="F2" s="479"/>
      <c r="G2" s="479"/>
      <c r="H2" s="479"/>
      <c r="I2" s="479"/>
      <c r="J2" s="479"/>
      <c r="K2" s="479"/>
    </row>
    <row r="3" spans="2:11">
      <c r="B3" s="852" t="s">
        <v>972</v>
      </c>
      <c r="C3" s="852"/>
      <c r="D3" s="852"/>
      <c r="E3" s="852"/>
      <c r="F3" s="852"/>
      <c r="G3" s="852"/>
      <c r="H3" s="852"/>
      <c r="I3" s="852"/>
      <c r="J3" s="852"/>
      <c r="K3" s="852"/>
    </row>
    <row r="4" spans="2:11" ht="16">
      <c r="B4" s="480" t="s">
        <v>638</v>
      </c>
      <c r="C4" s="223"/>
      <c r="D4" s="223"/>
      <c r="E4" s="223"/>
      <c r="F4" s="223"/>
      <c r="G4" s="706" t="s">
        <v>1000</v>
      </c>
      <c r="H4" s="706">
        <v>7322.9</v>
      </c>
      <c r="I4" s="223"/>
      <c r="J4" s="223"/>
      <c r="K4" s="223"/>
    </row>
    <row r="5" spans="2:11">
      <c r="B5" s="853" t="s">
        <v>373</v>
      </c>
      <c r="C5" s="854"/>
      <c r="D5" s="854"/>
      <c r="E5" s="854"/>
      <c r="F5" s="855"/>
      <c r="G5" s="853" t="s">
        <v>935</v>
      </c>
      <c r="H5" s="854"/>
      <c r="I5" s="854"/>
      <c r="J5" s="854"/>
      <c r="K5" s="855"/>
    </row>
    <row r="6" spans="2:11" ht="16" thickBot="1">
      <c r="B6" s="856" t="s">
        <v>374</v>
      </c>
      <c r="C6" s="857"/>
      <c r="D6" s="857"/>
      <c r="E6" s="857"/>
      <c r="F6" s="857"/>
      <c r="G6" s="857"/>
      <c r="H6" s="857"/>
      <c r="I6" s="857"/>
      <c r="J6" s="857"/>
      <c r="K6" s="858"/>
    </row>
    <row r="7" spans="2:11" ht="17" thickBot="1">
      <c r="B7" s="481"/>
      <c r="C7" s="482" t="s">
        <v>375</v>
      </c>
      <c r="D7" s="349" t="s">
        <v>376</v>
      </c>
      <c r="E7" s="483" t="s">
        <v>377</v>
      </c>
      <c r="F7" s="483" t="s">
        <v>377</v>
      </c>
      <c r="G7" s="484" t="s">
        <v>387</v>
      </c>
      <c r="H7" s="485" t="s">
        <v>629</v>
      </c>
      <c r="I7" s="483" t="s">
        <v>249</v>
      </c>
      <c r="J7" s="483" t="s">
        <v>378</v>
      </c>
      <c r="K7" s="483" t="s">
        <v>379</v>
      </c>
    </row>
    <row r="8" spans="2:11">
      <c r="B8" s="486" t="s">
        <v>380</v>
      </c>
      <c r="C8" s="487" t="s">
        <v>381</v>
      </c>
      <c r="D8" s="488" t="s">
        <v>382</v>
      </c>
      <c r="E8" s="488" t="s">
        <v>383</v>
      </c>
      <c r="F8" s="488" t="s">
        <v>384</v>
      </c>
      <c r="G8" s="488" t="s">
        <v>628</v>
      </c>
      <c r="H8" s="488" t="s">
        <v>630</v>
      </c>
      <c r="I8" s="489"/>
      <c r="J8" s="489"/>
      <c r="K8" s="489"/>
    </row>
    <row r="9" spans="2:11">
      <c r="B9" s="490" t="s">
        <v>388</v>
      </c>
      <c r="C9" s="487"/>
      <c r="D9" s="488">
        <f>SUM(D10:D59)</f>
        <v>51</v>
      </c>
      <c r="E9" s="488">
        <f>SUM(E10:E59)</f>
        <v>67266404446</v>
      </c>
      <c r="F9" s="488">
        <f>SUM(F10:F59)</f>
        <v>68897753318</v>
      </c>
      <c r="G9" s="488"/>
      <c r="H9" s="488">
        <f>SUM(H10:H59)</f>
        <v>62785105154.56501</v>
      </c>
      <c r="I9" s="488"/>
      <c r="J9" s="488"/>
      <c r="K9" s="488"/>
    </row>
    <row r="10" spans="2:11">
      <c r="B10" s="491" t="s">
        <v>1002</v>
      </c>
      <c r="C10" s="492" t="s">
        <v>1028</v>
      </c>
      <c r="D10" s="493">
        <v>4</v>
      </c>
      <c r="E10" s="502">
        <v>28665920</v>
      </c>
      <c r="F10" s="495">
        <f>+E10</f>
        <v>28665920</v>
      </c>
      <c r="G10" s="496">
        <f>+F10/D10</f>
        <v>7166480</v>
      </c>
      <c r="H10" s="496">
        <v>23213572.364999998</v>
      </c>
      <c r="I10" s="497">
        <v>558020000000</v>
      </c>
      <c r="J10" s="497">
        <v>45235000000</v>
      </c>
      <c r="K10" s="497">
        <v>848525000000</v>
      </c>
    </row>
    <row r="11" spans="2:11">
      <c r="B11" s="491" t="s">
        <v>941</v>
      </c>
      <c r="C11" s="492" t="s">
        <v>385</v>
      </c>
      <c r="D11" s="493">
        <v>1</v>
      </c>
      <c r="E11" s="502">
        <v>501000000</v>
      </c>
      <c r="F11" s="495">
        <v>501000000</v>
      </c>
      <c r="G11" s="496">
        <v>501000000</v>
      </c>
      <c r="H11" s="496">
        <v>501000000</v>
      </c>
      <c r="I11" s="497">
        <v>1830892000000</v>
      </c>
      <c r="J11" s="497">
        <v>321129000000</v>
      </c>
      <c r="K11" s="497">
        <v>3020611000000</v>
      </c>
    </row>
    <row r="12" spans="2:11">
      <c r="B12" s="491" t="s">
        <v>941</v>
      </c>
      <c r="C12" s="492" t="s">
        <v>385</v>
      </c>
      <c r="D12" s="493">
        <v>1</v>
      </c>
      <c r="E12" s="502">
        <v>501000000</v>
      </c>
      <c r="F12" s="495">
        <v>501000000</v>
      </c>
      <c r="G12" s="496">
        <v>501000000</v>
      </c>
      <c r="H12" s="496">
        <v>501000000</v>
      </c>
      <c r="I12" s="497">
        <v>1830892000000</v>
      </c>
      <c r="J12" s="497">
        <v>321129000000</v>
      </c>
      <c r="K12" s="497">
        <v>3020611000000</v>
      </c>
    </row>
    <row r="13" spans="2:11">
      <c r="B13" s="491" t="s">
        <v>941</v>
      </c>
      <c r="C13" s="492" t="s">
        <v>385</v>
      </c>
      <c r="D13" s="493">
        <v>1</v>
      </c>
      <c r="E13" s="502">
        <v>501000000</v>
      </c>
      <c r="F13" s="495">
        <v>501000000</v>
      </c>
      <c r="G13" s="496">
        <v>501000000</v>
      </c>
      <c r="H13" s="496">
        <v>501000000</v>
      </c>
      <c r="I13" s="497">
        <v>1830892000000</v>
      </c>
      <c r="J13" s="497">
        <v>321129000000</v>
      </c>
      <c r="K13" s="497">
        <v>3020611000000</v>
      </c>
    </row>
    <row r="14" spans="2:11">
      <c r="B14" s="491" t="s">
        <v>941</v>
      </c>
      <c r="C14" s="492" t="s">
        <v>385</v>
      </c>
      <c r="D14" s="493">
        <v>1</v>
      </c>
      <c r="E14" s="502">
        <v>501000000</v>
      </c>
      <c r="F14" s="495">
        <v>501000000</v>
      </c>
      <c r="G14" s="496">
        <v>501000000</v>
      </c>
      <c r="H14" s="496">
        <v>501000000</v>
      </c>
      <c r="I14" s="497">
        <v>1830892000000</v>
      </c>
      <c r="J14" s="497">
        <v>321129000000</v>
      </c>
      <c r="K14" s="497">
        <v>3020611000000</v>
      </c>
    </row>
    <row r="15" spans="2:11">
      <c r="B15" s="491" t="s">
        <v>941</v>
      </c>
      <c r="C15" s="492" t="s">
        <v>385</v>
      </c>
      <c r="D15" s="493">
        <v>1</v>
      </c>
      <c r="E15" s="502">
        <v>501000000</v>
      </c>
      <c r="F15" s="495">
        <v>501000000</v>
      </c>
      <c r="G15" s="496">
        <v>501000000</v>
      </c>
      <c r="H15" s="496">
        <v>501000000</v>
      </c>
      <c r="I15" s="497">
        <v>1830892000000</v>
      </c>
      <c r="J15" s="497">
        <v>321129000000</v>
      </c>
      <c r="K15" s="498">
        <v>3020611000000</v>
      </c>
    </row>
    <row r="16" spans="2:11">
      <c r="B16" s="491" t="s">
        <v>941</v>
      </c>
      <c r="C16" s="492" t="s">
        <v>385</v>
      </c>
      <c r="D16" s="493">
        <v>1</v>
      </c>
      <c r="E16" s="502">
        <v>501000000</v>
      </c>
      <c r="F16" s="495">
        <v>501000000</v>
      </c>
      <c r="G16" s="496">
        <v>501000000</v>
      </c>
      <c r="H16" s="496">
        <v>501000000</v>
      </c>
      <c r="I16" s="497">
        <v>1830892000000</v>
      </c>
      <c r="J16" s="497">
        <v>321129000000</v>
      </c>
      <c r="K16" s="497">
        <v>3020611000000</v>
      </c>
    </row>
    <row r="17" spans="1:11">
      <c r="B17" s="499" t="s">
        <v>941</v>
      </c>
      <c r="C17" s="492" t="s">
        <v>385</v>
      </c>
      <c r="D17" s="493">
        <v>1</v>
      </c>
      <c r="E17" s="502">
        <v>501000000</v>
      </c>
      <c r="F17" s="495">
        <v>501000000</v>
      </c>
      <c r="G17" s="496">
        <v>501000000</v>
      </c>
      <c r="H17" s="496">
        <v>501000000</v>
      </c>
      <c r="I17" s="497">
        <v>1830892000000</v>
      </c>
      <c r="J17" s="497">
        <v>321129000000</v>
      </c>
      <c r="K17" s="497">
        <v>3020611000000</v>
      </c>
    </row>
    <row r="18" spans="1:11">
      <c r="A18" s="221"/>
      <c r="B18" s="499" t="s">
        <v>941</v>
      </c>
      <c r="C18" s="500" t="s">
        <v>385</v>
      </c>
      <c r="D18" s="501">
        <v>1</v>
      </c>
      <c r="E18" s="502">
        <v>501000000</v>
      </c>
      <c r="F18" s="495">
        <v>501000000</v>
      </c>
      <c r="G18" s="496">
        <v>501000000</v>
      </c>
      <c r="H18" s="496">
        <v>501000000</v>
      </c>
      <c r="I18" s="497">
        <v>1830892000000</v>
      </c>
      <c r="J18" s="497">
        <v>321129000000</v>
      </c>
      <c r="K18" s="504">
        <v>3020611000000</v>
      </c>
    </row>
    <row r="19" spans="1:11">
      <c r="B19" s="499" t="s">
        <v>941</v>
      </c>
      <c r="C19" s="492" t="s">
        <v>385</v>
      </c>
      <c r="D19" s="493">
        <v>1</v>
      </c>
      <c r="E19" s="502">
        <v>501000000</v>
      </c>
      <c r="F19" s="495">
        <v>501000000</v>
      </c>
      <c r="G19" s="496">
        <v>501000000</v>
      </c>
      <c r="H19" s="496">
        <v>501000000</v>
      </c>
      <c r="I19" s="497">
        <v>1830892000000</v>
      </c>
      <c r="J19" s="497">
        <v>321129000000</v>
      </c>
      <c r="K19" s="504">
        <v>3020611000000</v>
      </c>
    </row>
    <row r="20" spans="1:11">
      <c r="B20" s="499" t="s">
        <v>941</v>
      </c>
      <c r="C20" s="492" t="s">
        <v>385</v>
      </c>
      <c r="D20" s="493">
        <v>1</v>
      </c>
      <c r="E20" s="502">
        <v>501000000</v>
      </c>
      <c r="F20" s="495">
        <v>501000000</v>
      </c>
      <c r="G20" s="496">
        <v>501000000</v>
      </c>
      <c r="H20" s="496">
        <v>501000000</v>
      </c>
      <c r="I20" s="497">
        <v>1830892000000</v>
      </c>
      <c r="J20" s="497">
        <v>321129000000</v>
      </c>
      <c r="K20" s="497">
        <v>3020611000000</v>
      </c>
    </row>
    <row r="21" spans="1:11">
      <c r="B21" s="499" t="s">
        <v>941</v>
      </c>
      <c r="C21" s="492" t="s">
        <v>385</v>
      </c>
      <c r="D21" s="493">
        <v>1</v>
      </c>
      <c r="E21" s="502">
        <v>501000000</v>
      </c>
      <c r="F21" s="495">
        <v>501000000</v>
      </c>
      <c r="G21" s="496">
        <v>501000000</v>
      </c>
      <c r="H21" s="496">
        <v>501000000</v>
      </c>
      <c r="I21" s="497">
        <v>1830892000000</v>
      </c>
      <c r="J21" s="497">
        <v>321129000000</v>
      </c>
      <c r="K21" s="497">
        <v>3020611000000</v>
      </c>
    </row>
    <row r="22" spans="1:11">
      <c r="B22" s="499" t="s">
        <v>941</v>
      </c>
      <c r="C22" s="492" t="s">
        <v>385</v>
      </c>
      <c r="D22" s="493">
        <v>1</v>
      </c>
      <c r="E22" s="502">
        <v>501000000</v>
      </c>
      <c r="F22" s="495">
        <v>501000000</v>
      </c>
      <c r="G22" s="496">
        <v>501000000</v>
      </c>
      <c r="H22" s="496">
        <v>501000000</v>
      </c>
      <c r="I22" s="497">
        <v>1830892000000</v>
      </c>
      <c r="J22" s="497">
        <v>321129000000</v>
      </c>
      <c r="K22" s="497">
        <v>3020611000000</v>
      </c>
    </row>
    <row r="23" spans="1:11">
      <c r="B23" s="499" t="s">
        <v>941</v>
      </c>
      <c r="C23" s="492" t="s">
        <v>385</v>
      </c>
      <c r="D23" s="493">
        <v>1</v>
      </c>
      <c r="E23" s="502">
        <v>501000000</v>
      </c>
      <c r="F23" s="495">
        <v>501000000</v>
      </c>
      <c r="G23" s="496">
        <v>501000000</v>
      </c>
      <c r="H23" s="496">
        <v>501000000</v>
      </c>
      <c r="I23" s="497">
        <v>1830892000000</v>
      </c>
      <c r="J23" s="497">
        <v>321129000000</v>
      </c>
      <c r="K23" s="497">
        <v>3020611000000</v>
      </c>
    </row>
    <row r="24" spans="1:11">
      <c r="B24" s="499" t="s">
        <v>941</v>
      </c>
      <c r="C24" s="492" t="s">
        <v>385</v>
      </c>
      <c r="D24" s="493">
        <v>1</v>
      </c>
      <c r="E24" s="502">
        <v>501000000</v>
      </c>
      <c r="F24" s="495">
        <v>501000000</v>
      </c>
      <c r="G24" s="496">
        <v>501000000</v>
      </c>
      <c r="H24" s="496">
        <v>501000000</v>
      </c>
      <c r="I24" s="497">
        <v>1830892000000</v>
      </c>
      <c r="J24" s="497">
        <v>321129000000</v>
      </c>
      <c r="K24" s="497">
        <v>3020611000000</v>
      </c>
    </row>
    <row r="25" spans="1:11">
      <c r="B25" s="499" t="s">
        <v>941</v>
      </c>
      <c r="C25" s="492" t="s">
        <v>385</v>
      </c>
      <c r="D25" s="493">
        <v>1</v>
      </c>
      <c r="E25" s="502">
        <v>501000000</v>
      </c>
      <c r="F25" s="495">
        <v>501000000</v>
      </c>
      <c r="G25" s="496">
        <v>501000000</v>
      </c>
      <c r="H25" s="496">
        <v>501000000</v>
      </c>
      <c r="I25" s="497">
        <v>1830892000000</v>
      </c>
      <c r="J25" s="497">
        <v>321129000000</v>
      </c>
      <c r="K25" s="497">
        <v>3020611000000</v>
      </c>
    </row>
    <row r="26" spans="1:11">
      <c r="B26" s="499" t="s">
        <v>941</v>
      </c>
      <c r="C26" s="492" t="s">
        <v>385</v>
      </c>
      <c r="D26" s="493">
        <v>1</v>
      </c>
      <c r="E26" s="502">
        <v>501000000</v>
      </c>
      <c r="F26" s="495">
        <v>501000000</v>
      </c>
      <c r="G26" s="496">
        <v>501000000</v>
      </c>
      <c r="H26" s="496">
        <v>501000000</v>
      </c>
      <c r="I26" s="497">
        <v>1830892000000</v>
      </c>
      <c r="J26" s="497">
        <v>321129000000</v>
      </c>
      <c r="K26" s="497">
        <v>3020611000000</v>
      </c>
    </row>
    <row r="27" spans="1:11">
      <c r="B27" s="499" t="s">
        <v>941</v>
      </c>
      <c r="C27" s="492" t="s">
        <v>385</v>
      </c>
      <c r="D27" s="493">
        <v>1</v>
      </c>
      <c r="E27" s="502">
        <v>501000000</v>
      </c>
      <c r="F27" s="495">
        <v>501000000</v>
      </c>
      <c r="G27" s="496">
        <v>501000000</v>
      </c>
      <c r="H27" s="496">
        <v>501000000</v>
      </c>
      <c r="I27" s="497">
        <v>1830892000000</v>
      </c>
      <c r="J27" s="497">
        <v>321129000000</v>
      </c>
      <c r="K27" s="497">
        <v>3020611000000</v>
      </c>
    </row>
    <row r="28" spans="1:11">
      <c r="B28" s="499" t="s">
        <v>941</v>
      </c>
      <c r="C28" s="492" t="s">
        <v>385</v>
      </c>
      <c r="D28" s="493">
        <v>1</v>
      </c>
      <c r="E28" s="502">
        <v>501000000</v>
      </c>
      <c r="F28" s="495">
        <v>501000000</v>
      </c>
      <c r="G28" s="496">
        <v>501000000</v>
      </c>
      <c r="H28" s="496">
        <v>501000000</v>
      </c>
      <c r="I28" s="497">
        <v>1830892000000</v>
      </c>
      <c r="J28" s="497">
        <v>321129000000</v>
      </c>
      <c r="K28" s="497">
        <v>3020611000000</v>
      </c>
    </row>
    <row r="29" spans="1:11">
      <c r="B29" s="499" t="s">
        <v>941</v>
      </c>
      <c r="C29" s="492" t="s">
        <v>385</v>
      </c>
      <c r="D29" s="493">
        <v>1</v>
      </c>
      <c r="E29" s="502">
        <v>501000000</v>
      </c>
      <c r="F29" s="495">
        <v>501000000</v>
      </c>
      <c r="G29" s="496">
        <v>501000000</v>
      </c>
      <c r="H29" s="496">
        <v>501000000</v>
      </c>
      <c r="I29" s="497">
        <v>1830892000000</v>
      </c>
      <c r="J29" s="497">
        <v>321129000000</v>
      </c>
      <c r="K29" s="497">
        <v>3020611000000</v>
      </c>
    </row>
    <row r="30" spans="1:11">
      <c r="B30" s="499" t="s">
        <v>941</v>
      </c>
      <c r="C30" s="492" t="s">
        <v>385</v>
      </c>
      <c r="D30" s="493">
        <v>1</v>
      </c>
      <c r="E30" s="502">
        <v>501000000</v>
      </c>
      <c r="F30" s="495">
        <v>501000000</v>
      </c>
      <c r="G30" s="496">
        <v>501000000</v>
      </c>
      <c r="H30" s="496">
        <v>501000000</v>
      </c>
      <c r="I30" s="497">
        <v>1830892000000</v>
      </c>
      <c r="J30" s="497">
        <v>321129000000</v>
      </c>
      <c r="K30" s="497">
        <v>3020611000000</v>
      </c>
    </row>
    <row r="31" spans="1:11">
      <c r="B31" s="499" t="s">
        <v>941</v>
      </c>
      <c r="C31" s="492" t="s">
        <v>385</v>
      </c>
      <c r="D31" s="493">
        <v>1</v>
      </c>
      <c r="E31" s="502">
        <v>501000000</v>
      </c>
      <c r="F31" s="495">
        <v>501000000</v>
      </c>
      <c r="G31" s="496">
        <v>501000000</v>
      </c>
      <c r="H31" s="496">
        <v>501000000</v>
      </c>
      <c r="I31" s="497">
        <v>1830892000000</v>
      </c>
      <c r="J31" s="497">
        <v>321129000000</v>
      </c>
      <c r="K31" s="497">
        <v>3020611000000</v>
      </c>
    </row>
    <row r="32" spans="1:11">
      <c r="B32" s="499" t="s">
        <v>941</v>
      </c>
      <c r="C32" s="492" t="s">
        <v>385</v>
      </c>
      <c r="D32" s="493">
        <v>1</v>
      </c>
      <c r="E32" s="502">
        <v>501000000</v>
      </c>
      <c r="F32" s="495">
        <v>501000000</v>
      </c>
      <c r="G32" s="496">
        <v>501000000</v>
      </c>
      <c r="H32" s="496">
        <v>501000000</v>
      </c>
      <c r="I32" s="497">
        <v>1830892000000</v>
      </c>
      <c r="J32" s="497">
        <v>321129000000</v>
      </c>
      <c r="K32" s="497">
        <v>3020611000000</v>
      </c>
    </row>
    <row r="33" spans="2:11">
      <c r="B33" s="499" t="s">
        <v>941</v>
      </c>
      <c r="C33" s="492" t="s">
        <v>385</v>
      </c>
      <c r="D33" s="493">
        <v>1</v>
      </c>
      <c r="E33" s="502">
        <v>501000000</v>
      </c>
      <c r="F33" s="495">
        <v>501000000</v>
      </c>
      <c r="G33" s="496">
        <v>501000000</v>
      </c>
      <c r="H33" s="496">
        <v>501000000</v>
      </c>
      <c r="I33" s="497">
        <v>1830892000000</v>
      </c>
      <c r="J33" s="497">
        <v>321129000000</v>
      </c>
      <c r="K33" s="497">
        <v>3020611000000</v>
      </c>
    </row>
    <row r="34" spans="2:11">
      <c r="B34" s="499" t="s">
        <v>941</v>
      </c>
      <c r="C34" s="492" t="s">
        <v>385</v>
      </c>
      <c r="D34" s="493">
        <v>1</v>
      </c>
      <c r="E34" s="502">
        <v>501000000</v>
      </c>
      <c r="F34" s="495">
        <v>501000000</v>
      </c>
      <c r="G34" s="496">
        <v>501000000</v>
      </c>
      <c r="H34" s="496">
        <v>501000000</v>
      </c>
      <c r="I34" s="497">
        <v>1830892000000</v>
      </c>
      <c r="J34" s="497">
        <v>321129000000</v>
      </c>
      <c r="K34" s="497">
        <v>3020611000000</v>
      </c>
    </row>
    <row r="35" spans="2:11">
      <c r="B35" s="499" t="s">
        <v>941</v>
      </c>
      <c r="C35" s="492" t="s">
        <v>385</v>
      </c>
      <c r="D35" s="493">
        <v>1</v>
      </c>
      <c r="E35" s="502">
        <v>501000000</v>
      </c>
      <c r="F35" s="495">
        <v>501000000</v>
      </c>
      <c r="G35" s="496">
        <v>501000000</v>
      </c>
      <c r="H35" s="496">
        <v>501000000</v>
      </c>
      <c r="I35" s="497">
        <v>1830892000000</v>
      </c>
      <c r="J35" s="497">
        <v>321129000000</v>
      </c>
      <c r="K35" s="497">
        <v>3020611000000</v>
      </c>
    </row>
    <row r="36" spans="2:11">
      <c r="B36" s="499" t="s">
        <v>941</v>
      </c>
      <c r="C36" s="492" t="s">
        <v>385</v>
      </c>
      <c r="D36" s="493">
        <v>1</v>
      </c>
      <c r="E36" s="502">
        <v>501000000</v>
      </c>
      <c r="F36" s="495">
        <v>501000000</v>
      </c>
      <c r="G36" s="496">
        <v>501000000</v>
      </c>
      <c r="H36" s="496">
        <v>501000000</v>
      </c>
      <c r="I36" s="497">
        <v>1830892000000</v>
      </c>
      <c r="J36" s="497">
        <v>321129000000</v>
      </c>
      <c r="K36" s="497">
        <v>3020611000000</v>
      </c>
    </row>
    <row r="37" spans="2:11">
      <c r="B37" s="499" t="s">
        <v>941</v>
      </c>
      <c r="C37" s="492" t="s">
        <v>385</v>
      </c>
      <c r="D37" s="493">
        <v>1</v>
      </c>
      <c r="E37" s="502">
        <v>501000000</v>
      </c>
      <c r="F37" s="495">
        <v>501000000</v>
      </c>
      <c r="G37" s="496">
        <v>501000000</v>
      </c>
      <c r="H37" s="496">
        <v>501000000</v>
      </c>
      <c r="I37" s="497">
        <v>1830892000000</v>
      </c>
      <c r="J37" s="497">
        <v>321129000000</v>
      </c>
      <c r="K37" s="497">
        <v>3020611000000</v>
      </c>
    </row>
    <row r="38" spans="2:11">
      <c r="B38" s="499" t="s">
        <v>941</v>
      </c>
      <c r="C38" s="492" t="s">
        <v>385</v>
      </c>
      <c r="D38" s="493">
        <v>1</v>
      </c>
      <c r="E38" s="502">
        <v>501000000</v>
      </c>
      <c r="F38" s="495">
        <v>501000000</v>
      </c>
      <c r="G38" s="496">
        <v>501000000</v>
      </c>
      <c r="H38" s="496">
        <v>461538461</v>
      </c>
      <c r="I38" s="497">
        <v>1830892000000</v>
      </c>
      <c r="J38" s="497">
        <v>321129000000</v>
      </c>
      <c r="K38" s="497">
        <v>3020611000000</v>
      </c>
    </row>
    <row r="39" spans="2:11">
      <c r="B39" s="499" t="s">
        <v>941</v>
      </c>
      <c r="C39" s="492" t="s">
        <v>385</v>
      </c>
      <c r="D39" s="493">
        <v>1</v>
      </c>
      <c r="E39" s="502">
        <v>501000000</v>
      </c>
      <c r="F39" s="495">
        <v>501000000</v>
      </c>
      <c r="G39" s="496">
        <v>501000000</v>
      </c>
      <c r="H39" s="496">
        <v>461538461</v>
      </c>
      <c r="I39" s="497">
        <v>1830892000000</v>
      </c>
      <c r="J39" s="497">
        <v>321129000000</v>
      </c>
      <c r="K39" s="497">
        <v>3020611000000</v>
      </c>
    </row>
    <row r="40" spans="2:11">
      <c r="B40" s="499" t="s">
        <v>941</v>
      </c>
      <c r="C40" s="492" t="s">
        <v>385</v>
      </c>
      <c r="D40" s="493">
        <v>1</v>
      </c>
      <c r="E40" s="502">
        <v>501000000</v>
      </c>
      <c r="F40" s="495">
        <v>501000000</v>
      </c>
      <c r="G40" s="496">
        <v>501000000</v>
      </c>
      <c r="H40" s="496">
        <v>461538461</v>
      </c>
      <c r="I40" s="497">
        <v>1830892000000</v>
      </c>
      <c r="J40" s="497">
        <v>321129000000</v>
      </c>
      <c r="K40" s="497">
        <v>3020611000000</v>
      </c>
    </row>
    <row r="41" spans="2:11">
      <c r="B41" s="499" t="s">
        <v>941</v>
      </c>
      <c r="C41" s="492" t="s">
        <v>385</v>
      </c>
      <c r="D41" s="493">
        <v>1</v>
      </c>
      <c r="E41" s="502">
        <v>501000000</v>
      </c>
      <c r="F41" s="495">
        <v>501000000</v>
      </c>
      <c r="G41" s="496">
        <v>501000000</v>
      </c>
      <c r="H41" s="496">
        <v>461538461</v>
      </c>
      <c r="I41" s="497">
        <v>1830892000000</v>
      </c>
      <c r="J41" s="497">
        <v>321129000000</v>
      </c>
      <c r="K41" s="497">
        <v>3020611000000</v>
      </c>
    </row>
    <row r="42" spans="2:11">
      <c r="B42" s="499" t="s">
        <v>941</v>
      </c>
      <c r="C42" s="492" t="s">
        <v>385</v>
      </c>
      <c r="D42" s="493">
        <v>1</v>
      </c>
      <c r="E42" s="502">
        <v>501000000</v>
      </c>
      <c r="F42" s="495">
        <v>501000000</v>
      </c>
      <c r="G42" s="496">
        <v>501000000</v>
      </c>
      <c r="H42" s="496">
        <v>461538461</v>
      </c>
      <c r="I42" s="497">
        <v>1830892000000</v>
      </c>
      <c r="J42" s="497">
        <v>321129000000</v>
      </c>
      <c r="K42" s="497">
        <v>3020611000000</v>
      </c>
    </row>
    <row r="43" spans="2:11">
      <c r="B43" s="499" t="s">
        <v>941</v>
      </c>
      <c r="C43" s="492" t="s">
        <v>385</v>
      </c>
      <c r="D43" s="493">
        <v>1</v>
      </c>
      <c r="E43" s="502">
        <v>501000000</v>
      </c>
      <c r="F43" s="495">
        <v>501000000</v>
      </c>
      <c r="G43" s="496">
        <v>501000000</v>
      </c>
      <c r="H43" s="496">
        <v>461538461</v>
      </c>
      <c r="I43" s="497">
        <v>1830892000000</v>
      </c>
      <c r="J43" s="497">
        <v>321129000000</v>
      </c>
      <c r="K43" s="497">
        <v>3020611000000</v>
      </c>
    </row>
    <row r="44" spans="2:11">
      <c r="B44" s="499" t="s">
        <v>941</v>
      </c>
      <c r="C44" s="492" t="s">
        <v>385</v>
      </c>
      <c r="D44" s="493">
        <v>1</v>
      </c>
      <c r="E44" s="502">
        <v>501000000</v>
      </c>
      <c r="F44" s="495">
        <v>501000000</v>
      </c>
      <c r="G44" s="496">
        <v>501000000</v>
      </c>
      <c r="H44" s="496">
        <v>461538461</v>
      </c>
      <c r="I44" s="497">
        <v>1830892000000</v>
      </c>
      <c r="J44" s="497">
        <v>321129000000</v>
      </c>
      <c r="K44" s="497">
        <v>3020611000000</v>
      </c>
    </row>
    <row r="45" spans="2:11">
      <c r="B45" s="499" t="s">
        <v>1029</v>
      </c>
      <c r="C45" s="492" t="s">
        <v>385</v>
      </c>
      <c r="D45" s="493">
        <v>1</v>
      </c>
      <c r="E45" s="502">
        <v>12588866686</v>
      </c>
      <c r="F45" s="495">
        <v>12588866686</v>
      </c>
      <c r="G45" s="496">
        <v>12588866686</v>
      </c>
      <c r="H45" s="496">
        <v>10400961210</v>
      </c>
      <c r="I45" s="497">
        <v>1133000000000</v>
      </c>
      <c r="J45" s="497">
        <v>2309218000000</v>
      </c>
      <c r="K45" s="497">
        <v>4774594000000</v>
      </c>
    </row>
    <row r="46" spans="2:11">
      <c r="B46" s="499" t="s">
        <v>1030</v>
      </c>
      <c r="C46" s="492" t="s">
        <v>385</v>
      </c>
      <c r="D46" s="493">
        <v>1</v>
      </c>
      <c r="E46" s="502">
        <v>1074972000</v>
      </c>
      <c r="F46" s="495">
        <f>+E46</f>
        <v>1074972000</v>
      </c>
      <c r="G46" s="496">
        <f>+F46</f>
        <v>1074972000</v>
      </c>
      <c r="H46" s="496">
        <v>1056115573</v>
      </c>
      <c r="I46" s="497">
        <v>495130000000</v>
      </c>
      <c r="J46" s="497">
        <v>145350000000</v>
      </c>
      <c r="K46" s="497">
        <v>1012588000000</v>
      </c>
    </row>
    <row r="47" spans="2:11">
      <c r="B47" s="499" t="s">
        <v>1001</v>
      </c>
      <c r="C47" s="492" t="s">
        <v>385</v>
      </c>
      <c r="D47" s="493">
        <v>1</v>
      </c>
      <c r="E47" s="502">
        <v>7100000000</v>
      </c>
      <c r="F47" s="495">
        <v>7100000000</v>
      </c>
      <c r="G47" s="496">
        <v>7100000000</v>
      </c>
      <c r="H47" s="496">
        <v>7100000000</v>
      </c>
      <c r="I47" s="497">
        <v>1084665000000</v>
      </c>
      <c r="J47" s="497">
        <v>321129000000</v>
      </c>
      <c r="K47" s="497">
        <v>3020611000000</v>
      </c>
    </row>
    <row r="48" spans="2:11">
      <c r="B48" s="499" t="s">
        <v>941</v>
      </c>
      <c r="C48" s="492" t="s">
        <v>385</v>
      </c>
      <c r="D48" s="493">
        <v>1</v>
      </c>
      <c r="E48" s="502">
        <v>3590406480</v>
      </c>
      <c r="F48" s="495">
        <f>+E48</f>
        <v>3590406480</v>
      </c>
      <c r="G48" s="496">
        <f>+F48</f>
        <v>3590406480</v>
      </c>
      <c r="H48" s="496">
        <v>3361190596.6100001</v>
      </c>
      <c r="I48" s="497">
        <v>1830892000000</v>
      </c>
      <c r="J48" s="497">
        <v>321129000000</v>
      </c>
      <c r="K48" s="497">
        <v>3020611000000</v>
      </c>
    </row>
    <row r="49" spans="1:11">
      <c r="B49" s="499" t="s">
        <v>941</v>
      </c>
      <c r="C49" s="492" t="s">
        <v>385</v>
      </c>
      <c r="D49" s="493">
        <v>1</v>
      </c>
      <c r="E49" s="502">
        <v>3590406480</v>
      </c>
      <c r="F49" s="495">
        <f t="shared" ref="F49:G55" si="0">+E49</f>
        <v>3590406480</v>
      </c>
      <c r="G49" s="496">
        <f t="shared" si="0"/>
        <v>3590406480</v>
      </c>
      <c r="H49" s="496">
        <v>3361190596.6100001</v>
      </c>
      <c r="I49" s="497">
        <v>1830892000000</v>
      </c>
      <c r="J49" s="497">
        <v>321129000000</v>
      </c>
      <c r="K49" s="497">
        <v>3020611000000</v>
      </c>
    </row>
    <row r="50" spans="1:11">
      <c r="B50" s="499" t="s">
        <v>941</v>
      </c>
      <c r="C50" s="492" t="s">
        <v>385</v>
      </c>
      <c r="D50" s="493">
        <v>1</v>
      </c>
      <c r="E50" s="502">
        <v>3590406480</v>
      </c>
      <c r="F50" s="495">
        <f t="shared" si="0"/>
        <v>3590406480</v>
      </c>
      <c r="G50" s="496">
        <f t="shared" si="0"/>
        <v>3590406480</v>
      </c>
      <c r="H50" s="496">
        <v>3361190596.6100001</v>
      </c>
      <c r="I50" s="497">
        <v>1830892000000</v>
      </c>
      <c r="J50" s="497">
        <v>321129000000</v>
      </c>
      <c r="K50" s="497">
        <v>3020611000000</v>
      </c>
    </row>
    <row r="51" spans="1:11">
      <c r="B51" s="499" t="s">
        <v>941</v>
      </c>
      <c r="C51" s="492" t="s">
        <v>385</v>
      </c>
      <c r="D51" s="493">
        <v>1</v>
      </c>
      <c r="E51" s="502">
        <v>3590406480</v>
      </c>
      <c r="F51" s="495">
        <f t="shared" si="0"/>
        <v>3590406480</v>
      </c>
      <c r="G51" s="496">
        <f t="shared" si="0"/>
        <v>3590406480</v>
      </c>
      <c r="H51" s="496">
        <v>3361190596.6100001</v>
      </c>
      <c r="I51" s="497">
        <v>1830892000000</v>
      </c>
      <c r="J51" s="497">
        <v>321129000000</v>
      </c>
      <c r="K51" s="497">
        <v>3020611000000</v>
      </c>
    </row>
    <row r="52" spans="1:11">
      <c r="B52" s="499" t="s">
        <v>941</v>
      </c>
      <c r="C52" s="492" t="s">
        <v>385</v>
      </c>
      <c r="D52" s="493">
        <v>1</v>
      </c>
      <c r="E52" s="502">
        <v>3590406480</v>
      </c>
      <c r="F52" s="495">
        <f t="shared" si="0"/>
        <v>3590406480</v>
      </c>
      <c r="G52" s="496">
        <f t="shared" si="0"/>
        <v>3590406480</v>
      </c>
      <c r="H52" s="496">
        <v>3361190596.6100001</v>
      </c>
      <c r="I52" s="497">
        <v>1830892000000</v>
      </c>
      <c r="J52" s="497">
        <v>321129000000</v>
      </c>
      <c r="K52" s="497">
        <v>3020611000000</v>
      </c>
    </row>
    <row r="53" spans="1:11">
      <c r="B53" s="499" t="s">
        <v>941</v>
      </c>
      <c r="C53" s="492" t="s">
        <v>385</v>
      </c>
      <c r="D53" s="493">
        <v>1</v>
      </c>
      <c r="E53" s="502">
        <v>3590406480</v>
      </c>
      <c r="F53" s="495">
        <f t="shared" si="0"/>
        <v>3590406480</v>
      </c>
      <c r="G53" s="496">
        <f t="shared" si="0"/>
        <v>3590406480</v>
      </c>
      <c r="H53" s="496">
        <v>3361190596.6100001</v>
      </c>
      <c r="I53" s="497">
        <v>1830892000000</v>
      </c>
      <c r="J53" s="497">
        <v>321129000000</v>
      </c>
      <c r="K53" s="497">
        <v>3020611000000</v>
      </c>
    </row>
    <row r="54" spans="1:11">
      <c r="B54" s="499" t="s">
        <v>941</v>
      </c>
      <c r="C54" s="492" t="s">
        <v>385</v>
      </c>
      <c r="D54" s="493">
        <v>1</v>
      </c>
      <c r="E54" s="502">
        <v>3590406480</v>
      </c>
      <c r="F54" s="495">
        <f t="shared" si="0"/>
        <v>3590406480</v>
      </c>
      <c r="G54" s="496">
        <f t="shared" si="0"/>
        <v>3590406480</v>
      </c>
      <c r="H54" s="496">
        <v>3361190596.6100001</v>
      </c>
      <c r="I54" s="497">
        <v>1830892000000</v>
      </c>
      <c r="J54" s="497">
        <v>321129000000</v>
      </c>
      <c r="K54" s="497">
        <v>3020611000000</v>
      </c>
    </row>
    <row r="55" spans="1:11">
      <c r="B55" s="499" t="s">
        <v>941</v>
      </c>
      <c r="C55" s="492" t="s">
        <v>385</v>
      </c>
      <c r="D55" s="493">
        <v>1</v>
      </c>
      <c r="E55" s="502">
        <v>3590406480</v>
      </c>
      <c r="F55" s="495">
        <f t="shared" si="0"/>
        <v>3590406480</v>
      </c>
      <c r="G55" s="496">
        <f t="shared" si="0"/>
        <v>3590406480</v>
      </c>
      <c r="H55" s="496">
        <v>3361190596.6100001</v>
      </c>
      <c r="I55" s="497">
        <v>1830892000000</v>
      </c>
      <c r="J55" s="497">
        <v>321129000000</v>
      </c>
      <c r="K55" s="497">
        <v>3020611000000</v>
      </c>
    </row>
    <row r="56" spans="1:11">
      <c r="B56" s="499" t="s">
        <v>1031</v>
      </c>
      <c r="C56" s="492" t="s">
        <v>385</v>
      </c>
      <c r="D56" s="493">
        <v>1</v>
      </c>
      <c r="E56" s="502">
        <v>358324000</v>
      </c>
      <c r="F56" s="495">
        <f>+E56</f>
        <v>358324000</v>
      </c>
      <c r="G56" s="496">
        <f>+F56</f>
        <v>358324000</v>
      </c>
      <c r="H56" s="496">
        <v>278760399.65999997</v>
      </c>
      <c r="I56" s="497">
        <v>395295000000</v>
      </c>
      <c r="J56" s="497">
        <v>39358000000</v>
      </c>
      <c r="K56" s="497">
        <v>492061000000</v>
      </c>
    </row>
    <row r="57" spans="1:11">
      <c r="B57" s="499" t="s">
        <v>1031</v>
      </c>
      <c r="C57" s="492" t="s">
        <v>385</v>
      </c>
      <c r="D57" s="493">
        <v>1</v>
      </c>
      <c r="E57" s="502">
        <v>358324000</v>
      </c>
      <c r="F57" s="495">
        <f>+E57</f>
        <v>358324000</v>
      </c>
      <c r="G57" s="496">
        <f>+F57</f>
        <v>358324000</v>
      </c>
      <c r="H57" s="496">
        <v>278760399.65999997</v>
      </c>
      <c r="I57" s="497">
        <v>395295000000</v>
      </c>
      <c r="J57" s="497">
        <v>39358000000</v>
      </c>
      <c r="K57" s="497">
        <v>492061000000</v>
      </c>
    </row>
    <row r="58" spans="1:11">
      <c r="B58" s="499"/>
      <c r="C58" s="492"/>
      <c r="D58" s="493"/>
      <c r="E58" s="494"/>
      <c r="F58" s="495"/>
      <c r="G58" s="496"/>
      <c r="H58" s="496"/>
      <c r="I58" s="497"/>
      <c r="J58" s="497"/>
      <c r="K58" s="497"/>
    </row>
    <row r="59" spans="1:11">
      <c r="A59" s="221"/>
      <c r="B59" s="499" t="s">
        <v>901</v>
      </c>
      <c r="C59" s="500"/>
      <c r="D59" s="501"/>
      <c r="E59" s="502"/>
      <c r="F59" s="505">
        <v>1631348872</v>
      </c>
      <c r="G59" s="505">
        <v>0</v>
      </c>
      <c r="H59" s="496"/>
      <c r="I59" s="497"/>
      <c r="J59" s="497"/>
      <c r="K59" s="497"/>
    </row>
    <row r="60" spans="1:11" ht="16" thickBot="1">
      <c r="B60" s="859" t="s">
        <v>622</v>
      </c>
      <c r="C60" s="860"/>
      <c r="D60" s="860"/>
      <c r="E60" s="860"/>
      <c r="F60" s="860"/>
      <c r="G60" s="860"/>
      <c r="H60" s="860"/>
      <c r="I60" s="860"/>
      <c r="J60" s="860"/>
      <c r="K60" s="861"/>
    </row>
    <row r="61" spans="1:11" ht="17" thickBot="1">
      <c r="B61" s="481"/>
      <c r="C61" s="482" t="s">
        <v>375</v>
      </c>
      <c r="D61" s="483" t="s">
        <v>376</v>
      </c>
      <c r="E61" s="483" t="s">
        <v>377</v>
      </c>
      <c r="F61" s="483" t="s">
        <v>377</v>
      </c>
      <c r="G61" s="485" t="s">
        <v>631</v>
      </c>
      <c r="H61" s="485" t="s">
        <v>632</v>
      </c>
      <c r="I61" s="483" t="s">
        <v>249</v>
      </c>
      <c r="J61" s="483" t="s">
        <v>378</v>
      </c>
      <c r="K61" s="483" t="s">
        <v>379</v>
      </c>
    </row>
    <row r="62" spans="1:11">
      <c r="B62" s="486" t="s">
        <v>380</v>
      </c>
      <c r="C62" s="487" t="s">
        <v>381</v>
      </c>
      <c r="D62" s="488" t="s">
        <v>382</v>
      </c>
      <c r="E62" s="488" t="s">
        <v>383</v>
      </c>
      <c r="F62" s="488" t="s">
        <v>384</v>
      </c>
      <c r="G62" s="488" t="s">
        <v>400</v>
      </c>
      <c r="H62" s="488" t="s">
        <v>633</v>
      </c>
      <c r="I62" s="497"/>
      <c r="J62" s="497"/>
      <c r="K62" s="497"/>
    </row>
    <row r="63" spans="1:11">
      <c r="B63" s="490" t="s">
        <v>388</v>
      </c>
      <c r="C63" s="487"/>
      <c r="D63" s="488">
        <f>SUM(D64:D67)</f>
        <v>11850</v>
      </c>
      <c r="E63" s="488">
        <f>SUM(E64:E67)</f>
        <v>195400000</v>
      </c>
      <c r="F63" s="488">
        <f>SUM(F64:F67)</f>
        <v>195400000</v>
      </c>
      <c r="G63" s="483"/>
      <c r="H63" s="488"/>
      <c r="I63" s="483"/>
      <c r="J63" s="483"/>
      <c r="K63" s="483"/>
    </row>
    <row r="64" spans="1:11">
      <c r="B64" s="499" t="s">
        <v>902</v>
      </c>
      <c r="C64" s="492" t="s">
        <v>508</v>
      </c>
      <c r="D64" s="493">
        <v>897</v>
      </c>
      <c r="E64" s="506">
        <v>89700000</v>
      </c>
      <c r="F64" s="506">
        <v>89700000</v>
      </c>
      <c r="G64" s="498">
        <v>100000</v>
      </c>
      <c r="H64" s="498">
        <v>89700000</v>
      </c>
      <c r="I64" s="498">
        <v>0</v>
      </c>
      <c r="J64" s="498">
        <v>0</v>
      </c>
      <c r="K64" s="498">
        <v>0</v>
      </c>
    </row>
    <row r="65" spans="1:11">
      <c r="B65" s="499" t="s">
        <v>902</v>
      </c>
      <c r="C65" s="492" t="s">
        <v>508</v>
      </c>
      <c r="D65" s="493">
        <v>853</v>
      </c>
      <c r="E65" s="506">
        <v>85300000</v>
      </c>
      <c r="F65" s="506">
        <v>85300000</v>
      </c>
      <c r="G65" s="498">
        <v>100000</v>
      </c>
      <c r="H65" s="498">
        <v>85300000</v>
      </c>
      <c r="I65" s="483">
        <v>0</v>
      </c>
      <c r="J65" s="483">
        <v>0</v>
      </c>
      <c r="K65" s="483">
        <v>0</v>
      </c>
    </row>
    <row r="66" spans="1:11">
      <c r="B66" s="499" t="s">
        <v>903</v>
      </c>
      <c r="C66" s="492" t="s">
        <v>508</v>
      </c>
      <c r="D66" s="493">
        <v>10000</v>
      </c>
      <c r="E66" s="506">
        <v>10000000</v>
      </c>
      <c r="F66" s="506">
        <v>10000000</v>
      </c>
      <c r="G66" s="498">
        <v>1000</v>
      </c>
      <c r="H66" s="498">
        <v>10000000</v>
      </c>
      <c r="I66" s="497">
        <v>0</v>
      </c>
      <c r="J66" s="498">
        <v>0</v>
      </c>
      <c r="K66" s="497">
        <v>0</v>
      </c>
    </row>
    <row r="67" spans="1:11">
      <c r="B67" s="499" t="s">
        <v>1002</v>
      </c>
      <c r="C67" s="492" t="s">
        <v>508</v>
      </c>
      <c r="D67" s="493">
        <v>100</v>
      </c>
      <c r="E67" s="506">
        <v>10400000</v>
      </c>
      <c r="F67" s="506">
        <f>+E67</f>
        <v>10400000</v>
      </c>
      <c r="G67" s="498">
        <v>1000000</v>
      </c>
      <c r="H67" s="498">
        <v>10400000</v>
      </c>
      <c r="I67" s="497">
        <v>558020000000</v>
      </c>
      <c r="J67" s="498">
        <v>45235000000</v>
      </c>
      <c r="K67" s="497">
        <v>848525000000</v>
      </c>
    </row>
    <row r="68" spans="1:11" s="139" customFormat="1">
      <c r="A68" s="507"/>
      <c r="B68" s="508" t="s">
        <v>926</v>
      </c>
      <c r="C68" s="509"/>
      <c r="D68" s="510">
        <f>+D63+D9</f>
        <v>11901</v>
      </c>
      <c r="E68" s="510">
        <f>+E63+E9</f>
        <v>67461804446</v>
      </c>
      <c r="F68" s="510">
        <f>+F63+F9</f>
        <v>69093153318</v>
      </c>
      <c r="G68" s="510">
        <f>+G63+G9</f>
        <v>0</v>
      </c>
      <c r="H68" s="510">
        <f>+H63+H9</f>
        <v>62785105154.56501</v>
      </c>
      <c r="I68" s="511"/>
      <c r="J68" s="511"/>
      <c r="K68" s="511"/>
    </row>
    <row r="69" spans="1:11">
      <c r="A69" s="221"/>
      <c r="B69" s="499"/>
      <c r="C69" s="500"/>
      <c r="D69" s="501"/>
      <c r="E69" s="502"/>
      <c r="F69" s="505"/>
      <c r="G69" s="503"/>
      <c r="H69" s="503"/>
      <c r="I69" s="504"/>
      <c r="J69" s="504"/>
      <c r="K69" s="504"/>
    </row>
    <row r="70" spans="1:11">
      <c r="B70" s="490" t="s">
        <v>389</v>
      </c>
      <c r="C70" s="487" t="s">
        <v>508</v>
      </c>
      <c r="D70" s="488">
        <f>SUM(D71:D77)</f>
        <v>480962</v>
      </c>
      <c r="E70" s="488">
        <f>SUM(E71:E77)</f>
        <v>60262500000</v>
      </c>
      <c r="F70" s="488">
        <f>SUM(F71:F77)</f>
        <v>61112951703</v>
      </c>
      <c r="G70" s="498"/>
      <c r="H70" s="483"/>
      <c r="I70" s="512"/>
      <c r="J70" s="512"/>
      <c r="K70" s="512"/>
    </row>
    <row r="71" spans="1:11">
      <c r="B71" s="499" t="s">
        <v>623</v>
      </c>
      <c r="C71" s="492" t="s">
        <v>508</v>
      </c>
      <c r="D71" s="493">
        <v>699</v>
      </c>
      <c r="E71" s="497">
        <f>1000000*D71</f>
        <v>699000000</v>
      </c>
      <c r="F71" s="497">
        <f>+E71</f>
        <v>699000000</v>
      </c>
      <c r="G71" s="498">
        <f t="shared" ref="G71:G76" si="1">+E71/D71</f>
        <v>1000000</v>
      </c>
      <c r="H71" s="498" t="s">
        <v>669</v>
      </c>
      <c r="I71" s="513">
        <v>500000000</v>
      </c>
      <c r="J71" s="513">
        <v>-254196815</v>
      </c>
      <c r="K71" s="513">
        <v>245803185</v>
      </c>
    </row>
    <row r="72" spans="1:11">
      <c r="B72" s="499" t="s">
        <v>624</v>
      </c>
      <c r="C72" s="492" t="s">
        <v>508</v>
      </c>
      <c r="D72" s="493">
        <f>+E72/1000000</f>
        <v>4080</v>
      </c>
      <c r="E72" s="497">
        <f>+'[7]INVERSIONES PERMANENTES'!$D$7</f>
        <v>4080000000</v>
      </c>
      <c r="F72" s="497">
        <f>+E72+47451703</f>
        <v>4127451703</v>
      </c>
      <c r="G72" s="498">
        <f t="shared" si="1"/>
        <v>1000000</v>
      </c>
      <c r="H72" s="498" t="s">
        <v>669</v>
      </c>
      <c r="I72" s="513">
        <v>6141817146</v>
      </c>
      <c r="J72" s="513">
        <f>461723934+2120830002</f>
        <v>2582553936</v>
      </c>
      <c r="K72" s="513">
        <v>9081080470</v>
      </c>
    </row>
    <row r="73" spans="1:11">
      <c r="B73" s="499" t="s">
        <v>625</v>
      </c>
      <c r="C73" s="492" t="s">
        <v>508</v>
      </c>
      <c r="D73" s="493">
        <v>3467</v>
      </c>
      <c r="E73" s="497">
        <f>1000000*D73</f>
        <v>3467000000</v>
      </c>
      <c r="F73" s="497">
        <f t="shared" ref="F73:F77" si="2">+E73</f>
        <v>3467000000</v>
      </c>
      <c r="G73" s="498">
        <f t="shared" si="1"/>
        <v>1000000</v>
      </c>
      <c r="H73" s="498" t="s">
        <v>669</v>
      </c>
      <c r="I73" s="513">
        <v>5406000000</v>
      </c>
      <c r="J73" s="513">
        <v>1773284855</v>
      </c>
      <c r="K73" s="513">
        <v>7296621679</v>
      </c>
    </row>
    <row r="74" spans="1:11">
      <c r="B74" s="499" t="s">
        <v>626</v>
      </c>
      <c r="C74" s="492" t="s">
        <v>508</v>
      </c>
      <c r="D74" s="493">
        <v>1050</v>
      </c>
      <c r="E74" s="514">
        <f>1000000*D74</f>
        <v>1050000000</v>
      </c>
      <c r="F74" s="497">
        <f t="shared" si="2"/>
        <v>1050000000</v>
      </c>
      <c r="G74" s="498">
        <f t="shared" si="1"/>
        <v>1000000</v>
      </c>
      <c r="H74" s="498" t="s">
        <v>669</v>
      </c>
      <c r="I74" s="513">
        <v>1500000000</v>
      </c>
      <c r="J74" s="513">
        <v>966416514</v>
      </c>
      <c r="K74" s="513">
        <v>2568057985</v>
      </c>
    </row>
    <row r="75" spans="1:11">
      <c r="B75" s="499" t="s">
        <v>904</v>
      </c>
      <c r="C75" s="492" t="s">
        <v>508</v>
      </c>
      <c r="D75" s="493">
        <f>+E75/100000</f>
        <v>467665</v>
      </c>
      <c r="E75" s="514">
        <v>46766500000</v>
      </c>
      <c r="F75" s="497">
        <f t="shared" si="2"/>
        <v>46766500000</v>
      </c>
      <c r="G75" s="498">
        <f>+E75/D75</f>
        <v>100000</v>
      </c>
      <c r="H75" s="498" t="s">
        <v>669</v>
      </c>
      <c r="I75" s="513">
        <v>46955000000</v>
      </c>
      <c r="J75" s="513">
        <v>877688866</v>
      </c>
      <c r="K75" s="513">
        <v>47919924073</v>
      </c>
    </row>
    <row r="76" spans="1:11">
      <c r="B76" s="499" t="s">
        <v>627</v>
      </c>
      <c r="C76" s="492" t="s">
        <v>620</v>
      </c>
      <c r="D76" s="493">
        <v>1</v>
      </c>
      <c r="E76" s="514">
        <v>200000000</v>
      </c>
      <c r="F76" s="497">
        <v>1003000000</v>
      </c>
      <c r="G76" s="498">
        <f t="shared" si="1"/>
        <v>200000000</v>
      </c>
      <c r="H76" s="498" t="s">
        <v>669</v>
      </c>
      <c r="I76" s="515">
        <v>8800000000</v>
      </c>
      <c r="J76" s="515">
        <v>10671560278</v>
      </c>
      <c r="K76" s="515">
        <v>22528059291</v>
      </c>
    </row>
    <row r="77" spans="1:11" ht="16" thickBot="1">
      <c r="B77" s="499" t="s">
        <v>855</v>
      </c>
      <c r="C77" s="492" t="s">
        <v>508</v>
      </c>
      <c r="D77" s="493">
        <f>+E77/1000000</f>
        <v>4000</v>
      </c>
      <c r="E77" s="514">
        <v>4000000000</v>
      </c>
      <c r="F77" s="497">
        <f t="shared" si="2"/>
        <v>4000000000</v>
      </c>
      <c r="G77" s="498">
        <f>+E77/D77</f>
        <v>1000000</v>
      </c>
      <c r="H77" s="498" t="s">
        <v>669</v>
      </c>
      <c r="I77" s="498" t="s">
        <v>669</v>
      </c>
      <c r="J77" s="498" t="s">
        <v>669</v>
      </c>
      <c r="K77" s="498" t="s">
        <v>669</v>
      </c>
    </row>
    <row r="78" spans="1:11" ht="16" thickBot="1">
      <c r="B78" s="516" t="s">
        <v>1027</v>
      </c>
      <c r="C78" s="517"/>
      <c r="D78" s="510">
        <f>+D68+D70</f>
        <v>492863</v>
      </c>
      <c r="E78" s="510">
        <f t="shared" ref="E78:G78" si="3">+E68+E70</f>
        <v>127724304446</v>
      </c>
      <c r="F78" s="510">
        <f t="shared" si="3"/>
        <v>130206105021</v>
      </c>
      <c r="G78" s="510">
        <f t="shared" si="3"/>
        <v>0</v>
      </c>
      <c r="H78" s="518"/>
      <c r="I78" s="518"/>
      <c r="J78" s="518"/>
      <c r="K78" s="518"/>
    </row>
    <row r="79" spans="1:11" ht="16" thickBot="1">
      <c r="B79" s="516" t="s">
        <v>951</v>
      </c>
      <c r="C79" s="519"/>
      <c r="D79" s="520">
        <v>537078</v>
      </c>
      <c r="E79" s="521">
        <v>181506498956.70502</v>
      </c>
      <c r="F79" s="522">
        <v>190689129582.70502</v>
      </c>
      <c r="G79" s="523"/>
      <c r="H79" s="518"/>
      <c r="I79" s="518"/>
      <c r="J79" s="524"/>
      <c r="K79" s="524"/>
    </row>
    <row r="80" spans="1:11">
      <c r="B80" s="525"/>
      <c r="C80" s="526"/>
      <c r="D80" s="527"/>
      <c r="E80" s="528"/>
      <c r="F80" s="528"/>
      <c r="G80" s="528"/>
      <c r="H80" s="518"/>
      <c r="I80" s="518"/>
      <c r="J80" s="524"/>
      <c r="K80" s="524"/>
    </row>
    <row r="81" spans="2:11">
      <c r="B81" s="322"/>
      <c r="C81" s="336"/>
      <c r="D81" s="529"/>
      <c r="E81" s="528"/>
      <c r="F81" s="528"/>
      <c r="G81" s="529"/>
      <c r="H81" s="518"/>
      <c r="I81" s="518"/>
      <c r="J81" s="529"/>
      <c r="K81" s="529"/>
    </row>
    <row r="82" spans="2:11" ht="16" thickBot="1">
      <c r="D82" s="479"/>
      <c r="E82" s="479"/>
      <c r="F82" s="479"/>
      <c r="G82" s="479"/>
      <c r="H82" s="518"/>
      <c r="I82" s="518"/>
      <c r="J82" s="479"/>
      <c r="K82" s="479"/>
    </row>
    <row r="83" spans="2:11" ht="16" thickBot="1">
      <c r="B83" s="849" t="s">
        <v>627</v>
      </c>
      <c r="C83" s="850"/>
      <c r="D83" s="851"/>
      <c r="E83" s="479"/>
      <c r="F83" s="479"/>
      <c r="G83" s="479"/>
      <c r="H83" s="479"/>
      <c r="I83" s="479"/>
      <c r="J83" s="479"/>
      <c r="K83" s="479"/>
    </row>
    <row r="84" spans="2:11" ht="17" thickBot="1">
      <c r="B84" s="530" t="s">
        <v>386</v>
      </c>
      <c r="C84" s="531" t="s">
        <v>387</v>
      </c>
      <c r="D84" s="532" t="s">
        <v>621</v>
      </c>
      <c r="E84" s="533"/>
      <c r="F84" s="479"/>
      <c r="G84" s="479"/>
      <c r="H84" s="479"/>
      <c r="I84" s="479"/>
      <c r="J84" s="479"/>
      <c r="K84" s="479"/>
    </row>
    <row r="85" spans="2:11">
      <c r="B85" s="534">
        <v>1</v>
      </c>
      <c r="C85" s="535">
        <f>+E76</f>
        <v>200000000</v>
      </c>
      <c r="D85" s="536">
        <f>+F76</f>
        <v>1003000000</v>
      </c>
      <c r="E85" s="537"/>
      <c r="F85" s="479"/>
      <c r="G85" s="479"/>
      <c r="H85" s="479"/>
      <c r="I85" s="479"/>
      <c r="J85" s="479"/>
      <c r="K85" s="479"/>
    </row>
    <row r="86" spans="2:11">
      <c r="B86" s="538" t="str">
        <f>+B78</f>
        <v>Total al 31/03/2023</v>
      </c>
      <c r="C86" s="539">
        <f>+C85</f>
        <v>200000000</v>
      </c>
      <c r="D86" s="539">
        <f>+D85</f>
        <v>1003000000</v>
      </c>
      <c r="E86" s="479"/>
      <c r="F86" s="479"/>
      <c r="G86" s="479"/>
      <c r="H86" s="479"/>
      <c r="I86" s="479"/>
      <c r="J86" s="479"/>
      <c r="K86" s="479"/>
    </row>
    <row r="87" spans="2:11">
      <c r="B87" s="540" t="s">
        <v>951</v>
      </c>
      <c r="C87" s="541">
        <v>200000000</v>
      </c>
      <c r="D87" s="542">
        <v>1002000000</v>
      </c>
      <c r="E87" s="479"/>
      <c r="F87" s="479"/>
      <c r="G87" s="479"/>
      <c r="H87" s="479"/>
      <c r="I87" s="479"/>
      <c r="J87" s="479"/>
      <c r="K87" s="479"/>
    </row>
    <row r="88" spans="2:11">
      <c r="D88" s="479"/>
      <c r="E88" s="479"/>
      <c r="F88" s="479"/>
      <c r="G88" s="479"/>
      <c r="H88" s="479"/>
      <c r="I88" s="479"/>
      <c r="J88" s="479"/>
      <c r="K88" s="479"/>
    </row>
  </sheetData>
  <autoFilter ref="B8:K68" xr:uid="{00000000-0001-0000-0A00-000000000000}"/>
  <mergeCells count="6">
    <mergeCell ref="B83:D83"/>
    <mergeCell ref="B3:K3"/>
    <mergeCell ref="B5:F5"/>
    <mergeCell ref="G5:K5"/>
    <mergeCell ref="B6:K6"/>
    <mergeCell ref="B60:K60"/>
  </mergeCells>
  <hyperlinks>
    <hyperlink ref="B4" location="'Balance Gral. Resol. 30'!A1" display="'Balance Gral. Resol. 30'!A1" xr:uid="{00000000-0004-0000-0A00-000000000000}"/>
  </hyperlink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rgb="FF002060"/>
  </sheetPr>
  <dimension ref="B1:H60"/>
  <sheetViews>
    <sheetView showGridLines="0" topLeftCell="A5" zoomScale="130" zoomScaleNormal="130" workbookViewId="0">
      <selection activeCell="B18" sqref="B18:D18"/>
    </sheetView>
  </sheetViews>
  <sheetFormatPr baseColWidth="10" defaultColWidth="67.5" defaultRowHeight="15"/>
  <cols>
    <col min="1" max="1" width="5.33203125" customWidth="1"/>
    <col min="2" max="2" width="44" customWidth="1"/>
    <col min="3" max="3" width="17.6640625" style="464" bestFit="1" customWidth="1"/>
    <col min="4" max="4" width="21.5" style="464" bestFit="1" customWidth="1"/>
    <col min="5" max="5" width="10.83203125" bestFit="1" customWidth="1"/>
    <col min="6" max="6" width="13.6640625" hidden="1" customWidth="1"/>
    <col min="7" max="7" width="18.5" customWidth="1"/>
    <col min="8" max="8" width="14.5" customWidth="1"/>
  </cols>
  <sheetData>
    <row r="1" spans="2:8" ht="31.25" customHeight="1"/>
    <row r="3" spans="2:8">
      <c r="B3" s="862" t="s">
        <v>636</v>
      </c>
      <c r="C3" s="862"/>
      <c r="D3" s="862"/>
    </row>
    <row r="4" spans="2:8">
      <c r="B4" s="355"/>
    </row>
    <row r="5" spans="2:8" ht="45.75" customHeight="1">
      <c r="B5" s="866" t="s">
        <v>905</v>
      </c>
      <c r="C5" s="866"/>
      <c r="D5" s="866"/>
    </row>
    <row r="7" spans="2:8">
      <c r="B7" s="465" t="s">
        <v>637</v>
      </c>
      <c r="D7" s="348"/>
    </row>
    <row r="8" spans="2:8">
      <c r="B8" s="867" t="s">
        <v>390</v>
      </c>
      <c r="C8" s="867"/>
      <c r="D8" s="867"/>
    </row>
    <row r="9" spans="2:8">
      <c r="B9" s="863" t="s">
        <v>391</v>
      </c>
      <c r="C9" s="864"/>
      <c r="D9" s="865"/>
    </row>
    <row r="10" spans="2:8" ht="16">
      <c r="B10" s="325" t="s">
        <v>337</v>
      </c>
      <c r="C10" s="466" t="s">
        <v>392</v>
      </c>
      <c r="D10" s="466" t="s">
        <v>393</v>
      </c>
      <c r="E10" s="467"/>
      <c r="F10" s="467"/>
      <c r="G10" s="467"/>
      <c r="H10" s="467"/>
    </row>
    <row r="11" spans="2:8">
      <c r="B11" s="468" t="s">
        <v>856</v>
      </c>
      <c r="C11" s="319">
        <f>'[4]EEFF '!$B$45</f>
        <v>11170667151</v>
      </c>
      <c r="D11" s="319">
        <v>0</v>
      </c>
    </row>
    <row r="12" spans="2:8">
      <c r="B12" s="468" t="s">
        <v>857</v>
      </c>
      <c r="C12" s="319">
        <f>'[4]EEFF '!$B$46</f>
        <v>67260281</v>
      </c>
      <c r="D12" s="319">
        <v>0</v>
      </c>
    </row>
    <row r="13" spans="2:8">
      <c r="B13" s="468" t="s">
        <v>858</v>
      </c>
      <c r="C13" s="319">
        <v>0</v>
      </c>
      <c r="D13" s="319">
        <v>0</v>
      </c>
    </row>
    <row r="14" spans="2:8">
      <c r="B14" s="468" t="s">
        <v>1037</v>
      </c>
      <c r="C14" s="319">
        <v>4283336909</v>
      </c>
      <c r="D14" s="319"/>
    </row>
    <row r="15" spans="2:8">
      <c r="B15" s="333" t="s">
        <v>1027</v>
      </c>
      <c r="C15" s="469">
        <f>SUM(C11:C14)</f>
        <v>15521264341</v>
      </c>
      <c r="D15" s="469">
        <f>SUM(D11:D13)</f>
        <v>0</v>
      </c>
      <c r="E15" s="470"/>
      <c r="F15" s="363"/>
    </row>
    <row r="16" spans="2:8">
      <c r="B16" s="333" t="s">
        <v>951</v>
      </c>
      <c r="C16" s="469">
        <f>'Balance Gral. Resol. 30'!E24</f>
        <v>5812238997</v>
      </c>
      <c r="D16" s="469">
        <v>0</v>
      </c>
    </row>
    <row r="17" spans="2:7">
      <c r="B17" s="471"/>
      <c r="C17" s="464">
        <f>'Balance Gral. Resol. 30'!D24-C15</f>
        <v>0</v>
      </c>
      <c r="D17" s="472">
        <f>+'Balance Gral. Resol. 30'!D52-'NOTA F - CREDITOS'!D15</f>
        <v>0</v>
      </c>
      <c r="F17" s="363"/>
    </row>
    <row r="18" spans="2:7">
      <c r="B18" s="863" t="s">
        <v>634</v>
      </c>
      <c r="C18" s="864"/>
      <c r="D18" s="865"/>
    </row>
    <row r="19" spans="2:7">
      <c r="B19" s="863" t="s">
        <v>391</v>
      </c>
      <c r="C19" s="864"/>
      <c r="D19" s="865"/>
    </row>
    <row r="20" spans="2:7" ht="16">
      <c r="B20" s="325" t="s">
        <v>337</v>
      </c>
      <c r="C20" s="466" t="s">
        <v>392</v>
      </c>
      <c r="D20" s="466" t="s">
        <v>393</v>
      </c>
    </row>
    <row r="21" spans="2:7">
      <c r="B21" s="468" t="s">
        <v>859</v>
      </c>
      <c r="C21" s="319">
        <f>'[4]EEFF '!$B$51</f>
        <v>2056310212</v>
      </c>
      <c r="D21" s="319">
        <v>0</v>
      </c>
      <c r="E21" s="363"/>
    </row>
    <row r="22" spans="2:7">
      <c r="B22" s="468" t="s">
        <v>860</v>
      </c>
      <c r="C22" s="319">
        <v>0</v>
      </c>
      <c r="D22" s="319">
        <v>0</v>
      </c>
      <c r="E22" s="363"/>
    </row>
    <row r="23" spans="2:7">
      <c r="B23" s="468" t="s">
        <v>861</v>
      </c>
      <c r="C23" s="319">
        <f>'[4]EEFF '!$B$52</f>
        <v>295062098</v>
      </c>
      <c r="D23" s="319">
        <v>0</v>
      </c>
      <c r="E23" s="363"/>
    </row>
    <row r="24" spans="2:7">
      <c r="B24" s="468" t="s">
        <v>862</v>
      </c>
      <c r="C24" s="319">
        <v>0</v>
      </c>
      <c r="D24" s="319">
        <v>0</v>
      </c>
      <c r="E24" s="363"/>
    </row>
    <row r="25" spans="2:7">
      <c r="B25" s="468" t="s">
        <v>1003</v>
      </c>
      <c r="C25" s="319">
        <f>'[4]EEFF '!$B$54</f>
        <v>8509999</v>
      </c>
      <c r="D25" s="319">
        <v>0</v>
      </c>
    </row>
    <row r="26" spans="2:7">
      <c r="B26" s="468" t="s">
        <v>863</v>
      </c>
      <c r="C26" s="319">
        <f>'[4]EEFF '!$B$55</f>
        <v>165703895</v>
      </c>
      <c r="D26" s="319"/>
    </row>
    <row r="27" spans="2:7">
      <c r="B27" s="333" t="str">
        <f>+B15</f>
        <v>Total al 31/03/2023</v>
      </c>
      <c r="C27" s="469">
        <f>SUM(C21:C26)</f>
        <v>2525586204</v>
      </c>
      <c r="D27" s="469">
        <f>SUM(D21:D26)</f>
        <v>0</v>
      </c>
      <c r="G27" s="473"/>
    </row>
    <row r="28" spans="2:7">
      <c r="B28" s="333" t="str">
        <f>+B16</f>
        <v>Total al 31/12/2022</v>
      </c>
      <c r="C28" s="469">
        <f>'Balance Gral. Resol. 30'!E25</f>
        <v>2549383190</v>
      </c>
      <c r="D28" s="319">
        <v>0</v>
      </c>
    </row>
    <row r="29" spans="2:7">
      <c r="B29" s="354"/>
      <c r="C29" s="464">
        <f>+C27-'Balance Gral. Resol. 30'!D25</f>
        <v>0</v>
      </c>
      <c r="D29" s="464">
        <f>+D27-'Balance Gral. Resol. 30'!D53</f>
        <v>0</v>
      </c>
    </row>
    <row r="30" spans="2:7">
      <c r="B30" s="863" t="s">
        <v>646</v>
      </c>
      <c r="C30" s="864"/>
      <c r="D30" s="865"/>
    </row>
    <row r="31" spans="2:7">
      <c r="B31" s="863" t="s">
        <v>391</v>
      </c>
      <c r="C31" s="864"/>
      <c r="D31" s="865"/>
    </row>
    <row r="32" spans="2:7" ht="16">
      <c r="B32" s="325" t="s">
        <v>337</v>
      </c>
      <c r="C32" s="466" t="s">
        <v>392</v>
      </c>
      <c r="D32" s="466" t="s">
        <v>393</v>
      </c>
    </row>
    <row r="33" spans="2:6">
      <c r="B33" s="468" t="s">
        <v>647</v>
      </c>
      <c r="C33" s="319">
        <f>'[5]EEFF '!$B$58</f>
        <v>3200000</v>
      </c>
      <c r="D33" s="319">
        <v>0</v>
      </c>
    </row>
    <row r="34" spans="2:6">
      <c r="B34" s="468"/>
      <c r="C34" s="319">
        <v>0</v>
      </c>
      <c r="D34" s="319">
        <v>0</v>
      </c>
    </row>
    <row r="35" spans="2:6">
      <c r="B35" s="333" t="str">
        <f>+B15</f>
        <v>Total al 31/03/2023</v>
      </c>
      <c r="C35" s="469">
        <f>SUM(C33:C34)</f>
        <v>3200000</v>
      </c>
      <c r="D35" s="469">
        <v>0</v>
      </c>
    </row>
    <row r="36" spans="2:6">
      <c r="B36" s="317" t="str">
        <f>+B16</f>
        <v>Total al 31/12/2022</v>
      </c>
      <c r="C36" s="469">
        <f>'Balance Gral. Resol. 30'!E26</f>
        <v>3200000</v>
      </c>
      <c r="D36" s="319">
        <v>0</v>
      </c>
    </row>
    <row r="37" spans="2:6">
      <c r="B37" s="474"/>
      <c r="C37" s="475">
        <f>+C35-'Balance Gral. Resol. 30'!D26</f>
        <v>0</v>
      </c>
      <c r="D37" s="476"/>
    </row>
    <row r="38" spans="2:6">
      <c r="B38" s="863" t="s">
        <v>635</v>
      </c>
      <c r="C38" s="864"/>
      <c r="D38" s="865"/>
    </row>
    <row r="39" spans="2:6">
      <c r="B39" s="863" t="s">
        <v>391</v>
      </c>
      <c r="C39" s="864"/>
      <c r="D39" s="865"/>
    </row>
    <row r="40" spans="2:6" ht="16">
      <c r="B40" s="325" t="s">
        <v>337</v>
      </c>
      <c r="C40" s="466" t="s">
        <v>392</v>
      </c>
      <c r="D40" s="466" t="s">
        <v>393</v>
      </c>
    </row>
    <row r="41" spans="2:6">
      <c r="B41" s="468" t="s">
        <v>1038</v>
      </c>
      <c r="C41" s="319">
        <f>'[4]EEFF '!$B$62+1</f>
        <v>926137914</v>
      </c>
      <c r="D41" s="319">
        <v>0</v>
      </c>
    </row>
    <row r="42" spans="2:6">
      <c r="B42" s="468" t="s">
        <v>1039</v>
      </c>
      <c r="C42" s="319">
        <f>'[4]EEFF '!$B$63</f>
        <v>664594846</v>
      </c>
      <c r="D42" s="319">
        <v>0</v>
      </c>
    </row>
    <row r="43" spans="2:6">
      <c r="B43" s="468" t="s">
        <v>645</v>
      </c>
      <c r="C43" s="319">
        <f>'[4]EEFF '!$B$61</f>
        <v>1500000000</v>
      </c>
      <c r="D43" s="319">
        <v>0</v>
      </c>
    </row>
    <row r="44" spans="2:6">
      <c r="B44" s="333" t="str">
        <f>+B15</f>
        <v>Total al 31/03/2023</v>
      </c>
      <c r="C44" s="469">
        <f>SUM(C41:C43)</f>
        <v>3090732760</v>
      </c>
      <c r="D44" s="319">
        <v>0</v>
      </c>
      <c r="F44" t="s">
        <v>394</v>
      </c>
    </row>
    <row r="45" spans="2:6">
      <c r="B45" s="333" t="str">
        <f>+B28</f>
        <v>Total al 31/12/2022</v>
      </c>
      <c r="C45" s="469">
        <f>'Balance Gral. Resol. 30'!E28</f>
        <v>3260934025</v>
      </c>
      <c r="D45" s="319">
        <v>0</v>
      </c>
    </row>
    <row r="46" spans="2:6">
      <c r="B46" s="354"/>
      <c r="C46" s="464">
        <f>+C44-'Balance Gral. Resol. 30'!D28</f>
        <v>0</v>
      </c>
    </row>
    <row r="47" spans="2:6">
      <c r="B47" s="354"/>
    </row>
    <row r="48" spans="2:6">
      <c r="B48" s="354"/>
    </row>
    <row r="49" spans="2:7">
      <c r="B49" s="399" t="s">
        <v>395</v>
      </c>
      <c r="C49"/>
      <c r="D49"/>
    </row>
    <row r="50" spans="2:7" ht="16">
      <c r="B50" s="868" t="s">
        <v>380</v>
      </c>
      <c r="C50" s="869" t="s">
        <v>396</v>
      </c>
      <c r="D50" s="869" t="s">
        <v>397</v>
      </c>
      <c r="E50" s="325" t="s">
        <v>377</v>
      </c>
      <c r="F50" s="325" t="s">
        <v>398</v>
      </c>
      <c r="G50" s="868" t="s">
        <v>399</v>
      </c>
    </row>
    <row r="51" spans="2:7" ht="16">
      <c r="B51" s="868"/>
      <c r="C51" s="869"/>
      <c r="D51" s="869"/>
      <c r="E51" s="325" t="s">
        <v>400</v>
      </c>
      <c r="F51" s="325" t="s">
        <v>401</v>
      </c>
      <c r="G51" s="868"/>
    </row>
    <row r="52" spans="2:7" ht="16">
      <c r="B52" s="868"/>
      <c r="C52" s="869"/>
      <c r="D52" s="869"/>
      <c r="E52" s="477"/>
      <c r="F52" s="325" t="s">
        <v>402</v>
      </c>
      <c r="G52" s="868"/>
    </row>
    <row r="53" spans="2:7">
      <c r="B53" s="478"/>
      <c r="C53" s="868" t="s">
        <v>403</v>
      </c>
      <c r="D53" s="868"/>
      <c r="E53" s="868"/>
      <c r="F53" s="868"/>
      <c r="G53" s="868"/>
    </row>
    <row r="54" spans="2:7" ht="16">
      <c r="B54" s="478" t="s">
        <v>404</v>
      </c>
      <c r="C54" s="868"/>
      <c r="D54" s="868"/>
      <c r="E54" s="868"/>
      <c r="F54" s="868"/>
      <c r="G54" s="868"/>
    </row>
    <row r="55" spans="2:7" ht="16">
      <c r="B55" s="478" t="s">
        <v>405</v>
      </c>
      <c r="C55" s="868"/>
      <c r="D55" s="868"/>
      <c r="E55" s="868"/>
      <c r="F55" s="868"/>
      <c r="G55" s="868"/>
    </row>
    <row r="56" spans="2:7">
      <c r="B56" s="420"/>
      <c r="C56" s="223"/>
      <c r="D56" s="223"/>
      <c r="E56" s="223"/>
      <c r="F56" s="223"/>
      <c r="G56" s="223"/>
    </row>
    <row r="58" spans="2:7" ht="16">
      <c r="B58" s="325" t="s">
        <v>337</v>
      </c>
      <c r="C58" s="466" t="s">
        <v>392</v>
      </c>
      <c r="D58" s="466" t="s">
        <v>393</v>
      </c>
    </row>
    <row r="59" spans="2:7">
      <c r="B59" s="333" t="s">
        <v>893</v>
      </c>
      <c r="C59" s="469">
        <f>+C44+C35+C27+C15</f>
        <v>21140783305</v>
      </c>
      <c r="D59" s="469">
        <f>+D44+D35+D27+D15</f>
        <v>0</v>
      </c>
    </row>
    <row r="60" spans="2:7">
      <c r="C60" s="464">
        <f>+C59-'Balance Gral. Resol. 30'!D31</f>
        <v>0</v>
      </c>
      <c r="D60" s="464">
        <f>+D59-'Balance Gral. Resol. 30'!D60</f>
        <v>0</v>
      </c>
    </row>
  </sheetData>
  <mergeCells count="15">
    <mergeCell ref="C53:G55"/>
    <mergeCell ref="B50:B52"/>
    <mergeCell ref="C50:C52"/>
    <mergeCell ref="D50:D52"/>
    <mergeCell ref="B18:D18"/>
    <mergeCell ref="B19:D19"/>
    <mergeCell ref="B38:D38"/>
    <mergeCell ref="G50:G52"/>
    <mergeCell ref="B39:D39"/>
    <mergeCell ref="B3:D3"/>
    <mergeCell ref="B30:D30"/>
    <mergeCell ref="B31:D31"/>
    <mergeCell ref="B5:D5"/>
    <mergeCell ref="B8:D8"/>
    <mergeCell ref="B9:D9"/>
  </mergeCells>
  <hyperlinks>
    <hyperlink ref="B7" location="'Balance Gral. Resol. 30'!A1" display="Balance Gral. Resol. 6'!A1"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tabColor rgb="FF002060"/>
  </sheetPr>
  <dimension ref="B6:Q27"/>
  <sheetViews>
    <sheetView showGridLines="0" topLeftCell="B1" zoomScale="130" zoomScaleNormal="130" workbookViewId="0">
      <pane xSplit="1" ySplit="12" topLeftCell="G13" activePane="bottomRight" state="frozen"/>
      <selection activeCell="D26" sqref="D26"/>
      <selection pane="topRight" activeCell="D26" sqref="D26"/>
      <selection pane="bottomLeft" activeCell="D26" sqref="D26"/>
      <selection pane="bottomRight" activeCell="D26" sqref="D26"/>
    </sheetView>
  </sheetViews>
  <sheetFormatPr baseColWidth="10" defaultColWidth="14" defaultRowHeight="15"/>
  <cols>
    <col min="2" max="2" width="23.5" style="354" customWidth="1"/>
    <col min="3" max="3" width="14.33203125" bestFit="1" customWidth="1"/>
    <col min="5" max="5" width="14.33203125" bestFit="1" customWidth="1"/>
    <col min="7" max="7" width="14.33203125" bestFit="1" customWidth="1"/>
  </cols>
  <sheetData>
    <row r="6" spans="2:16" s="224" customFormat="1" ht="20.25" customHeight="1">
      <c r="B6" s="354"/>
      <c r="C6" s="355"/>
      <c r="D6"/>
      <c r="E6"/>
      <c r="F6"/>
      <c r="G6"/>
      <c r="H6"/>
      <c r="I6"/>
      <c r="J6"/>
      <c r="K6"/>
      <c r="L6"/>
      <c r="M6"/>
      <c r="N6" s="452"/>
    </row>
    <row r="7" spans="2:16">
      <c r="B7" s="829" t="s">
        <v>971</v>
      </c>
      <c r="C7" s="829"/>
      <c r="D7" s="870"/>
      <c r="E7" s="829"/>
      <c r="F7" s="829"/>
      <c r="G7" s="829"/>
      <c r="H7" s="829"/>
      <c r="I7" s="829"/>
      <c r="J7" s="829"/>
      <c r="K7" s="829"/>
      <c r="L7" s="829"/>
      <c r="M7" s="829"/>
      <c r="N7" s="435"/>
    </row>
    <row r="8" spans="2:16">
      <c r="B8" s="354" t="s">
        <v>648</v>
      </c>
      <c r="C8" s="356"/>
      <c r="N8" s="453"/>
      <c r="O8" s="363"/>
    </row>
    <row r="9" spans="2:16">
      <c r="C9" s="356"/>
      <c r="N9" s="453"/>
      <c r="O9" s="363"/>
    </row>
    <row r="10" spans="2:16">
      <c r="B10" s="454" t="s">
        <v>638</v>
      </c>
      <c r="C10" s="356"/>
      <c r="N10" s="435"/>
    </row>
    <row r="11" spans="2:16">
      <c r="B11" s="455"/>
      <c r="C11" s="456" t="s">
        <v>406</v>
      </c>
      <c r="D11" s="457"/>
      <c r="E11" s="457"/>
      <c r="F11" s="457"/>
      <c r="G11" s="457"/>
      <c r="H11" s="871" t="s">
        <v>407</v>
      </c>
      <c r="I11" s="872"/>
      <c r="J11" s="872"/>
      <c r="K11" s="872"/>
      <c r="L11" s="872"/>
      <c r="M11" s="458"/>
      <c r="N11" s="435"/>
    </row>
    <row r="12" spans="2:16" ht="48">
      <c r="B12" s="325" t="s">
        <v>253</v>
      </c>
      <c r="C12" s="459" t="s">
        <v>408</v>
      </c>
      <c r="D12" s="325" t="s">
        <v>409</v>
      </c>
      <c r="E12" s="325" t="s">
        <v>410</v>
      </c>
      <c r="F12" s="325" t="s">
        <v>411</v>
      </c>
      <c r="G12" s="325" t="s">
        <v>412</v>
      </c>
      <c r="H12" s="325" t="s">
        <v>413</v>
      </c>
      <c r="I12" s="325" t="s">
        <v>409</v>
      </c>
      <c r="J12" s="325" t="s">
        <v>410</v>
      </c>
      <c r="K12" s="325" t="s">
        <v>411</v>
      </c>
      <c r="L12" s="325" t="s">
        <v>414</v>
      </c>
      <c r="M12" s="325" t="s">
        <v>415</v>
      </c>
      <c r="N12" s="453"/>
    </row>
    <row r="13" spans="2:16">
      <c r="B13" s="460" t="s">
        <v>864</v>
      </c>
      <c r="C13" s="320">
        <v>489067851</v>
      </c>
      <c r="D13" s="320">
        <v>0</v>
      </c>
      <c r="E13" s="320">
        <v>0</v>
      </c>
      <c r="F13" s="320">
        <v>0</v>
      </c>
      <c r="G13" s="320">
        <f>+C13+D13-E13</f>
        <v>489067851</v>
      </c>
      <c r="H13" s="320">
        <v>222434342.60140586</v>
      </c>
      <c r="I13" s="319">
        <v>0</v>
      </c>
      <c r="J13" s="319"/>
      <c r="K13" s="319">
        <v>0</v>
      </c>
      <c r="L13" s="320">
        <f t="shared" ref="L13:L18" si="0">H13+I13-J13</f>
        <v>222434342.60140586</v>
      </c>
      <c r="M13" s="320">
        <f>+G13-L13</f>
        <v>266633508.39859414</v>
      </c>
      <c r="N13" s="461"/>
      <c r="O13" s="362"/>
      <c r="P13" s="362"/>
    </row>
    <row r="14" spans="2:16">
      <c r="B14" s="442" t="s">
        <v>865</v>
      </c>
      <c r="C14" s="320">
        <v>210957210</v>
      </c>
      <c r="D14" s="320">
        <v>0</v>
      </c>
      <c r="E14" s="320">
        <v>0</v>
      </c>
      <c r="F14" s="320">
        <v>0</v>
      </c>
      <c r="G14" s="320">
        <f t="shared" ref="G14:G20" si="1">+C14+D14-E14</f>
        <v>210957210</v>
      </c>
      <c r="H14" s="319">
        <v>127579081.02666664</v>
      </c>
      <c r="I14" s="319">
        <v>0</v>
      </c>
      <c r="J14" s="319"/>
      <c r="K14" s="319">
        <v>0</v>
      </c>
      <c r="L14" s="320">
        <f t="shared" si="0"/>
        <v>127579081.02666664</v>
      </c>
      <c r="M14" s="320">
        <f t="shared" ref="M14:M19" si="2">+G14-L14</f>
        <v>83378128.973333359</v>
      </c>
      <c r="N14" s="461"/>
      <c r="O14" s="362"/>
      <c r="P14" s="362"/>
    </row>
    <row r="15" spans="2:16">
      <c r="B15" s="442" t="s">
        <v>866</v>
      </c>
      <c r="C15" s="320">
        <v>439474812</v>
      </c>
      <c r="D15" s="320">
        <v>3325640</v>
      </c>
      <c r="E15" s="320">
        <v>0</v>
      </c>
      <c r="F15" s="320">
        <v>0</v>
      </c>
      <c r="G15" s="320">
        <f t="shared" si="1"/>
        <v>442800452</v>
      </c>
      <c r="H15" s="320">
        <v>313499922.41666669</v>
      </c>
      <c r="I15" s="319">
        <v>0</v>
      </c>
      <c r="J15" s="319"/>
      <c r="K15" s="319">
        <v>0</v>
      </c>
      <c r="L15" s="320">
        <f t="shared" si="0"/>
        <v>313499922.41666669</v>
      </c>
      <c r="M15" s="320">
        <f t="shared" si="2"/>
        <v>129300529.58333331</v>
      </c>
      <c r="N15" s="461"/>
      <c r="O15" s="362"/>
      <c r="P15" s="362"/>
    </row>
    <row r="16" spans="2:16">
      <c r="B16" s="442" t="s">
        <v>867</v>
      </c>
      <c r="C16" s="320">
        <v>31158573</v>
      </c>
      <c r="D16" s="320">
        <v>0</v>
      </c>
      <c r="E16" s="320">
        <v>0</v>
      </c>
      <c r="F16" s="320">
        <v>0</v>
      </c>
      <c r="G16" s="320">
        <f t="shared" si="1"/>
        <v>31158573</v>
      </c>
      <c r="H16" s="320">
        <v>17228817.425000001</v>
      </c>
      <c r="I16" s="319">
        <v>0</v>
      </c>
      <c r="J16" s="319"/>
      <c r="K16" s="319">
        <v>0</v>
      </c>
      <c r="L16" s="320">
        <f t="shared" si="0"/>
        <v>17228817.425000001</v>
      </c>
      <c r="M16" s="320">
        <f t="shared" si="2"/>
        <v>13929755.574999999</v>
      </c>
      <c r="N16" s="461"/>
      <c r="O16" s="362"/>
      <c r="P16" s="362"/>
    </row>
    <row r="17" spans="2:17">
      <c r="B17" s="442" t="s">
        <v>868</v>
      </c>
      <c r="C17" s="320">
        <v>165107727</v>
      </c>
      <c r="D17" s="320">
        <v>0</v>
      </c>
      <c r="E17" s="320"/>
      <c r="F17" s="320">
        <v>0</v>
      </c>
      <c r="G17" s="320">
        <f t="shared" si="1"/>
        <v>165107727</v>
      </c>
      <c r="H17" s="320">
        <v>10531492.18</v>
      </c>
      <c r="I17" s="319">
        <v>0</v>
      </c>
      <c r="J17" s="319"/>
      <c r="K17" s="319">
        <v>0</v>
      </c>
      <c r="L17" s="320">
        <f t="shared" si="0"/>
        <v>10531492.18</v>
      </c>
      <c r="M17" s="320">
        <f t="shared" si="2"/>
        <v>154576234.81999999</v>
      </c>
      <c r="N17" s="461"/>
      <c r="O17" s="362"/>
      <c r="P17" s="362"/>
      <c r="Q17" s="362"/>
    </row>
    <row r="18" spans="2:17">
      <c r="B18" s="442" t="s">
        <v>869</v>
      </c>
      <c r="C18" s="320">
        <v>11010456</v>
      </c>
      <c r="D18" s="320">
        <v>0</v>
      </c>
      <c r="E18" s="319">
        <v>0</v>
      </c>
      <c r="F18" s="319">
        <v>0</v>
      </c>
      <c r="G18" s="320">
        <f t="shared" si="1"/>
        <v>11010456</v>
      </c>
      <c r="H18" s="319">
        <v>8568167.6799999997</v>
      </c>
      <c r="I18" s="319">
        <v>0</v>
      </c>
      <c r="J18" s="319"/>
      <c r="K18" s="319">
        <v>0</v>
      </c>
      <c r="L18" s="320">
        <f t="shared" si="0"/>
        <v>8568167.6799999997</v>
      </c>
      <c r="M18" s="320">
        <f t="shared" si="2"/>
        <v>2442288.3200000003</v>
      </c>
      <c r="N18" s="461"/>
      <c r="O18" s="362"/>
      <c r="P18" s="362"/>
    </row>
    <row r="19" spans="2:17">
      <c r="B19" s="442" t="s">
        <v>870</v>
      </c>
      <c r="C19" s="320">
        <f>+'[5]EEFF '!$C$82</f>
        <v>12102212443</v>
      </c>
      <c r="D19" s="320">
        <v>0</v>
      </c>
      <c r="E19" s="319">
        <v>12102212443</v>
      </c>
      <c r="F19" s="319">
        <v>0</v>
      </c>
      <c r="G19" s="320">
        <f t="shared" si="1"/>
        <v>0</v>
      </c>
      <c r="H19" s="319">
        <v>630263305.06689346</v>
      </c>
      <c r="I19" s="319">
        <v>0</v>
      </c>
      <c r="J19" s="319">
        <f>H19</f>
        <v>630263305.06689346</v>
      </c>
      <c r="K19" s="319">
        <v>0</v>
      </c>
      <c r="L19" s="320">
        <f>H19+I19-J19</f>
        <v>0</v>
      </c>
      <c r="M19" s="320">
        <f t="shared" si="2"/>
        <v>0</v>
      </c>
      <c r="N19" s="461"/>
      <c r="O19" s="362"/>
      <c r="P19" s="362"/>
    </row>
    <row r="20" spans="2:17">
      <c r="B20" s="442" t="s">
        <v>871</v>
      </c>
      <c r="C20" s="320">
        <v>0</v>
      </c>
      <c r="D20" s="320">
        <v>0</v>
      </c>
      <c r="E20" s="319">
        <v>0</v>
      </c>
      <c r="F20" s="319">
        <v>0</v>
      </c>
      <c r="G20" s="320">
        <f t="shared" si="1"/>
        <v>0</v>
      </c>
      <c r="H20" s="320">
        <v>0</v>
      </c>
      <c r="I20" s="319">
        <v>0</v>
      </c>
      <c r="J20" s="319"/>
      <c r="K20" s="319">
        <v>0</v>
      </c>
      <c r="L20" s="320">
        <f t="shared" ref="L20" si="3">H20+I20</f>
        <v>0</v>
      </c>
      <c r="M20" s="320">
        <f t="shared" ref="M20" si="4">+G20-H20</f>
        <v>0</v>
      </c>
      <c r="N20" s="461"/>
      <c r="O20" s="362"/>
      <c r="P20" s="362"/>
    </row>
    <row r="21" spans="2:17">
      <c r="B21" s="462" t="s">
        <v>1027</v>
      </c>
      <c r="C21" s="463">
        <f t="shared" ref="C21:M21" si="5">SUM(C13:C20)</f>
        <v>13448989072</v>
      </c>
      <c r="D21" s="463">
        <f t="shared" si="5"/>
        <v>3325640</v>
      </c>
      <c r="E21" s="463">
        <f t="shared" si="5"/>
        <v>12102212443</v>
      </c>
      <c r="F21" s="463">
        <f t="shared" si="5"/>
        <v>0</v>
      </c>
      <c r="G21" s="463">
        <f t="shared" si="5"/>
        <v>1350102269</v>
      </c>
      <c r="H21" s="463">
        <f t="shared" si="5"/>
        <v>1330105128.3966327</v>
      </c>
      <c r="I21" s="463">
        <f t="shared" si="5"/>
        <v>0</v>
      </c>
      <c r="J21" s="463">
        <f t="shared" si="5"/>
        <v>630263305.06689346</v>
      </c>
      <c r="K21" s="463">
        <f t="shared" si="5"/>
        <v>0</v>
      </c>
      <c r="L21" s="463">
        <f t="shared" si="5"/>
        <v>699841823.32973909</v>
      </c>
      <c r="M21" s="463">
        <f t="shared" si="5"/>
        <v>650260445.67026079</v>
      </c>
      <c r="O21" s="362"/>
      <c r="P21" s="362"/>
    </row>
    <row r="22" spans="2:17">
      <c r="B22" s="462" t="s">
        <v>951</v>
      </c>
      <c r="C22" s="321">
        <v>13290773438.48</v>
      </c>
      <c r="D22" s="321">
        <v>158215633.52000001</v>
      </c>
      <c r="E22" s="321">
        <v>0</v>
      </c>
      <c r="F22" s="321">
        <v>0</v>
      </c>
      <c r="G22" s="321">
        <v>13448989072</v>
      </c>
      <c r="H22" s="321">
        <v>957359047.43408012</v>
      </c>
      <c r="I22" s="321">
        <v>372746080.96255243</v>
      </c>
      <c r="J22" s="321">
        <v>0</v>
      </c>
      <c r="K22" s="321">
        <v>0</v>
      </c>
      <c r="L22" s="321">
        <v>1330105128.3966327</v>
      </c>
      <c r="M22" s="321">
        <v>12118883943.603369</v>
      </c>
    </row>
    <row r="25" spans="2:17">
      <c r="M25" s="770">
        <f>+M21-'Balance Gral. Resol. 30'!D64</f>
        <v>-0.32973921298980713</v>
      </c>
    </row>
    <row r="26" spans="2:17">
      <c r="M26" s="770">
        <f>+M22-'Balance Gral. Resol. 30'!E64</f>
        <v>-0.39663124084472656</v>
      </c>
    </row>
    <row r="27" spans="2:17">
      <c r="M27" s="770"/>
    </row>
  </sheetData>
  <mergeCells count="2">
    <mergeCell ref="B7:M7"/>
    <mergeCell ref="H11:L11"/>
  </mergeCells>
  <hyperlinks>
    <hyperlink ref="B10" location="'Balance Gral. Resol. 30'!A1" display="'Balance Gral. Resol. 30'!A1" xr:uid="{00000000-0004-0000-0C00-000000000000}"/>
  </hyperlink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tabColor rgb="FF002060"/>
  </sheetPr>
  <dimension ref="B1:H18"/>
  <sheetViews>
    <sheetView showGridLines="0" topLeftCell="A2" zoomScale="130" zoomScaleNormal="130" workbookViewId="0">
      <selection activeCell="D26" sqref="D26"/>
    </sheetView>
  </sheetViews>
  <sheetFormatPr baseColWidth="10" defaultColWidth="20.1640625" defaultRowHeight="15"/>
  <cols>
    <col min="1" max="1" width="6.33203125" customWidth="1"/>
    <col min="2" max="2" width="28.33203125" bestFit="1" customWidth="1"/>
    <col min="3" max="3" width="13.6640625" bestFit="1" customWidth="1"/>
    <col min="4" max="4" width="13.33203125" bestFit="1" customWidth="1"/>
    <col min="5" max="5" width="17.83203125" customWidth="1"/>
    <col min="6" max="6" width="14.33203125" customWidth="1"/>
    <col min="7" max="7" width="13.1640625" customWidth="1"/>
    <col min="8" max="8" width="11.6640625" customWidth="1"/>
  </cols>
  <sheetData>
    <row r="1" spans="2:8" ht="41.5" customHeight="1"/>
    <row r="3" spans="2:8">
      <c r="B3" s="829" t="s">
        <v>970</v>
      </c>
      <c r="C3" s="829"/>
      <c r="D3" s="829"/>
      <c r="E3" s="829"/>
      <c r="F3" s="829"/>
    </row>
    <row r="4" spans="2:8">
      <c r="B4" s="873" t="s">
        <v>644</v>
      </c>
      <c r="C4" s="873"/>
      <c r="D4" s="873"/>
      <c r="E4" s="873"/>
      <c r="F4" s="873"/>
    </row>
    <row r="6" spans="2:8">
      <c r="B6" s="310" t="s">
        <v>638</v>
      </c>
    </row>
    <row r="7" spans="2:8">
      <c r="B7" s="311" t="s">
        <v>337</v>
      </c>
      <c r="C7" s="311" t="s">
        <v>416</v>
      </c>
      <c r="D7" s="347" t="s">
        <v>417</v>
      </c>
      <c r="E7" s="311" t="s">
        <v>418</v>
      </c>
      <c r="F7" s="311" t="s">
        <v>419</v>
      </c>
    </row>
    <row r="8" spans="2:8">
      <c r="B8" s="313" t="s">
        <v>554</v>
      </c>
      <c r="C8" s="320">
        <v>7548944</v>
      </c>
      <c r="D8" s="320">
        <f>+F8-C8</f>
        <v>9933082</v>
      </c>
      <c r="E8" s="319"/>
      <c r="F8" s="320">
        <f>17482027-1</f>
        <v>17482026</v>
      </c>
      <c r="G8" s="362"/>
      <c r="H8" s="363"/>
    </row>
    <row r="9" spans="2:8">
      <c r="B9" s="313" t="s">
        <v>555</v>
      </c>
      <c r="C9" s="320">
        <v>354820990</v>
      </c>
      <c r="D9" s="320">
        <v>0</v>
      </c>
      <c r="E9" s="319">
        <f>+F9-C9</f>
        <v>-167180307</v>
      </c>
      <c r="F9" s="320">
        <v>187640683</v>
      </c>
      <c r="G9" s="448"/>
      <c r="H9" s="449"/>
    </row>
    <row r="10" spans="2:8">
      <c r="B10" s="313" t="s">
        <v>556</v>
      </c>
      <c r="C10" s="320">
        <v>893220875</v>
      </c>
      <c r="D10" s="320">
        <v>0</v>
      </c>
      <c r="E10" s="319">
        <f>+F10-C10</f>
        <v>-298974306</v>
      </c>
      <c r="F10" s="320">
        <v>594246569</v>
      </c>
      <c r="G10" s="448"/>
      <c r="H10" s="449"/>
    </row>
    <row r="11" spans="2:8">
      <c r="B11" s="313" t="s">
        <v>580</v>
      </c>
      <c r="C11" s="320">
        <v>0</v>
      </c>
      <c r="D11" s="320">
        <v>0</v>
      </c>
      <c r="E11" s="319">
        <v>0</v>
      </c>
      <c r="F11" s="320">
        <f>+C11+D11-E11</f>
        <v>0</v>
      </c>
      <c r="G11" s="448"/>
      <c r="H11" s="449"/>
    </row>
    <row r="12" spans="2:8">
      <c r="B12" s="333" t="str">
        <f>+'NOTA G BIENES DE USO'!B21</f>
        <v>Total al 31/03/2023</v>
      </c>
      <c r="C12" s="321">
        <f>SUM(C8:C11)</f>
        <v>1255590809</v>
      </c>
      <c r="D12" s="321">
        <f>SUM(D8:D11)</f>
        <v>9933082</v>
      </c>
      <c r="E12" s="321">
        <f>SUM(E8:E11)</f>
        <v>-466154613</v>
      </c>
      <c r="F12" s="321">
        <f>SUM(F8:F11)</f>
        <v>799369278</v>
      </c>
      <c r="G12" s="363"/>
      <c r="H12" s="363"/>
    </row>
    <row r="13" spans="2:8">
      <c r="B13" s="333" t="str">
        <f>+'NOTA G BIENES DE USO'!B22</f>
        <v>Total al 31/12/2022</v>
      </c>
      <c r="C13" s="321">
        <v>458598059</v>
      </c>
      <c r="D13" s="321">
        <v>176657362</v>
      </c>
      <c r="E13" s="321">
        <v>620335388</v>
      </c>
      <c r="F13" s="321">
        <v>1255590809</v>
      </c>
      <c r="G13" s="363"/>
    </row>
    <row r="15" spans="2:8">
      <c r="E15" s="450"/>
      <c r="F15" s="362">
        <f>+F12-'Balance Gral. Resol. 30'!D38</f>
        <v>0</v>
      </c>
    </row>
    <row r="16" spans="2:8">
      <c r="E16" s="451"/>
      <c r="F16" s="362">
        <f>+F13-'Balance Gral. Resol. 30'!E38</f>
        <v>0</v>
      </c>
    </row>
    <row r="17" spans="5:5">
      <c r="E17" s="451"/>
    </row>
    <row r="18" spans="5:5">
      <c r="E18" s="363"/>
    </row>
  </sheetData>
  <mergeCells count="2">
    <mergeCell ref="B3:F3"/>
    <mergeCell ref="B4:F4"/>
  </mergeCells>
  <hyperlinks>
    <hyperlink ref="B6" location="'Balance Gral. Resol. 30'!A1" display="'Balance Gral. Resol. 30'!A1" xr:uid="{00000000-0004-0000-0D00-000000000000}"/>
  </hyperlinks>
  <pageMargins left="0.7" right="0.7" top="0.75" bottom="0.75" header="0.3" footer="0.3"/>
  <pageSetup paperSize="9"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tabColor rgb="FF002060"/>
  </sheetPr>
  <dimension ref="B1:M32"/>
  <sheetViews>
    <sheetView showGridLines="0" zoomScale="130" zoomScaleNormal="130" workbookViewId="0">
      <selection activeCell="D26" sqref="D26"/>
    </sheetView>
  </sheetViews>
  <sheetFormatPr baseColWidth="10" defaultColWidth="11.5" defaultRowHeight="15"/>
  <cols>
    <col min="1" max="1" width="6.83203125" customWidth="1"/>
    <col min="2" max="2" width="29.5" customWidth="1"/>
    <col min="3" max="3" width="41.33203125" customWidth="1"/>
    <col min="4" max="4" width="22" customWidth="1"/>
    <col min="5" max="5" width="16.5" customWidth="1"/>
    <col min="6" max="6" width="18.1640625" customWidth="1"/>
    <col min="7" max="7" width="20.1640625" customWidth="1"/>
    <col min="8" max="8" width="23.1640625" customWidth="1"/>
  </cols>
  <sheetData>
    <row r="1" spans="2:5" ht="33.5" customHeight="1"/>
    <row r="4" spans="2:5">
      <c r="B4" s="874" t="s">
        <v>649</v>
      </c>
      <c r="C4" s="874"/>
      <c r="D4" s="874"/>
    </row>
    <row r="5" spans="2:5">
      <c r="B5" t="s">
        <v>650</v>
      </c>
    </row>
    <row r="7" spans="2:5">
      <c r="B7" s="310" t="s">
        <v>638</v>
      </c>
      <c r="D7" s="221"/>
    </row>
    <row r="8" spans="2:5" ht="16">
      <c r="B8" s="325" t="s">
        <v>420</v>
      </c>
      <c r="C8" s="325" t="s">
        <v>337</v>
      </c>
      <c r="D8" s="413" t="str">
        <f>+'NOTA H CARGOS DIFERIDOS'!B12</f>
        <v>Total al 31/03/2023</v>
      </c>
    </row>
    <row r="9" spans="2:5">
      <c r="B9" s="442" t="s">
        <v>421</v>
      </c>
      <c r="C9" s="442" t="s">
        <v>422</v>
      </c>
      <c r="D9" s="319">
        <v>900000</v>
      </c>
    </row>
    <row r="10" spans="2:5">
      <c r="B10" s="442" t="s">
        <v>421</v>
      </c>
      <c r="C10" s="442" t="s">
        <v>653</v>
      </c>
      <c r="D10" s="319">
        <f>'[5]EEFF '!$B$91-D9</f>
        <v>78274642</v>
      </c>
    </row>
    <row r="11" spans="2:5">
      <c r="B11" s="442" t="s">
        <v>423</v>
      </c>
      <c r="C11" s="442" t="s">
        <v>424</v>
      </c>
      <c r="D11" s="407">
        <v>104084949</v>
      </c>
    </row>
    <row r="12" spans="2:5">
      <c r="B12" s="442" t="s">
        <v>425</v>
      </c>
      <c r="C12" s="442" t="s">
        <v>426</v>
      </c>
      <c r="D12" s="407">
        <f>'[5]EEFF '!$B$92+'[5]EEFF '!$B$96</f>
        <v>3388870450</v>
      </c>
      <c r="E12" s="363"/>
    </row>
    <row r="13" spans="2:5">
      <c r="B13" s="442" t="s">
        <v>120</v>
      </c>
      <c r="C13" s="442" t="s">
        <v>120</v>
      </c>
      <c r="D13" s="407">
        <v>27866433</v>
      </c>
    </row>
    <row r="14" spans="2:5">
      <c r="B14" s="442" t="s">
        <v>427</v>
      </c>
      <c r="C14" s="442" t="s">
        <v>427</v>
      </c>
      <c r="D14" s="407">
        <v>76495056</v>
      </c>
    </row>
    <row r="15" spans="2:5">
      <c r="B15" s="442" t="s">
        <v>651</v>
      </c>
      <c r="C15" s="442" t="s">
        <v>652</v>
      </c>
      <c r="D15" s="407">
        <v>4448595000</v>
      </c>
    </row>
    <row r="16" spans="2:5">
      <c r="B16" s="442" t="s">
        <v>872</v>
      </c>
      <c r="C16" s="442"/>
      <c r="D16" s="407">
        <f>'[5]EEFF '!$B$98</f>
        <v>-3935238148</v>
      </c>
    </row>
    <row r="17" spans="2:13">
      <c r="B17" s="333" t="str">
        <f>+'NOTA H CARGOS DIFERIDOS'!B12</f>
        <v>Total al 31/03/2023</v>
      </c>
      <c r="C17" s="333"/>
      <c r="D17" s="446">
        <f>SUM(D9:D16)</f>
        <v>4189848382</v>
      </c>
      <c r="E17" s="363"/>
    </row>
    <row r="18" spans="2:13">
      <c r="B18" s="333" t="str">
        <f>+'NOTA H CARGOS DIFERIDOS'!B13</f>
        <v>Total al 31/12/2022</v>
      </c>
      <c r="C18" s="446"/>
      <c r="D18" s="446">
        <f>+'Balance Gral. Resol. 30'!E72</f>
        <v>4189848382</v>
      </c>
    </row>
    <row r="20" spans="2:13">
      <c r="D20" s="136">
        <f>+D17-'Balance Gral. Resol. 30'!D72</f>
        <v>0</v>
      </c>
    </row>
    <row r="21" spans="2:13">
      <c r="D21" s="362">
        <v>0</v>
      </c>
    </row>
    <row r="22" spans="2:13">
      <c r="F22" s="136"/>
      <c r="J22" t="s">
        <v>372</v>
      </c>
      <c r="M22" t="s">
        <v>372</v>
      </c>
    </row>
    <row r="23" spans="2:13">
      <c r="F23" s="136"/>
      <c r="J23" t="s">
        <v>372</v>
      </c>
      <c r="M23" t="s">
        <v>372</v>
      </c>
    </row>
    <row r="24" spans="2:13">
      <c r="F24" s="136"/>
      <c r="J24" t="s">
        <v>372</v>
      </c>
      <c r="M24" t="s">
        <v>372</v>
      </c>
    </row>
    <row r="25" spans="2:13">
      <c r="F25" s="136"/>
      <c r="J25" t="s">
        <v>372</v>
      </c>
      <c r="M25" t="s">
        <v>372</v>
      </c>
    </row>
    <row r="26" spans="2:13">
      <c r="F26" s="136"/>
      <c r="G26" s="362"/>
      <c r="J26" t="s">
        <v>372</v>
      </c>
      <c r="M26" t="s">
        <v>372</v>
      </c>
    </row>
    <row r="27" spans="2:13">
      <c r="F27" s="136"/>
      <c r="J27" t="s">
        <v>372</v>
      </c>
      <c r="M27" t="s">
        <v>372</v>
      </c>
    </row>
    <row r="28" spans="2:13">
      <c r="F28" s="136"/>
      <c r="G28" s="362"/>
      <c r="J28" t="s">
        <v>372</v>
      </c>
      <c r="M28" t="s">
        <v>372</v>
      </c>
    </row>
    <row r="29" spans="2:13">
      <c r="F29" s="136"/>
      <c r="J29" t="s">
        <v>372</v>
      </c>
      <c r="M29" t="s">
        <v>372</v>
      </c>
    </row>
    <row r="30" spans="2:13">
      <c r="F30" s="136"/>
      <c r="G30" s="362"/>
      <c r="J30" t="s">
        <v>372</v>
      </c>
      <c r="M30" t="s">
        <v>372</v>
      </c>
    </row>
    <row r="31" spans="2:13">
      <c r="F31" s="136"/>
      <c r="J31" t="s">
        <v>372</v>
      </c>
      <c r="M31" t="s">
        <v>372</v>
      </c>
    </row>
    <row r="32" spans="2:13">
      <c r="F32" s="136"/>
      <c r="G32" s="362"/>
      <c r="J32" t="s">
        <v>372</v>
      </c>
      <c r="M32" t="s">
        <v>372</v>
      </c>
    </row>
  </sheetData>
  <mergeCells count="1">
    <mergeCell ref="B4:D4"/>
  </mergeCells>
  <hyperlinks>
    <hyperlink ref="B7" location="'Balance Gral. Resol. 30'!A1" display="'Balance Gral. Resol. 30'!A1"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tabColor rgb="FF002060"/>
  </sheetPr>
  <dimension ref="B1:G13"/>
  <sheetViews>
    <sheetView showGridLines="0" zoomScale="130" zoomScaleNormal="130" workbookViewId="0">
      <selection activeCell="D26" sqref="D26"/>
    </sheetView>
  </sheetViews>
  <sheetFormatPr baseColWidth="10" defaultColWidth="11.5" defaultRowHeight="15"/>
  <cols>
    <col min="1" max="1" width="8.33203125" customWidth="1"/>
    <col min="2" max="2" width="37.83203125" bestFit="1" customWidth="1"/>
    <col min="3" max="3" width="11.33203125" bestFit="1" customWidth="1"/>
    <col min="4" max="4" width="10.33203125" bestFit="1" customWidth="1"/>
    <col min="5" max="5" width="14" bestFit="1" customWidth="1"/>
    <col min="6" max="6" width="14.83203125" hidden="1" customWidth="1"/>
    <col min="7" max="7" width="8.1640625" hidden="1" customWidth="1"/>
    <col min="8" max="8" width="0" hidden="1" customWidth="1"/>
  </cols>
  <sheetData>
    <row r="1" spans="2:7" ht="42" customHeight="1">
      <c r="B1" s="356"/>
    </row>
    <row r="2" spans="2:7">
      <c r="B2" s="356"/>
    </row>
    <row r="3" spans="2:7">
      <c r="B3" s="356" t="s">
        <v>969</v>
      </c>
    </row>
    <row r="4" spans="2:7">
      <c r="B4" s="356"/>
    </row>
    <row r="5" spans="2:7">
      <c r="B5" s="310" t="s">
        <v>638</v>
      </c>
    </row>
    <row r="6" spans="2:7">
      <c r="B6" s="311" t="s">
        <v>337</v>
      </c>
      <c r="C6" s="311" t="s">
        <v>416</v>
      </c>
      <c r="D6" s="311" t="s">
        <v>417</v>
      </c>
      <c r="E6" s="311" t="s">
        <v>418</v>
      </c>
      <c r="F6" s="311" t="s">
        <v>419</v>
      </c>
    </row>
    <row r="7" spans="2:7">
      <c r="B7" s="313" t="s">
        <v>324</v>
      </c>
      <c r="C7" s="315">
        <v>0</v>
      </c>
      <c r="D7" s="346">
        <v>0</v>
      </c>
      <c r="E7" s="315">
        <v>0</v>
      </c>
      <c r="F7" s="315">
        <f t="shared" ref="F7:F12" si="0">+C7+D7-E7</f>
        <v>0</v>
      </c>
    </row>
    <row r="8" spans="2:7">
      <c r="B8" s="313" t="s">
        <v>428</v>
      </c>
      <c r="C8" s="315">
        <v>0</v>
      </c>
      <c r="D8" s="315">
        <v>0</v>
      </c>
      <c r="E8" s="315">
        <v>0</v>
      </c>
      <c r="F8" s="315">
        <f t="shared" si="0"/>
        <v>0</v>
      </c>
    </row>
    <row r="9" spans="2:7">
      <c r="B9" s="313" t="s">
        <v>429</v>
      </c>
      <c r="C9" s="315">
        <v>0</v>
      </c>
      <c r="D9" s="315">
        <v>0</v>
      </c>
      <c r="E9" s="315">
        <v>0</v>
      </c>
      <c r="F9" s="315">
        <f t="shared" si="0"/>
        <v>0</v>
      </c>
    </row>
    <row r="10" spans="2:7">
      <c r="B10" s="313" t="s">
        <v>430</v>
      </c>
      <c r="C10" s="315">
        <v>0</v>
      </c>
      <c r="D10" s="315">
        <v>0</v>
      </c>
      <c r="E10" s="315">
        <v>0</v>
      </c>
      <c r="F10" s="315">
        <f t="shared" si="0"/>
        <v>0</v>
      </c>
    </row>
    <row r="11" spans="2:7">
      <c r="B11" s="313" t="s">
        <v>431</v>
      </c>
      <c r="C11" s="315">
        <v>0</v>
      </c>
      <c r="D11" s="315">
        <v>0</v>
      </c>
      <c r="E11" s="315">
        <v>0</v>
      </c>
      <c r="F11" s="315">
        <f t="shared" si="0"/>
        <v>0</v>
      </c>
    </row>
    <row r="12" spans="2:7">
      <c r="B12" s="333" t="str">
        <f>+' NOTA I INTANGIBLES'!B17</f>
        <v>Total al 31/03/2023</v>
      </c>
      <c r="C12" s="318">
        <f>SUM(C7:C11)</f>
        <v>0</v>
      </c>
      <c r="D12" s="318">
        <f>SUM(D7:D11)</f>
        <v>0</v>
      </c>
      <c r="E12" s="318">
        <f>SUM(E7:E11)</f>
        <v>0</v>
      </c>
      <c r="F12" s="318">
        <f t="shared" si="0"/>
        <v>0</v>
      </c>
      <c r="G12" s="447"/>
    </row>
    <row r="13" spans="2:7">
      <c r="B13" s="333" t="str">
        <f>+'NOTA H CARGOS DIFERIDOS'!B13</f>
        <v>Total al 31/12/2022</v>
      </c>
      <c r="C13" s="318">
        <v>0</v>
      </c>
      <c r="D13" s="318">
        <v>0</v>
      </c>
      <c r="E13" s="318">
        <v>0</v>
      </c>
      <c r="F13" s="318">
        <v>0</v>
      </c>
      <c r="G13" s="447"/>
    </row>
  </sheetData>
  <hyperlinks>
    <hyperlink ref="B5" location="'Balance Gral. Resol. 30'!A1" display="'Balance Gral. Resol. 30'!A1"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tabColor rgb="FF002060"/>
  </sheetPr>
  <dimension ref="B1:G48"/>
  <sheetViews>
    <sheetView showGridLines="0" topLeftCell="A19" zoomScale="130" zoomScaleNormal="130" workbookViewId="0">
      <selection activeCell="D26" sqref="D26"/>
    </sheetView>
  </sheetViews>
  <sheetFormatPr baseColWidth="10" defaultColWidth="11.5" defaultRowHeight="15"/>
  <cols>
    <col min="1" max="1" width="4.6640625" customWidth="1"/>
    <col min="2" max="2" width="47.83203125" customWidth="1"/>
    <col min="3" max="3" width="15.33203125" bestFit="1" customWidth="1"/>
    <col min="4" max="4" width="17.1640625" style="710" customWidth="1"/>
    <col min="5" max="5" width="14" bestFit="1" customWidth="1"/>
    <col min="6" max="6" width="18.1640625" customWidth="1"/>
    <col min="7" max="7" width="13" customWidth="1"/>
    <col min="8" max="8" width="16.33203125" customWidth="1"/>
    <col min="9" max="9" width="31.5" customWidth="1"/>
  </cols>
  <sheetData>
    <row r="1" spans="2:5" ht="27.5" customHeight="1"/>
    <row r="5" spans="2:5">
      <c r="B5" s="356" t="s">
        <v>968</v>
      </c>
    </row>
    <row r="6" spans="2:5">
      <c r="C6" s="709" t="s">
        <v>1000</v>
      </c>
      <c r="D6" s="711">
        <v>7169.7</v>
      </c>
    </row>
    <row r="7" spans="2:5">
      <c r="B7" s="436" t="s">
        <v>432</v>
      </c>
      <c r="C7" s="436" t="s">
        <v>433</v>
      </c>
      <c r="D7" s="712" t="s">
        <v>940</v>
      </c>
      <c r="E7" s="436" t="s">
        <v>434</v>
      </c>
    </row>
    <row r="8" spans="2:5">
      <c r="B8" s="436" t="s">
        <v>928</v>
      </c>
      <c r="C8" s="439">
        <f>+C10+C20+C27+C43</f>
        <v>99726942239.474396</v>
      </c>
      <c r="D8" s="713">
        <f>+D10+D20+D27+D43</f>
        <v>7723736.7499743365</v>
      </c>
      <c r="E8" s="436"/>
    </row>
    <row r="9" spans="2:5">
      <c r="B9" s="436"/>
      <c r="C9" s="439"/>
      <c r="D9" s="713"/>
      <c r="E9" s="436"/>
    </row>
    <row r="10" spans="2:5">
      <c r="B10" s="436" t="s">
        <v>654</v>
      </c>
      <c r="C10" s="439">
        <f>SUM(C11:C18)</f>
        <v>26173849803</v>
      </c>
      <c r="D10" s="713">
        <f>SUM(D11:D18)</f>
        <v>2227000</v>
      </c>
      <c r="E10" s="436"/>
    </row>
    <row r="11" spans="2:5">
      <c r="B11" s="313" t="s">
        <v>873</v>
      </c>
      <c r="C11" s="407">
        <v>2453500000</v>
      </c>
      <c r="D11" s="714"/>
      <c r="E11" s="319">
        <v>0</v>
      </c>
    </row>
    <row r="12" spans="2:5">
      <c r="B12" s="313" t="s">
        <v>873</v>
      </c>
      <c r="C12" s="407">
        <v>1733427903</v>
      </c>
      <c r="D12" s="714"/>
      <c r="E12" s="319">
        <v>0</v>
      </c>
    </row>
    <row r="13" spans="2:5">
      <c r="B13" s="313" t="s">
        <v>938</v>
      </c>
      <c r="C13" s="407">
        <v>3300000000</v>
      </c>
      <c r="D13" s="714"/>
      <c r="E13" s="319">
        <v>0</v>
      </c>
    </row>
    <row r="14" spans="2:5">
      <c r="B14" s="313" t="s">
        <v>873</v>
      </c>
      <c r="C14" s="440">
        <v>1000000000</v>
      </c>
      <c r="D14" s="715"/>
      <c r="E14" s="319">
        <v>0</v>
      </c>
    </row>
    <row r="15" spans="2:5">
      <c r="B15" s="313" t="s">
        <v>1040</v>
      </c>
      <c r="C15" s="441">
        <v>1720000000</v>
      </c>
      <c r="D15" s="716"/>
      <c r="E15" s="319">
        <v>0</v>
      </c>
    </row>
    <row r="16" spans="2:5">
      <c r="B16" s="313"/>
      <c r="C16" s="441"/>
      <c r="D16" s="716"/>
      <c r="E16" s="319">
        <v>0</v>
      </c>
    </row>
    <row r="17" spans="2:7">
      <c r="B17" s="313" t="s">
        <v>939</v>
      </c>
      <c r="C17" s="441">
        <f>D17*$D$6</f>
        <v>11665101900</v>
      </c>
      <c r="D17" s="722">
        <v>1627000</v>
      </c>
      <c r="E17" s="441">
        <v>0</v>
      </c>
    </row>
    <row r="18" spans="2:7">
      <c r="B18" s="313" t="s">
        <v>874</v>
      </c>
      <c r="C18" s="441">
        <f>D18*$D$6</f>
        <v>4301820000</v>
      </c>
      <c r="D18" s="722">
        <v>600000</v>
      </c>
      <c r="E18" s="441">
        <v>0</v>
      </c>
    </row>
    <row r="19" spans="2:7">
      <c r="B19" s="442"/>
      <c r="C19" s="314"/>
      <c r="D19" s="707"/>
      <c r="E19" s="319"/>
    </row>
    <row r="20" spans="2:7">
      <c r="B20" s="436" t="s">
        <v>927</v>
      </c>
      <c r="C20" s="443">
        <f>SUM(C21:C25)</f>
        <v>22695743494.4744</v>
      </c>
      <c r="D20" s="708">
        <f>SUM(D21:D25)</f>
        <v>1361476.03</v>
      </c>
      <c r="E20" s="319"/>
    </row>
    <row r="21" spans="2:7">
      <c r="B21" s="444" t="str">
        <f>'NOTA D - DISPONIBILIDADES'!B46</f>
        <v>Itau Cta Cte. Gs  571</v>
      </c>
      <c r="C21" s="314">
        <f>-'NOTA D - DISPONIBILIDADES'!C46</f>
        <v>1334832</v>
      </c>
      <c r="D21" s="707"/>
      <c r="E21" s="319"/>
    </row>
    <row r="22" spans="2:7">
      <c r="B22" s="445" t="str">
        <f>+'NOTA D - DISPONIBILIDADES'!B47</f>
        <v>Itau Cta. Cte. Administrativa 338</v>
      </c>
      <c r="C22" s="314">
        <v>0</v>
      </c>
      <c r="D22" s="707"/>
      <c r="E22" s="319"/>
    </row>
    <row r="23" spans="2:7">
      <c r="B23" s="442" t="str">
        <f>'NOTA D - DISPONIBILIDADES'!B53</f>
        <v>Itau Internacional Usd 75080363-6</v>
      </c>
      <c r="C23" s="314">
        <v>0</v>
      </c>
      <c r="D23" s="722">
        <v>0</v>
      </c>
      <c r="E23" s="319"/>
    </row>
    <row r="24" spans="2:7">
      <c r="B24" s="442" t="str">
        <f>+'NOTA D - DISPONIBILIDADES'!B39</f>
        <v>Banco Rio 82310046006</v>
      </c>
      <c r="C24" s="314">
        <f>-'NOTA D - DISPONIBILIDADES'!C39</f>
        <v>12937417923</v>
      </c>
      <c r="D24" s="707"/>
      <c r="E24" s="319"/>
    </row>
    <row r="25" spans="2:7">
      <c r="B25" s="442" t="str">
        <f>'NOTA D - DISPONIBILIDADES'!B40</f>
        <v>Financiera Rio Saeca U$S 009</v>
      </c>
      <c r="C25" s="314">
        <f>-'NOTA D - DISPONIBILIDADES'!C40</f>
        <v>9756990739.4743996</v>
      </c>
      <c r="D25" s="722">
        <f>C25/7166.48</f>
        <v>1361476.03</v>
      </c>
      <c r="E25" s="319"/>
    </row>
    <row r="26" spans="2:7">
      <c r="B26" s="442"/>
      <c r="C26" s="314"/>
      <c r="D26" s="707"/>
      <c r="E26" s="319"/>
    </row>
    <row r="27" spans="2:7">
      <c r="B27" s="436" t="s">
        <v>435</v>
      </c>
      <c r="C27" s="443">
        <f>SUM(C28:C30)</f>
        <v>49363157600</v>
      </c>
      <c r="D27" s="708">
        <f>SUM(D28:D30)</f>
        <v>4008000</v>
      </c>
      <c r="E27" s="319">
        <v>0</v>
      </c>
      <c r="G27" s="726"/>
    </row>
    <row r="28" spans="2:7">
      <c r="B28" s="327" t="s">
        <v>1004</v>
      </c>
      <c r="C28" s="314">
        <v>13527000000</v>
      </c>
      <c r="D28" s="707"/>
      <c r="E28" s="319"/>
    </row>
    <row r="29" spans="2:7">
      <c r="B29" s="327" t="s">
        <v>1004</v>
      </c>
      <c r="C29" s="314">
        <v>7100000000</v>
      </c>
      <c r="D29" s="707"/>
      <c r="E29" s="319"/>
    </row>
    <row r="30" spans="2:7">
      <c r="B30" s="442" t="s">
        <v>1041</v>
      </c>
      <c r="C30" s="771">
        <f>D30*$D$6</f>
        <v>28736157600</v>
      </c>
      <c r="D30" s="723">
        <v>4008000</v>
      </c>
      <c r="E30" s="772"/>
    </row>
    <row r="31" spans="2:7">
      <c r="B31" s="442"/>
      <c r="C31" s="314"/>
      <c r="D31" s="707"/>
      <c r="E31" s="319"/>
    </row>
    <row r="32" spans="2:7">
      <c r="B32" s="333" t="str">
        <f>+'NOTA J OTROS ACTIVOS CTES y NO '!B12</f>
        <v>Total al 31/03/2023</v>
      </c>
      <c r="C32" s="446">
        <f>+C27+C10+C20</f>
        <v>98232750897.474396</v>
      </c>
      <c r="D32" s="717"/>
      <c r="E32" s="319">
        <v>0</v>
      </c>
      <c r="F32" s="136"/>
    </row>
    <row r="33" spans="2:6">
      <c r="B33" s="333" t="str">
        <f>+'NOTA J OTROS ACTIVOS CTES y NO '!B13</f>
        <v>Total al 31/12/2022</v>
      </c>
      <c r="C33" s="446">
        <f>'Balance Gral. Resol. 30'!H18+'Balance Gral. Resol. 30'!H19+'Balance Gral. Resol. 30'!H21</f>
        <v>168765027581</v>
      </c>
      <c r="D33" s="717"/>
      <c r="E33" s="319">
        <v>0</v>
      </c>
      <c r="F33" s="136"/>
    </row>
    <row r="34" spans="2:6">
      <c r="C34" s="136"/>
      <c r="D34" s="718"/>
    </row>
    <row r="35" spans="2:6">
      <c r="C35" s="136"/>
      <c r="D35" s="718"/>
      <c r="E35" s="136"/>
    </row>
    <row r="36" spans="2:6" ht="32">
      <c r="B36" s="436" t="s">
        <v>337</v>
      </c>
      <c r="C36" s="428" t="s">
        <v>433</v>
      </c>
      <c r="D36" s="719" t="s">
        <v>1005</v>
      </c>
      <c r="E36" s="428" t="s">
        <v>434</v>
      </c>
    </row>
    <row r="37" spans="2:6">
      <c r="B37" s="313" t="s">
        <v>875</v>
      </c>
      <c r="C37" s="320">
        <v>424420478</v>
      </c>
      <c r="D37" s="720"/>
      <c r="E37" s="320"/>
    </row>
    <row r="38" spans="2:6">
      <c r="B38" s="313" t="s">
        <v>876</v>
      </c>
      <c r="C38" s="320">
        <v>839517954</v>
      </c>
      <c r="D38" s="724">
        <f>+C38/$D$6</f>
        <v>117092.48002008452</v>
      </c>
      <c r="E38" s="320">
        <v>0</v>
      </c>
    </row>
    <row r="39" spans="2:6">
      <c r="B39" s="313" t="s">
        <v>1006</v>
      </c>
      <c r="C39" s="320">
        <v>157349680</v>
      </c>
      <c r="D39" s="725"/>
      <c r="E39" s="320">
        <v>0</v>
      </c>
    </row>
    <row r="40" spans="2:6">
      <c r="B40" s="313" t="s">
        <v>1042</v>
      </c>
      <c r="C40" s="320">
        <v>72903230</v>
      </c>
      <c r="D40" s="724">
        <f>+C40/$D$6</f>
        <v>10168.239954251922</v>
      </c>
      <c r="E40" s="320"/>
    </row>
    <row r="41" spans="2:6">
      <c r="B41" s="313"/>
      <c r="C41" s="320"/>
      <c r="D41" s="720"/>
      <c r="E41" s="320"/>
    </row>
    <row r="42" spans="2:6">
      <c r="B42" s="313"/>
      <c r="C42" s="320"/>
      <c r="D42" s="720"/>
      <c r="E42" s="320"/>
    </row>
    <row r="43" spans="2:6">
      <c r="B43" s="333" t="str">
        <f>+B32</f>
        <v>Total al 31/03/2023</v>
      </c>
      <c r="C43" s="321">
        <f>SUM(C37:C41)</f>
        <v>1494191342</v>
      </c>
      <c r="D43" s="721">
        <f>SUM(D37:D41)</f>
        <v>127260.71997433645</v>
      </c>
      <c r="E43" s="320">
        <v>0</v>
      </c>
    </row>
    <row r="44" spans="2:6">
      <c r="B44" s="333" t="str">
        <f>+B33</f>
        <v>Total al 31/12/2022</v>
      </c>
      <c r="C44" s="321">
        <f>'Balance Gral. Resol. 30'!H20</f>
        <v>1538424132</v>
      </c>
      <c r="D44" s="721"/>
      <c r="E44" s="321">
        <v>0</v>
      </c>
    </row>
    <row r="47" spans="2:6">
      <c r="B47" s="333" t="s">
        <v>1055</v>
      </c>
      <c r="C47" s="321">
        <f>C43+C32+1</f>
        <v>99726942240.474396</v>
      </c>
      <c r="D47" s="759">
        <f>C47-'Balance Gral. Resol. 30'!G22</f>
        <v>0</v>
      </c>
    </row>
    <row r="48" spans="2:6">
      <c r="B48" s="333" t="s">
        <v>1014</v>
      </c>
      <c r="C48" s="321">
        <f>C33+C44</f>
        <v>170303451713</v>
      </c>
      <c r="D48" s="759">
        <f>C48-'Balance Gral. Resol. 30'!H22</f>
        <v>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tabColor rgb="FF002060"/>
  </sheetPr>
  <dimension ref="B1:H21"/>
  <sheetViews>
    <sheetView showGridLines="0" zoomScale="130" zoomScaleNormal="130" workbookViewId="0">
      <selection activeCell="D26" sqref="D26"/>
    </sheetView>
  </sheetViews>
  <sheetFormatPr baseColWidth="10" defaultColWidth="11.5" defaultRowHeight="15"/>
  <cols>
    <col min="1" max="1" width="4.6640625" customWidth="1"/>
    <col min="2" max="2" width="28" bestFit="1" customWidth="1"/>
    <col min="3" max="3" width="15" customWidth="1"/>
    <col min="4" max="4" width="15" style="435" customWidth="1"/>
    <col min="5" max="5" width="13.5" customWidth="1"/>
    <col min="6" max="6" width="14" hidden="1" customWidth="1"/>
    <col min="7" max="7" width="23.33203125" hidden="1" customWidth="1"/>
    <col min="8" max="8" width="14.33203125" hidden="1" customWidth="1"/>
    <col min="9" max="9" width="14.33203125" customWidth="1"/>
  </cols>
  <sheetData>
    <row r="1" spans="2:8" ht="37.25" customHeight="1">
      <c r="C1" s="309"/>
    </row>
    <row r="2" spans="2:8">
      <c r="C2" s="309"/>
    </row>
    <row r="3" spans="2:8">
      <c r="B3" s="829" t="s">
        <v>967</v>
      </c>
      <c r="C3" s="829"/>
      <c r="D3" s="829"/>
    </row>
    <row r="4" spans="2:8">
      <c r="B4" s="18"/>
      <c r="C4" s="18"/>
      <c r="D4" s="18"/>
    </row>
    <row r="5" spans="2:8">
      <c r="B5" s="310" t="s">
        <v>638</v>
      </c>
    </row>
    <row r="6" spans="2:8" ht="34.5" customHeight="1">
      <c r="B6" s="436" t="s">
        <v>337</v>
      </c>
      <c r="C6" s="428" t="s">
        <v>433</v>
      </c>
      <c r="D6" s="428" t="s">
        <v>434</v>
      </c>
    </row>
    <row r="7" spans="2:8">
      <c r="B7" s="313" t="s">
        <v>877</v>
      </c>
      <c r="C7" s="320">
        <f>121696416-109999</f>
        <v>121586417</v>
      </c>
      <c r="D7" s="340"/>
      <c r="H7" s="437"/>
    </row>
    <row r="8" spans="2:8">
      <c r="B8" s="313" t="s">
        <v>878</v>
      </c>
      <c r="C8" s="320">
        <v>22069986</v>
      </c>
      <c r="D8" s="320">
        <v>0</v>
      </c>
      <c r="H8" s="437"/>
    </row>
    <row r="9" spans="2:8">
      <c r="B9" s="313" t="s">
        <v>879</v>
      </c>
      <c r="C9" s="320">
        <v>8002451</v>
      </c>
      <c r="D9" s="320">
        <v>0</v>
      </c>
      <c r="H9" s="437"/>
    </row>
    <row r="10" spans="2:8">
      <c r="B10" s="313" t="s">
        <v>880</v>
      </c>
      <c r="C10" s="320">
        <v>2394326</v>
      </c>
      <c r="D10" s="320"/>
      <c r="E10" s="363"/>
      <c r="F10" s="363"/>
      <c r="H10" s="437"/>
    </row>
    <row r="11" spans="2:8">
      <c r="B11" s="313" t="s">
        <v>881</v>
      </c>
      <c r="C11" s="320">
        <v>2256652</v>
      </c>
      <c r="D11" s="320"/>
      <c r="E11" s="363"/>
      <c r="F11" s="363"/>
      <c r="H11" s="437"/>
    </row>
    <row r="12" spans="2:8">
      <c r="B12" s="313" t="s">
        <v>882</v>
      </c>
      <c r="C12" s="320">
        <v>2533881</v>
      </c>
      <c r="D12" s="320"/>
      <c r="E12" s="363"/>
      <c r="F12" s="363"/>
      <c r="H12" s="437"/>
    </row>
    <row r="13" spans="2:8">
      <c r="B13" s="313" t="s">
        <v>1043</v>
      </c>
      <c r="C13" s="320">
        <v>127132220</v>
      </c>
      <c r="D13" s="320"/>
      <c r="E13" s="363"/>
      <c r="F13" s="363"/>
      <c r="H13" s="437"/>
    </row>
    <row r="14" spans="2:8">
      <c r="B14" s="313" t="s">
        <v>1044</v>
      </c>
      <c r="C14" s="320">
        <v>68049222</v>
      </c>
      <c r="D14" s="320"/>
      <c r="E14" s="363"/>
      <c r="F14" s="363"/>
      <c r="H14" s="437"/>
    </row>
    <row r="15" spans="2:8">
      <c r="B15" s="313" t="s">
        <v>1045</v>
      </c>
      <c r="C15" s="320">
        <v>782566055</v>
      </c>
      <c r="D15" s="320"/>
      <c r="E15" s="363"/>
      <c r="F15" s="363"/>
      <c r="H15" s="437"/>
    </row>
    <row r="16" spans="2:8">
      <c r="B16" s="313"/>
      <c r="C16" s="320"/>
      <c r="D16" s="320"/>
      <c r="E16" s="363"/>
      <c r="F16" s="363"/>
      <c r="H16" s="437"/>
    </row>
    <row r="17" spans="2:7">
      <c r="B17" s="333" t="str">
        <f>+'NOTA K PRESTAMOS'!B32</f>
        <v>Total al 31/03/2023</v>
      </c>
      <c r="C17" s="321">
        <f>SUM(C7:C16)</f>
        <v>1136591210</v>
      </c>
      <c r="D17" s="320">
        <v>0</v>
      </c>
      <c r="E17" s="136">
        <v>0</v>
      </c>
      <c r="F17" s="438"/>
      <c r="G17" s="362"/>
    </row>
    <row r="18" spans="2:7">
      <c r="B18" s="333" t="str">
        <f>+'NOTA K PRESTAMOS'!B33</f>
        <v>Total al 31/12/2022</v>
      </c>
      <c r="C18" s="321">
        <f>'Balance Gral. Resol. 30'!H12</f>
        <v>198329937</v>
      </c>
      <c r="D18" s="321">
        <v>0</v>
      </c>
      <c r="E18" s="136"/>
    </row>
    <row r="19" spans="2:7">
      <c r="C19" s="435"/>
    </row>
    <row r="20" spans="2:7">
      <c r="C20" s="362">
        <f>+C17-'Balance Gral. Resol. 30'!G12</f>
        <v>0</v>
      </c>
    </row>
    <row r="21" spans="2:7">
      <c r="C21" s="362">
        <f>C18-'Balance Gral. Resol. 30'!H12</f>
        <v>0</v>
      </c>
    </row>
  </sheetData>
  <mergeCells count="1">
    <mergeCell ref="B3:D3"/>
  </mergeCells>
  <hyperlinks>
    <hyperlink ref="B5" location="'Balance Gral. Resol. 30'!A1" display="'Balance Gral. Resol. 30'!A1" xr:uid="{00000000-0004-0000-1100-000000000000}"/>
  </hyperlinks>
  <pageMargins left="0.7" right="0.7" top="0.75" bottom="0.75" header="0.3" footer="0.3"/>
  <pageSetup paperSize="9"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tabColor rgb="FF002060"/>
  </sheetPr>
  <dimension ref="B1:G48"/>
  <sheetViews>
    <sheetView showGridLines="0" topLeftCell="A32" zoomScale="130" zoomScaleNormal="130" workbookViewId="0">
      <selection activeCell="C61" sqref="C61"/>
    </sheetView>
  </sheetViews>
  <sheetFormatPr baseColWidth="10" defaultColWidth="11.5" defaultRowHeight="15"/>
  <cols>
    <col min="1" max="1" width="4.6640625" style="353" customWidth="1"/>
    <col min="2" max="2" width="47.1640625" style="353" customWidth="1"/>
    <col min="3" max="4" width="20.6640625" style="353" customWidth="1"/>
    <col min="5" max="5" width="18.83203125" style="353" customWidth="1"/>
    <col min="6" max="6" width="18.5" style="353" customWidth="1"/>
    <col min="7" max="7" width="19.83203125" style="353" customWidth="1"/>
    <col min="8" max="8" width="22.5" style="353" customWidth="1"/>
    <col min="9" max="9" width="11.5" style="353"/>
    <col min="10" max="10" width="13.5" style="353" customWidth="1"/>
    <col min="11" max="16384" width="11.5" style="353"/>
  </cols>
  <sheetData>
    <row r="1" spans="2:4" ht="50" customHeight="1">
      <c r="C1" s="309"/>
    </row>
    <row r="2" spans="2:4" ht="16">
      <c r="B2" s="371" t="s">
        <v>638</v>
      </c>
      <c r="C2" s="309"/>
    </row>
    <row r="3" spans="2:4">
      <c r="B3" s="371"/>
      <c r="C3" s="309"/>
    </row>
    <row r="4" spans="2:4" ht="32">
      <c r="B4" s="412" t="s">
        <v>962</v>
      </c>
    </row>
    <row r="6" spans="2:4" ht="16">
      <c r="B6" s="413" t="s">
        <v>337</v>
      </c>
      <c r="C6" s="413" t="s">
        <v>436</v>
      </c>
      <c r="D6" s="413" t="s">
        <v>437</v>
      </c>
    </row>
    <row r="7" spans="2:4" ht="32">
      <c r="B7" s="414" t="s">
        <v>929</v>
      </c>
      <c r="C7" s="415">
        <v>0</v>
      </c>
      <c r="D7" s="345">
        <v>0</v>
      </c>
    </row>
    <row r="8" spans="2:4" ht="16">
      <c r="B8" s="414" t="s">
        <v>1046</v>
      </c>
      <c r="C8" s="415">
        <v>0</v>
      </c>
      <c r="D8" s="345"/>
    </row>
    <row r="9" spans="2:4" ht="16">
      <c r="B9" s="414" t="s">
        <v>1047</v>
      </c>
      <c r="C9" s="415">
        <v>0</v>
      </c>
      <c r="D9" s="345"/>
    </row>
    <row r="10" spans="2:4" ht="32">
      <c r="B10" s="414" t="s">
        <v>930</v>
      </c>
      <c r="C10" s="415">
        <v>0</v>
      </c>
      <c r="D10" s="416">
        <v>0</v>
      </c>
    </row>
    <row r="11" spans="2:4" ht="16">
      <c r="B11" s="383" t="str">
        <f>+'NOTA L DOCUM y CTAS A PAG'!B17</f>
        <v>Total al 31/03/2023</v>
      </c>
      <c r="C11" s="417">
        <f>SUM(C7:C10)</f>
        <v>0</v>
      </c>
      <c r="D11" s="416">
        <v>0</v>
      </c>
    </row>
    <row r="12" spans="2:4" ht="16">
      <c r="B12" s="383" t="str">
        <f>+'NOTA L DOCUM y CTAS A PAG'!B18</f>
        <v>Total al 31/12/2022</v>
      </c>
      <c r="C12" s="418">
        <f>'Balance Gral. Resol. 30'!H11</f>
        <v>0</v>
      </c>
      <c r="D12" s="416">
        <v>0</v>
      </c>
    </row>
    <row r="13" spans="2:4">
      <c r="C13" s="370">
        <f>+C11-'Balance Gral. Resol. 30'!G11</f>
        <v>0</v>
      </c>
    </row>
    <row r="14" spans="2:4" ht="16">
      <c r="B14" s="412" t="s">
        <v>963</v>
      </c>
      <c r="C14" s="419">
        <f>+C12-'Balance Gral. Resol. 30'!H11</f>
        <v>0</v>
      </c>
    </row>
    <row r="15" spans="2:4" ht="24" customHeight="1">
      <c r="B15" s="866" t="s">
        <v>438</v>
      </c>
      <c r="C15" s="866"/>
      <c r="D15" s="866"/>
    </row>
    <row r="16" spans="2:4">
      <c r="B16" s="421"/>
    </row>
    <row r="17" spans="2:7" ht="24" customHeight="1">
      <c r="B17" s="875" t="s">
        <v>964</v>
      </c>
      <c r="C17" s="875"/>
      <c r="D17" s="875"/>
    </row>
    <row r="18" spans="2:7">
      <c r="B18" s="412"/>
    </row>
    <row r="19" spans="2:7" ht="32">
      <c r="B19" s="413" t="s">
        <v>444</v>
      </c>
      <c r="C19" s="413" t="s">
        <v>445</v>
      </c>
      <c r="D19" s="413" t="s">
        <v>446</v>
      </c>
      <c r="E19" s="413" t="s">
        <v>450</v>
      </c>
      <c r="F19" s="413" t="s">
        <v>436</v>
      </c>
      <c r="G19" s="413" t="s">
        <v>437</v>
      </c>
    </row>
    <row r="20" spans="2:7" ht="16">
      <c r="B20" s="414" t="s">
        <v>1048</v>
      </c>
      <c r="C20" s="414" t="s">
        <v>447</v>
      </c>
      <c r="D20" s="414" t="s">
        <v>1007</v>
      </c>
      <c r="E20" s="422">
        <v>0</v>
      </c>
      <c r="F20" s="415">
        <v>13980915</v>
      </c>
      <c r="G20" s="415">
        <v>0</v>
      </c>
    </row>
    <row r="21" spans="2:7">
      <c r="B21" s="414"/>
      <c r="C21" s="414"/>
      <c r="D21" s="414"/>
      <c r="E21" s="422">
        <v>0</v>
      </c>
      <c r="F21" s="415">
        <v>0</v>
      </c>
      <c r="G21" s="415">
        <v>0</v>
      </c>
    </row>
    <row r="22" spans="2:7" ht="16">
      <c r="B22" s="383" t="str">
        <f>+B11</f>
        <v>Total al 31/03/2023</v>
      </c>
      <c r="C22" s="383"/>
      <c r="D22" s="383"/>
      <c r="E22" s="423"/>
      <c r="F22" s="424">
        <f>SUM(F20:F21)</f>
        <v>13980915</v>
      </c>
      <c r="G22" s="424">
        <v>0</v>
      </c>
    </row>
    <row r="23" spans="2:7" ht="16">
      <c r="B23" s="383" t="str">
        <f>+B12</f>
        <v>Total al 31/12/2022</v>
      </c>
      <c r="C23" s="383"/>
      <c r="D23" s="383"/>
      <c r="E23" s="383"/>
      <c r="F23" s="418">
        <f>'Balance Gral. Resol. 30'!H13</f>
        <v>11009430</v>
      </c>
      <c r="G23" s="418">
        <v>0</v>
      </c>
    </row>
    <row r="24" spans="2:7">
      <c r="F24" s="387">
        <f>+F22-'Balance Gral. Resol. 30'!G13</f>
        <v>0</v>
      </c>
    </row>
    <row r="25" spans="2:7">
      <c r="B25" s="425"/>
      <c r="C25" s="426"/>
      <c r="D25" s="427"/>
      <c r="F25" s="419">
        <f>+F23-'Balance Gral. Resol. 30'!H13</f>
        <v>0</v>
      </c>
    </row>
    <row r="26" spans="2:7" ht="24" customHeight="1">
      <c r="B26" s="875" t="s">
        <v>965</v>
      </c>
      <c r="C26" s="875"/>
      <c r="D26" s="875"/>
      <c r="E26" s="875"/>
      <c r="F26" s="875"/>
      <c r="G26" s="875"/>
    </row>
    <row r="27" spans="2:7">
      <c r="B27" s="866" t="s">
        <v>439</v>
      </c>
      <c r="C27" s="866"/>
      <c r="D27" s="866"/>
      <c r="E27" s="866"/>
      <c r="F27" s="866"/>
      <c r="G27" s="866"/>
    </row>
    <row r="29" spans="2:7" ht="16">
      <c r="B29" s="412" t="s">
        <v>1008</v>
      </c>
    </row>
    <row r="31" spans="2:7" ht="16">
      <c r="B31" s="325" t="s">
        <v>337</v>
      </c>
      <c r="C31" s="428" t="s">
        <v>440</v>
      </c>
      <c r="D31" s="428" t="s">
        <v>441</v>
      </c>
    </row>
    <row r="32" spans="2:7" ht="16">
      <c r="B32" s="429" t="s">
        <v>655</v>
      </c>
      <c r="C32" s="430">
        <f>+'Balance Gral. Resol. 30'!G27</f>
        <v>58201896</v>
      </c>
      <c r="D32" s="431">
        <v>0</v>
      </c>
    </row>
    <row r="33" spans="2:4" ht="16">
      <c r="B33" s="429" t="s">
        <v>514</v>
      </c>
      <c r="C33" s="430">
        <v>0</v>
      </c>
      <c r="D33" s="431">
        <v>0</v>
      </c>
    </row>
    <row r="34" spans="2:4" ht="16">
      <c r="B34" s="429" t="s">
        <v>331</v>
      </c>
      <c r="C34" s="432">
        <v>0</v>
      </c>
      <c r="D34" s="431">
        <v>0</v>
      </c>
    </row>
    <row r="35" spans="2:4" ht="16">
      <c r="B35" s="383" t="str">
        <f>+B22</f>
        <v>Total al 31/03/2023</v>
      </c>
      <c r="C35" s="417">
        <f>SUM(C32:C34)</f>
        <v>58201896</v>
      </c>
      <c r="D35" s="431">
        <v>0</v>
      </c>
    </row>
    <row r="36" spans="2:4" ht="16">
      <c r="B36" s="383" t="str">
        <f>+B23</f>
        <v>Total al 31/12/2022</v>
      </c>
      <c r="C36" s="433">
        <f>'Balance Gral. Resol. 30'!H31</f>
        <v>61831475</v>
      </c>
      <c r="D36" s="431">
        <v>0</v>
      </c>
    </row>
    <row r="38" spans="2:4" ht="16">
      <c r="B38" s="412" t="s">
        <v>966</v>
      </c>
      <c r="C38" s="370">
        <f>+C35-'Balance Gral. Resol. 30'!G31</f>
        <v>0</v>
      </c>
    </row>
    <row r="39" spans="2:4">
      <c r="C39" s="419">
        <f>+C36-'Balance Gral. Resol. 30'!H31</f>
        <v>0</v>
      </c>
    </row>
    <row r="40" spans="2:4" ht="16">
      <c r="B40" s="325" t="s">
        <v>337</v>
      </c>
      <c r="C40" s="428" t="s">
        <v>440</v>
      </c>
      <c r="D40" s="428" t="s">
        <v>441</v>
      </c>
    </row>
    <row r="41" spans="2:4" ht="16">
      <c r="B41" s="429" t="s">
        <v>916</v>
      </c>
      <c r="C41" s="434">
        <v>10682000000</v>
      </c>
      <c r="D41" s="431">
        <v>0</v>
      </c>
    </row>
    <row r="42" spans="2:4" ht="16">
      <c r="B42" s="429" t="s">
        <v>917</v>
      </c>
      <c r="C42" s="434">
        <v>0</v>
      </c>
      <c r="D42" s="431"/>
    </row>
    <row r="43" spans="2:4" ht="16">
      <c r="B43" s="429" t="s">
        <v>918</v>
      </c>
      <c r="C43" s="434">
        <f>17923003+1</f>
        <v>17923004</v>
      </c>
      <c r="D43" s="431"/>
    </row>
    <row r="44" spans="2:4" ht="16">
      <c r="B44" s="429" t="s">
        <v>931</v>
      </c>
      <c r="C44" s="434">
        <v>0</v>
      </c>
      <c r="D44" s="431"/>
    </row>
    <row r="45" spans="2:4" ht="16">
      <c r="B45" s="383" t="str">
        <f>+B35</f>
        <v>Total al 31/03/2023</v>
      </c>
      <c r="C45" s="417">
        <f>SUM(C41:C44)</f>
        <v>10699923004</v>
      </c>
      <c r="D45" s="431">
        <v>0</v>
      </c>
    </row>
    <row r="46" spans="2:4" ht="16">
      <c r="B46" s="383" t="str">
        <f>+B36</f>
        <v>Total al 31/12/2022</v>
      </c>
      <c r="C46" s="433">
        <f>+'Balance Gral. Resol. 30'!H38</f>
        <v>2574527459</v>
      </c>
      <c r="D46" s="431">
        <v>0</v>
      </c>
    </row>
    <row r="48" spans="2:4">
      <c r="C48" s="370">
        <f>+C45-'Balance Gral. Resol. 30'!G38</f>
        <v>0</v>
      </c>
    </row>
  </sheetData>
  <mergeCells count="4">
    <mergeCell ref="B15:D15"/>
    <mergeCell ref="B17:D17"/>
    <mergeCell ref="B26:G26"/>
    <mergeCell ref="B27:G27"/>
  </mergeCells>
  <hyperlinks>
    <hyperlink ref="B2" location="'Balance Gral. Resol. 30'!A1" display="'Balance Gral. Resol. 30'!A1"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55D8F-87BF-4F85-BFAA-B4C43A476FEC}">
  <sheetPr>
    <tabColor rgb="FF002060"/>
  </sheetPr>
  <dimension ref="B1:L158"/>
  <sheetViews>
    <sheetView showGridLines="0" topLeftCell="B124" zoomScale="130" zoomScaleNormal="130" workbookViewId="0">
      <selection activeCell="D26" sqref="D26:F26"/>
    </sheetView>
  </sheetViews>
  <sheetFormatPr baseColWidth="10" defaultColWidth="11.5" defaultRowHeight="14"/>
  <cols>
    <col min="1" max="1" width="11.5" style="4"/>
    <col min="2" max="2" width="18.5" style="5" customWidth="1"/>
    <col min="3" max="3" width="34.5" style="5" customWidth="1"/>
    <col min="4" max="4" width="30.1640625" style="5" customWidth="1"/>
    <col min="5" max="6" width="20.5" style="5" customWidth="1"/>
    <col min="7" max="7" width="14.5" style="4" customWidth="1"/>
    <col min="8" max="8" width="22.1640625" style="4" customWidth="1"/>
    <col min="9" max="9" width="11.6640625" style="4" customWidth="1"/>
    <col min="10" max="10" width="16.5" style="636" bestFit="1" customWidth="1"/>
    <col min="11" max="11" width="12.1640625" style="4" bestFit="1" customWidth="1"/>
    <col min="12" max="16384" width="11.5" style="4"/>
  </cols>
  <sheetData>
    <row r="1" spans="2:7" ht="70.25" customHeight="1">
      <c r="B1" s="635"/>
    </row>
    <row r="2" spans="2:7">
      <c r="B2" s="637" t="s">
        <v>976</v>
      </c>
    </row>
    <row r="3" spans="2:7" ht="15" thickBot="1">
      <c r="B3" s="635"/>
    </row>
    <row r="4" spans="2:7" ht="20.5" customHeight="1">
      <c r="B4" s="788" t="s">
        <v>524</v>
      </c>
      <c r="C4" s="789"/>
      <c r="D4" s="794" t="s">
        <v>525</v>
      </c>
      <c r="E4" s="794"/>
      <c r="F4" s="794"/>
      <c r="G4" s="638"/>
    </row>
    <row r="5" spans="2:7" ht="20.5" customHeight="1">
      <c r="B5" s="790"/>
      <c r="C5" s="791"/>
      <c r="D5" s="795"/>
      <c r="E5" s="795"/>
      <c r="F5" s="795"/>
      <c r="G5" s="640"/>
    </row>
    <row r="6" spans="2:7" ht="20.5" customHeight="1">
      <c r="B6" s="790"/>
      <c r="C6" s="791"/>
      <c r="D6" s="795" t="s">
        <v>977</v>
      </c>
      <c r="E6" s="795"/>
      <c r="F6" s="795"/>
      <c r="G6" s="640"/>
    </row>
    <row r="7" spans="2:7" ht="20.5" customHeight="1">
      <c r="B7" s="790"/>
      <c r="C7" s="791"/>
      <c r="D7" s="795" t="s">
        <v>978</v>
      </c>
      <c r="E7" s="796"/>
      <c r="F7" s="795"/>
      <c r="G7" s="640"/>
    </row>
    <row r="8" spans="2:7" ht="20.5" customHeight="1">
      <c r="B8" s="790"/>
      <c r="C8" s="791"/>
      <c r="D8" s="795" t="s">
        <v>979</v>
      </c>
      <c r="E8" s="795"/>
      <c r="F8" s="795"/>
      <c r="G8" s="640"/>
    </row>
    <row r="9" spans="2:7">
      <c r="B9" s="790"/>
      <c r="C9" s="791"/>
      <c r="D9" s="795" t="s">
        <v>980</v>
      </c>
      <c r="E9" s="795"/>
      <c r="F9" s="795"/>
      <c r="G9" s="640"/>
    </row>
    <row r="10" spans="2:7" ht="14.5" customHeight="1">
      <c r="B10" s="790"/>
      <c r="C10" s="791"/>
      <c r="D10" s="797" t="s">
        <v>526</v>
      </c>
      <c r="E10" s="797"/>
      <c r="F10" s="797"/>
      <c r="G10" s="640"/>
    </row>
    <row r="11" spans="2:7">
      <c r="B11" s="790"/>
      <c r="C11" s="791"/>
      <c r="D11" s="795" t="s">
        <v>981</v>
      </c>
      <c r="E11" s="795"/>
      <c r="F11" s="795"/>
      <c r="G11" s="640"/>
    </row>
    <row r="12" spans="2:7">
      <c r="B12" s="792"/>
      <c r="C12" s="793"/>
      <c r="D12" s="798" t="s">
        <v>982</v>
      </c>
      <c r="E12" s="798"/>
      <c r="F12" s="798"/>
      <c r="G12" s="641"/>
    </row>
    <row r="13" spans="2:7" ht="20.5" customHeight="1">
      <c r="B13" s="778" t="s">
        <v>527</v>
      </c>
      <c r="C13" s="779"/>
      <c r="D13" s="784" t="s">
        <v>983</v>
      </c>
      <c r="E13" s="784"/>
      <c r="F13" s="784"/>
      <c r="G13" s="642"/>
    </row>
    <row r="14" spans="2:7" ht="23" customHeight="1">
      <c r="B14" s="780"/>
      <c r="C14" s="781"/>
      <c r="D14" s="785" t="s">
        <v>984</v>
      </c>
      <c r="E14" s="786"/>
      <c r="F14" s="786"/>
      <c r="G14" s="643"/>
    </row>
    <row r="15" spans="2:7" ht="41" customHeight="1">
      <c r="B15" s="782"/>
      <c r="C15" s="783"/>
      <c r="D15" s="787" t="s">
        <v>985</v>
      </c>
      <c r="E15" s="787"/>
      <c r="F15" s="787"/>
      <c r="G15" s="641"/>
    </row>
    <row r="16" spans="2:7">
      <c r="B16" s="802" t="s">
        <v>528</v>
      </c>
      <c r="C16" s="803"/>
      <c r="D16" s="784" t="s">
        <v>986</v>
      </c>
      <c r="E16" s="784"/>
      <c r="F16" s="784"/>
      <c r="G16" s="642"/>
    </row>
    <row r="17" spans="2:7">
      <c r="B17" s="790"/>
      <c r="C17" s="791"/>
      <c r="D17" s="795" t="s">
        <v>987</v>
      </c>
      <c r="E17" s="795"/>
      <c r="F17" s="795"/>
      <c r="G17" s="640"/>
    </row>
    <row r="18" spans="2:7">
      <c r="B18" s="790"/>
      <c r="C18" s="791"/>
      <c r="D18" s="795" t="s">
        <v>988</v>
      </c>
      <c r="E18" s="795"/>
      <c r="F18" s="795"/>
      <c r="G18" s="640"/>
    </row>
    <row r="19" spans="2:7">
      <c r="B19" s="790"/>
      <c r="C19" s="791"/>
      <c r="D19" s="795" t="s">
        <v>989</v>
      </c>
      <c r="E19" s="795"/>
      <c r="F19" s="795"/>
      <c r="G19" s="640"/>
    </row>
    <row r="20" spans="2:7">
      <c r="B20" s="790"/>
      <c r="C20" s="791"/>
      <c r="D20" s="795" t="s">
        <v>990</v>
      </c>
      <c r="E20" s="795"/>
      <c r="F20" s="795"/>
      <c r="G20" s="640"/>
    </row>
    <row r="21" spans="2:7">
      <c r="B21" s="790"/>
      <c r="C21" s="791"/>
      <c r="D21" s="795" t="s">
        <v>1016</v>
      </c>
      <c r="E21" s="795"/>
      <c r="F21" s="795"/>
      <c r="G21" s="640"/>
    </row>
    <row r="22" spans="2:7">
      <c r="B22" s="790"/>
      <c r="C22" s="791"/>
      <c r="D22" s="795" t="s">
        <v>1015</v>
      </c>
      <c r="E22" s="795"/>
      <c r="F22" s="795"/>
      <c r="G22" s="640"/>
    </row>
    <row r="23" spans="2:7">
      <c r="B23" s="790"/>
      <c r="C23" s="791"/>
      <c r="D23" s="795" t="s">
        <v>991</v>
      </c>
      <c r="E23" s="795"/>
      <c r="F23" s="795"/>
      <c r="G23" s="640"/>
    </row>
    <row r="24" spans="2:7">
      <c r="B24" s="792"/>
      <c r="C24" s="793"/>
      <c r="D24" s="801"/>
      <c r="E24" s="801"/>
      <c r="F24" s="801"/>
      <c r="G24" s="641"/>
    </row>
    <row r="25" spans="2:7" ht="20.5" customHeight="1">
      <c r="B25" s="802" t="s">
        <v>529</v>
      </c>
      <c r="C25" s="803"/>
      <c r="D25" s="784" t="s">
        <v>992</v>
      </c>
      <c r="E25" s="784"/>
      <c r="F25" s="784"/>
      <c r="G25" s="642"/>
    </row>
    <row r="26" spans="2:7" ht="20.5" customHeight="1">
      <c r="B26" s="792"/>
      <c r="C26" s="793"/>
      <c r="D26" s="798" t="s">
        <v>993</v>
      </c>
      <c r="E26" s="798"/>
      <c r="F26" s="798"/>
      <c r="G26" s="641"/>
    </row>
    <row r="27" spans="2:7">
      <c r="B27" s="790"/>
      <c r="C27" s="791"/>
      <c r="D27" s="804"/>
      <c r="E27" s="804"/>
      <c r="F27" s="804"/>
      <c r="G27" s="640"/>
    </row>
    <row r="28" spans="2:7">
      <c r="B28" s="790" t="s">
        <v>530</v>
      </c>
      <c r="C28" s="791"/>
      <c r="D28" s="644" t="s">
        <v>531</v>
      </c>
      <c r="E28" s="645" t="s">
        <v>532</v>
      </c>
      <c r="F28" s="646" t="s">
        <v>671</v>
      </c>
      <c r="G28" s="640"/>
    </row>
    <row r="29" spans="2:7">
      <c r="B29" s="799"/>
      <c r="C29" s="800"/>
      <c r="D29" s="649" t="s">
        <v>533</v>
      </c>
      <c r="E29" s="650" t="s">
        <v>534</v>
      </c>
      <c r="F29" s="736">
        <v>7173993</v>
      </c>
      <c r="G29" s="640"/>
    </row>
    <row r="30" spans="2:7">
      <c r="B30" s="799"/>
      <c r="C30" s="800"/>
      <c r="D30" s="649" t="s">
        <v>522</v>
      </c>
      <c r="E30" s="650" t="s">
        <v>535</v>
      </c>
      <c r="F30" s="736">
        <v>2034661</v>
      </c>
      <c r="G30" s="640"/>
    </row>
    <row r="31" spans="2:7">
      <c r="B31" s="799"/>
      <c r="C31" s="800"/>
      <c r="D31" s="649" t="s">
        <v>536</v>
      </c>
      <c r="E31" s="650" t="s">
        <v>537</v>
      </c>
      <c r="F31" s="736">
        <v>2040166</v>
      </c>
      <c r="G31" s="640"/>
    </row>
    <row r="32" spans="2:7">
      <c r="B32" s="799"/>
      <c r="C32" s="800"/>
      <c r="D32" s="649" t="s">
        <v>538</v>
      </c>
      <c r="E32" s="650" t="s">
        <v>539</v>
      </c>
      <c r="F32" s="736">
        <v>1488472</v>
      </c>
      <c r="G32" s="640"/>
    </row>
    <row r="33" spans="2:12">
      <c r="B33" s="799"/>
      <c r="C33" s="800"/>
      <c r="D33" s="649" t="s">
        <v>540</v>
      </c>
      <c r="E33" s="650" t="s">
        <v>539</v>
      </c>
      <c r="F33" s="736">
        <v>3357156</v>
      </c>
      <c r="G33" s="640"/>
    </row>
    <row r="34" spans="2:12">
      <c r="B34" s="647"/>
      <c r="C34" s="648"/>
      <c r="D34" s="649" t="s">
        <v>1017</v>
      </c>
      <c r="E34" s="650" t="s">
        <v>1019</v>
      </c>
      <c r="F34" s="736">
        <v>1696708</v>
      </c>
      <c r="G34" s="640"/>
    </row>
    <row r="35" spans="2:12">
      <c r="B35" s="647"/>
      <c r="C35" s="648"/>
      <c r="D35" s="649" t="s">
        <v>1018</v>
      </c>
      <c r="E35" s="650" t="s">
        <v>1019</v>
      </c>
      <c r="F35" s="736">
        <v>3626039</v>
      </c>
      <c r="G35" s="640"/>
    </row>
    <row r="36" spans="2:12">
      <c r="B36" s="799"/>
      <c r="C36" s="800"/>
      <c r="D36" s="649" t="s">
        <v>541</v>
      </c>
      <c r="E36" s="650" t="s">
        <v>542</v>
      </c>
      <c r="F36" s="736">
        <v>1246577</v>
      </c>
      <c r="G36" s="640"/>
    </row>
    <row r="37" spans="2:12">
      <c r="B37" s="647"/>
      <c r="C37" s="648"/>
      <c r="D37" s="651" t="s">
        <v>907</v>
      </c>
      <c r="E37" s="652" t="s">
        <v>543</v>
      </c>
      <c r="F37" s="737">
        <v>4305137</v>
      </c>
      <c r="G37" s="653"/>
    </row>
    <row r="38" spans="2:12">
      <c r="B38" s="799"/>
      <c r="C38" s="800"/>
      <c r="D38" s="651" t="s">
        <v>908</v>
      </c>
      <c r="E38" s="652" t="s">
        <v>544</v>
      </c>
      <c r="F38" s="737">
        <v>3958177</v>
      </c>
      <c r="G38" s="640"/>
    </row>
    <row r="39" spans="2:12">
      <c r="B39" s="799"/>
      <c r="C39" s="800"/>
      <c r="D39" s="654" t="s">
        <v>909</v>
      </c>
      <c r="E39" s="655" t="s">
        <v>545</v>
      </c>
      <c r="F39" s="738">
        <v>3830885</v>
      </c>
      <c r="G39" s="640"/>
    </row>
    <row r="40" spans="2:12">
      <c r="B40" s="799"/>
      <c r="C40" s="800"/>
      <c r="D40" s="805"/>
      <c r="E40" s="805"/>
      <c r="F40" s="805"/>
      <c r="G40" s="640"/>
    </row>
    <row r="41" spans="2:12">
      <c r="B41" s="799"/>
      <c r="C41" s="800"/>
      <c r="D41" s="644" t="s">
        <v>546</v>
      </c>
      <c r="E41" s="645" t="s">
        <v>583</v>
      </c>
      <c r="F41" s="645" t="s">
        <v>584</v>
      </c>
      <c r="G41" s="656" t="s">
        <v>547</v>
      </c>
      <c r="I41" s="636"/>
      <c r="J41" s="4"/>
      <c r="L41" s="636"/>
    </row>
    <row r="42" spans="2:12">
      <c r="B42" s="799"/>
      <c r="C42" s="800"/>
      <c r="D42" s="657" t="s">
        <v>548</v>
      </c>
      <c r="E42" s="658" t="s">
        <v>585</v>
      </c>
      <c r="F42" s="658" t="s">
        <v>587</v>
      </c>
      <c r="G42" s="659">
        <v>0.85</v>
      </c>
      <c r="I42" s="636"/>
      <c r="J42" s="4"/>
      <c r="L42" s="636"/>
    </row>
    <row r="43" spans="2:12">
      <c r="B43" s="799"/>
      <c r="C43" s="800"/>
      <c r="D43" s="649" t="s">
        <v>510</v>
      </c>
      <c r="E43" s="650" t="s">
        <v>585</v>
      </c>
      <c r="F43" s="650" t="s">
        <v>588</v>
      </c>
      <c r="G43" s="660">
        <v>0.7</v>
      </c>
      <c r="I43" s="636"/>
      <c r="J43" s="296"/>
      <c r="L43" s="636"/>
    </row>
    <row r="44" spans="2:12">
      <c r="B44" s="647"/>
      <c r="C44" s="648"/>
      <c r="D44" s="651" t="s">
        <v>549</v>
      </c>
      <c r="E44" s="652" t="s">
        <v>585</v>
      </c>
      <c r="F44" s="652" t="s">
        <v>586</v>
      </c>
      <c r="G44" s="661">
        <v>0.998</v>
      </c>
      <c r="I44" s="636"/>
      <c r="J44" s="296"/>
      <c r="L44" s="636"/>
    </row>
    <row r="45" spans="2:12">
      <c r="B45" s="647"/>
      <c r="C45" s="648"/>
      <c r="D45" s="651" t="s">
        <v>920</v>
      </c>
      <c r="E45" s="652" t="s">
        <v>585</v>
      </c>
      <c r="F45" s="652" t="s">
        <v>921</v>
      </c>
      <c r="G45" s="661">
        <v>0.66400000000000003</v>
      </c>
      <c r="I45" s="636"/>
      <c r="J45" s="296"/>
      <c r="L45" s="636"/>
    </row>
    <row r="46" spans="2:12" ht="15" thickBot="1">
      <c r="B46" s="806"/>
      <c r="C46" s="800"/>
      <c r="D46" s="649" t="s">
        <v>551</v>
      </c>
      <c r="E46" s="650" t="s">
        <v>585</v>
      </c>
      <c r="F46" s="650" t="s">
        <v>670</v>
      </c>
      <c r="G46" s="660">
        <v>0.7</v>
      </c>
      <c r="I46" s="636"/>
      <c r="J46" s="296"/>
      <c r="L46" s="636"/>
    </row>
    <row r="47" spans="2:12">
      <c r="B47" s="639"/>
      <c r="C47" s="807"/>
      <c r="D47" s="808"/>
      <c r="E47" s="808"/>
      <c r="F47" s="808"/>
      <c r="G47" s="638"/>
      <c r="I47" s="636"/>
    </row>
    <row r="48" spans="2:12" ht="66" customHeight="1">
      <c r="B48" s="639" t="s">
        <v>550</v>
      </c>
      <c r="C48" s="809" t="s">
        <v>994</v>
      </c>
      <c r="D48" s="810"/>
      <c r="E48" s="810"/>
      <c r="F48" s="810"/>
      <c r="G48" s="640"/>
      <c r="I48" s="636"/>
    </row>
    <row r="49" spans="2:11" ht="26.5" customHeight="1">
      <c r="B49" s="639"/>
      <c r="C49" s="790" t="s">
        <v>995</v>
      </c>
      <c r="D49" s="795"/>
      <c r="E49" s="795"/>
      <c r="F49" s="795"/>
      <c r="G49" s="640"/>
    </row>
    <row r="50" spans="2:11" ht="26.5" customHeight="1">
      <c r="B50" s="647"/>
      <c r="C50" s="790" t="s">
        <v>996</v>
      </c>
      <c r="D50" s="795"/>
      <c r="E50" s="795"/>
      <c r="F50" s="795"/>
      <c r="G50" s="640"/>
    </row>
    <row r="51" spans="2:11" ht="26.5" customHeight="1">
      <c r="B51" s="647"/>
      <c r="C51" s="790" t="s">
        <v>997</v>
      </c>
      <c r="D51" s="795"/>
      <c r="E51" s="795"/>
      <c r="F51" s="795"/>
      <c r="G51" s="640"/>
    </row>
    <row r="52" spans="2:11" ht="26.5" customHeight="1">
      <c r="B52" s="647"/>
      <c r="C52" s="790" t="s">
        <v>998</v>
      </c>
      <c r="D52" s="795"/>
      <c r="E52" s="795"/>
      <c r="F52" s="795"/>
      <c r="G52" s="640"/>
    </row>
    <row r="53" spans="2:11">
      <c r="B53" s="647"/>
      <c r="C53" s="817"/>
      <c r="D53" s="805"/>
      <c r="E53" s="805"/>
      <c r="F53" s="805"/>
      <c r="G53" s="640"/>
    </row>
    <row r="54" spans="2:11" ht="15" thickBot="1">
      <c r="B54" s="662"/>
      <c r="C54" s="818"/>
      <c r="D54" s="819"/>
      <c r="E54" s="819"/>
      <c r="F54" s="819"/>
      <c r="G54" s="663"/>
    </row>
    <row r="55" spans="2:11">
      <c r="B55" s="635"/>
      <c r="C55" s="635"/>
      <c r="D55" s="805"/>
      <c r="E55" s="805"/>
      <c r="F55" s="805"/>
    </row>
    <row r="56" spans="2:11" ht="15" thickBot="1">
      <c r="B56" s="635"/>
    </row>
    <row r="57" spans="2:11" ht="15" thickBot="1">
      <c r="B57" s="811" t="s">
        <v>922</v>
      </c>
      <c r="C57" s="812"/>
      <c r="D57" s="812"/>
      <c r="E57" s="812"/>
      <c r="F57" s="812"/>
      <c r="G57" s="812"/>
      <c r="H57" s="812"/>
      <c r="I57" s="812"/>
      <c r="J57" s="812"/>
      <c r="K57" s="813"/>
    </row>
    <row r="58" spans="2:11" ht="61" thickBot="1">
      <c r="B58" s="664" t="s">
        <v>564</v>
      </c>
      <c r="C58" s="665" t="s">
        <v>565</v>
      </c>
      <c r="D58" s="665" t="s">
        <v>566</v>
      </c>
      <c r="E58" s="665" t="s">
        <v>567</v>
      </c>
      <c r="F58" s="665" t="s">
        <v>568</v>
      </c>
      <c r="G58" s="665" t="s">
        <v>569</v>
      </c>
      <c r="H58" s="665" t="s">
        <v>570</v>
      </c>
      <c r="I58" s="665" t="s">
        <v>571</v>
      </c>
      <c r="J58" s="665" t="s">
        <v>572</v>
      </c>
      <c r="K58" s="666" t="s">
        <v>923</v>
      </c>
    </row>
    <row r="59" spans="2:11" s="671" customFormat="1">
      <c r="B59" s="667">
        <v>1</v>
      </c>
      <c r="C59" s="668" t="s">
        <v>573</v>
      </c>
      <c r="D59" s="669">
        <v>1</v>
      </c>
      <c r="E59" s="669">
        <v>1</v>
      </c>
      <c r="F59" s="669">
        <v>126</v>
      </c>
      <c r="G59" s="669">
        <f t="shared" ref="G59:G122" si="0">F59-E59+1</f>
        <v>126</v>
      </c>
      <c r="H59" s="668" t="s">
        <v>574</v>
      </c>
      <c r="I59" s="669">
        <f t="shared" ref="I59:I122" si="1">G59</f>
        <v>126</v>
      </c>
      <c r="J59" s="669">
        <f>G59*1000000</f>
        <v>126000000</v>
      </c>
      <c r="K59" s="670">
        <f>J59/$J$148*100</f>
        <v>0.29464035169768965</v>
      </c>
    </row>
    <row r="60" spans="2:11">
      <c r="B60" s="672">
        <v>2</v>
      </c>
      <c r="C60" s="388" t="s">
        <v>573</v>
      </c>
      <c r="D60" s="673">
        <v>1</v>
      </c>
      <c r="E60" s="673">
        <v>127</v>
      </c>
      <c r="F60" s="673">
        <v>252</v>
      </c>
      <c r="G60" s="673">
        <f t="shared" si="0"/>
        <v>126</v>
      </c>
      <c r="H60" s="388" t="s">
        <v>574</v>
      </c>
      <c r="I60" s="673">
        <f t="shared" si="1"/>
        <v>126</v>
      </c>
      <c r="J60" s="673">
        <f t="shared" ref="J60:J123" si="2">G60*1000000</f>
        <v>126000000</v>
      </c>
      <c r="K60" s="670">
        <f t="shared" ref="K60:K123" si="3">J60/$J$148*100</f>
        <v>0.29464035169768965</v>
      </c>
    </row>
    <row r="61" spans="2:11">
      <c r="B61" s="672">
        <v>3</v>
      </c>
      <c r="C61" s="388" t="s">
        <v>573</v>
      </c>
      <c r="D61" s="673">
        <v>1</v>
      </c>
      <c r="E61" s="673">
        <v>253</v>
      </c>
      <c r="F61" s="673">
        <v>378</v>
      </c>
      <c r="G61" s="673">
        <f t="shared" si="0"/>
        <v>126</v>
      </c>
      <c r="H61" s="388" t="s">
        <v>574</v>
      </c>
      <c r="I61" s="673">
        <f t="shared" si="1"/>
        <v>126</v>
      </c>
      <c r="J61" s="673">
        <f t="shared" si="2"/>
        <v>126000000</v>
      </c>
      <c r="K61" s="670">
        <f t="shared" si="3"/>
        <v>0.29464035169768965</v>
      </c>
    </row>
    <row r="62" spans="2:11">
      <c r="B62" s="672">
        <v>4</v>
      </c>
      <c r="C62" s="388" t="s">
        <v>573</v>
      </c>
      <c r="D62" s="673">
        <v>1</v>
      </c>
      <c r="E62" s="673">
        <v>379</v>
      </c>
      <c r="F62" s="673">
        <v>441</v>
      </c>
      <c r="G62" s="673">
        <f>F62-E62+1</f>
        <v>63</v>
      </c>
      <c r="H62" s="388" t="s">
        <v>574</v>
      </c>
      <c r="I62" s="673">
        <f t="shared" si="1"/>
        <v>63</v>
      </c>
      <c r="J62" s="673">
        <f t="shared" si="2"/>
        <v>63000000</v>
      </c>
      <c r="K62" s="670">
        <f t="shared" si="3"/>
        <v>0.14732017584884483</v>
      </c>
    </row>
    <row r="63" spans="2:11">
      <c r="B63" s="672">
        <v>5</v>
      </c>
      <c r="C63" s="388" t="s">
        <v>575</v>
      </c>
      <c r="D63" s="673">
        <v>1</v>
      </c>
      <c r="E63" s="673">
        <v>442</v>
      </c>
      <c r="F63" s="673">
        <v>448</v>
      </c>
      <c r="G63" s="673">
        <f t="shared" si="0"/>
        <v>7</v>
      </c>
      <c r="H63" s="388" t="s">
        <v>574</v>
      </c>
      <c r="I63" s="673">
        <f t="shared" si="1"/>
        <v>7</v>
      </c>
      <c r="J63" s="673">
        <f t="shared" si="2"/>
        <v>7000000</v>
      </c>
      <c r="K63" s="670">
        <f t="shared" si="3"/>
        <v>1.6368908427649424E-2</v>
      </c>
    </row>
    <row r="64" spans="2:11">
      <c r="B64" s="672">
        <v>6</v>
      </c>
      <c r="C64" s="388" t="s">
        <v>575</v>
      </c>
      <c r="D64" s="673">
        <v>1</v>
      </c>
      <c r="E64" s="673">
        <v>449</v>
      </c>
      <c r="F64" s="673">
        <v>489</v>
      </c>
      <c r="G64" s="673">
        <f t="shared" si="0"/>
        <v>41</v>
      </c>
      <c r="H64" s="388" t="s">
        <v>574</v>
      </c>
      <c r="I64" s="673">
        <f t="shared" si="1"/>
        <v>41</v>
      </c>
      <c r="J64" s="673">
        <f t="shared" si="2"/>
        <v>41000000</v>
      </c>
      <c r="K64" s="670">
        <f t="shared" si="3"/>
        <v>9.5875035076232351E-2</v>
      </c>
    </row>
    <row r="65" spans="2:11">
      <c r="B65" s="672">
        <v>7</v>
      </c>
      <c r="C65" s="388" t="s">
        <v>576</v>
      </c>
      <c r="D65" s="673">
        <v>1</v>
      </c>
      <c r="E65" s="673">
        <v>490</v>
      </c>
      <c r="F65" s="673">
        <v>504</v>
      </c>
      <c r="G65" s="673">
        <f t="shared" si="0"/>
        <v>15</v>
      </c>
      <c r="H65" s="388" t="s">
        <v>574</v>
      </c>
      <c r="I65" s="673">
        <f t="shared" si="1"/>
        <v>15</v>
      </c>
      <c r="J65" s="673">
        <f t="shared" si="2"/>
        <v>15000000</v>
      </c>
      <c r="K65" s="670">
        <f t="shared" si="3"/>
        <v>3.5076232344963057E-2</v>
      </c>
    </row>
    <row r="66" spans="2:11">
      <c r="B66" s="672">
        <v>8</v>
      </c>
      <c r="C66" s="388" t="s">
        <v>575</v>
      </c>
      <c r="D66" s="673">
        <v>1</v>
      </c>
      <c r="E66" s="673">
        <v>505</v>
      </c>
      <c r="F66" s="673">
        <v>567</v>
      </c>
      <c r="G66" s="673">
        <f t="shared" si="0"/>
        <v>63</v>
      </c>
      <c r="H66" s="388" t="s">
        <v>574</v>
      </c>
      <c r="I66" s="673">
        <f t="shared" si="1"/>
        <v>63</v>
      </c>
      <c r="J66" s="673">
        <f t="shared" si="2"/>
        <v>63000000</v>
      </c>
      <c r="K66" s="670">
        <f t="shared" si="3"/>
        <v>0.14732017584884483</v>
      </c>
    </row>
    <row r="67" spans="2:11">
      <c r="B67" s="672">
        <v>9</v>
      </c>
      <c r="C67" s="388" t="s">
        <v>576</v>
      </c>
      <c r="D67" s="673">
        <v>1</v>
      </c>
      <c r="E67" s="673">
        <v>568</v>
      </c>
      <c r="F67" s="673">
        <v>630</v>
      </c>
      <c r="G67" s="673">
        <f t="shared" si="0"/>
        <v>63</v>
      </c>
      <c r="H67" s="388" t="s">
        <v>574</v>
      </c>
      <c r="I67" s="673">
        <f t="shared" si="1"/>
        <v>63</v>
      </c>
      <c r="J67" s="673">
        <f t="shared" si="2"/>
        <v>63000000</v>
      </c>
      <c r="K67" s="670">
        <f t="shared" si="3"/>
        <v>0.14732017584884483</v>
      </c>
    </row>
    <row r="68" spans="2:11">
      <c r="B68" s="672">
        <v>10</v>
      </c>
      <c r="C68" s="388" t="s">
        <v>573</v>
      </c>
      <c r="D68" s="673">
        <v>1</v>
      </c>
      <c r="E68" s="673">
        <v>631</v>
      </c>
      <c r="F68" s="673">
        <v>670</v>
      </c>
      <c r="G68" s="673">
        <f t="shared" si="0"/>
        <v>40</v>
      </c>
      <c r="H68" s="388" t="s">
        <v>574</v>
      </c>
      <c r="I68" s="673">
        <f t="shared" si="1"/>
        <v>40</v>
      </c>
      <c r="J68" s="673">
        <f t="shared" si="2"/>
        <v>40000000</v>
      </c>
      <c r="K68" s="670">
        <f t="shared" si="3"/>
        <v>9.3536619586568143E-2</v>
      </c>
    </row>
    <row r="69" spans="2:11">
      <c r="B69" s="672">
        <v>11</v>
      </c>
      <c r="C69" s="388" t="s">
        <v>573</v>
      </c>
      <c r="D69" s="673">
        <v>1</v>
      </c>
      <c r="E69" s="673">
        <v>671</v>
      </c>
      <c r="F69" s="673">
        <v>710</v>
      </c>
      <c r="G69" s="673">
        <f t="shared" si="0"/>
        <v>40</v>
      </c>
      <c r="H69" s="388" t="s">
        <v>574</v>
      </c>
      <c r="I69" s="673">
        <f t="shared" si="1"/>
        <v>40</v>
      </c>
      <c r="J69" s="673">
        <f t="shared" si="2"/>
        <v>40000000</v>
      </c>
      <c r="K69" s="670">
        <f t="shared" si="3"/>
        <v>9.3536619586568143E-2</v>
      </c>
    </row>
    <row r="70" spans="2:11">
      <c r="B70" s="672">
        <v>12</v>
      </c>
      <c r="C70" s="388" t="s">
        <v>573</v>
      </c>
      <c r="D70" s="673">
        <v>1</v>
      </c>
      <c r="E70" s="673">
        <v>711</v>
      </c>
      <c r="F70" s="673">
        <v>750</v>
      </c>
      <c r="G70" s="673">
        <f t="shared" si="0"/>
        <v>40</v>
      </c>
      <c r="H70" s="388" t="s">
        <v>574</v>
      </c>
      <c r="I70" s="673">
        <f t="shared" si="1"/>
        <v>40</v>
      </c>
      <c r="J70" s="673">
        <f t="shared" si="2"/>
        <v>40000000</v>
      </c>
      <c r="K70" s="670">
        <f t="shared" si="3"/>
        <v>9.3536619586568143E-2</v>
      </c>
    </row>
    <row r="71" spans="2:11">
      <c r="B71" s="672">
        <v>13</v>
      </c>
      <c r="C71" s="388" t="s">
        <v>573</v>
      </c>
      <c r="D71" s="673">
        <v>1</v>
      </c>
      <c r="E71" s="673">
        <v>751</v>
      </c>
      <c r="F71" s="673">
        <v>770</v>
      </c>
      <c r="G71" s="673">
        <f t="shared" si="0"/>
        <v>20</v>
      </c>
      <c r="H71" s="388" t="s">
        <v>574</v>
      </c>
      <c r="I71" s="673">
        <f t="shared" si="1"/>
        <v>20</v>
      </c>
      <c r="J71" s="673">
        <f t="shared" si="2"/>
        <v>20000000</v>
      </c>
      <c r="K71" s="670">
        <f t="shared" si="3"/>
        <v>4.6768309793284071E-2</v>
      </c>
    </row>
    <row r="72" spans="2:11">
      <c r="B72" s="672">
        <v>14</v>
      </c>
      <c r="C72" s="388" t="s">
        <v>575</v>
      </c>
      <c r="D72" s="673">
        <v>1</v>
      </c>
      <c r="E72" s="673">
        <v>771</v>
      </c>
      <c r="F72" s="673">
        <v>780</v>
      </c>
      <c r="G72" s="673">
        <f t="shared" si="0"/>
        <v>10</v>
      </c>
      <c r="H72" s="388" t="s">
        <v>574</v>
      </c>
      <c r="I72" s="673">
        <f t="shared" si="1"/>
        <v>10</v>
      </c>
      <c r="J72" s="673">
        <f t="shared" si="2"/>
        <v>10000000</v>
      </c>
      <c r="K72" s="670">
        <f t="shared" si="3"/>
        <v>2.3384154896642036E-2</v>
      </c>
    </row>
    <row r="73" spans="2:11">
      <c r="B73" s="672">
        <v>15</v>
      </c>
      <c r="C73" s="388" t="s">
        <v>576</v>
      </c>
      <c r="D73" s="673">
        <v>1</v>
      </c>
      <c r="E73" s="673">
        <v>781</v>
      </c>
      <c r="F73" s="673">
        <v>790</v>
      </c>
      <c r="G73" s="673">
        <f t="shared" si="0"/>
        <v>10</v>
      </c>
      <c r="H73" s="388" t="s">
        <v>574</v>
      </c>
      <c r="I73" s="673">
        <f t="shared" si="1"/>
        <v>10</v>
      </c>
      <c r="J73" s="673">
        <f t="shared" si="2"/>
        <v>10000000</v>
      </c>
      <c r="K73" s="670">
        <f t="shared" si="3"/>
        <v>2.3384154896642036E-2</v>
      </c>
    </row>
    <row r="74" spans="2:11">
      <c r="B74" s="672">
        <v>16</v>
      </c>
      <c r="C74" s="388" t="s">
        <v>575</v>
      </c>
      <c r="D74" s="673">
        <v>1</v>
      </c>
      <c r="E74" s="673">
        <v>791</v>
      </c>
      <c r="F74" s="673">
        <v>810</v>
      </c>
      <c r="G74" s="673">
        <f t="shared" si="0"/>
        <v>20</v>
      </c>
      <c r="H74" s="388" t="s">
        <v>574</v>
      </c>
      <c r="I74" s="673">
        <f t="shared" si="1"/>
        <v>20</v>
      </c>
      <c r="J74" s="673">
        <f t="shared" si="2"/>
        <v>20000000</v>
      </c>
      <c r="K74" s="670">
        <f t="shared" si="3"/>
        <v>4.6768309793284071E-2</v>
      </c>
    </row>
    <row r="75" spans="2:11">
      <c r="B75" s="672">
        <v>17</v>
      </c>
      <c r="C75" s="388" t="s">
        <v>576</v>
      </c>
      <c r="D75" s="673">
        <v>1</v>
      </c>
      <c r="E75" s="673">
        <v>811</v>
      </c>
      <c r="F75" s="673">
        <v>830</v>
      </c>
      <c r="G75" s="673">
        <f t="shared" si="0"/>
        <v>20</v>
      </c>
      <c r="H75" s="388" t="s">
        <v>574</v>
      </c>
      <c r="I75" s="673">
        <f t="shared" si="1"/>
        <v>20</v>
      </c>
      <c r="J75" s="673">
        <f t="shared" si="2"/>
        <v>20000000</v>
      </c>
      <c r="K75" s="670">
        <f t="shared" si="3"/>
        <v>4.6768309793284071E-2</v>
      </c>
    </row>
    <row r="76" spans="2:11">
      <c r="B76" s="672">
        <v>18</v>
      </c>
      <c r="C76" s="388" t="s">
        <v>573</v>
      </c>
      <c r="D76" s="673">
        <v>1</v>
      </c>
      <c r="E76" s="673">
        <v>831</v>
      </c>
      <c r="F76" s="673">
        <v>941</v>
      </c>
      <c r="G76" s="673">
        <f t="shared" si="0"/>
        <v>111</v>
      </c>
      <c r="H76" s="388" t="s">
        <v>574</v>
      </c>
      <c r="I76" s="673">
        <f t="shared" si="1"/>
        <v>111</v>
      </c>
      <c r="J76" s="673">
        <f t="shared" si="2"/>
        <v>111000000</v>
      </c>
      <c r="K76" s="670">
        <f t="shared" si="3"/>
        <v>0.25956411935272661</v>
      </c>
    </row>
    <row r="77" spans="2:11">
      <c r="B77" s="672">
        <v>19</v>
      </c>
      <c r="C77" s="388" t="s">
        <v>573</v>
      </c>
      <c r="D77" s="673">
        <v>1</v>
      </c>
      <c r="E77" s="673">
        <v>942</v>
      </c>
      <c r="F77" s="673">
        <v>1089</v>
      </c>
      <c r="G77" s="673">
        <f t="shared" si="0"/>
        <v>148</v>
      </c>
      <c r="H77" s="388" t="s">
        <v>574</v>
      </c>
      <c r="I77" s="673">
        <f t="shared" si="1"/>
        <v>148</v>
      </c>
      <c r="J77" s="673">
        <f t="shared" si="2"/>
        <v>148000000</v>
      </c>
      <c r="K77" s="670">
        <f t="shared" si="3"/>
        <v>0.34608549247030213</v>
      </c>
    </row>
    <row r="78" spans="2:11">
      <c r="B78" s="672">
        <v>20</v>
      </c>
      <c r="C78" s="388" t="s">
        <v>575</v>
      </c>
      <c r="D78" s="673">
        <v>1</v>
      </c>
      <c r="E78" s="673">
        <v>1090</v>
      </c>
      <c r="F78" s="673">
        <v>1133</v>
      </c>
      <c r="G78" s="673">
        <f t="shared" si="0"/>
        <v>44</v>
      </c>
      <c r="H78" s="388" t="s">
        <v>574</v>
      </c>
      <c r="I78" s="673">
        <f t="shared" si="1"/>
        <v>44</v>
      </c>
      <c r="J78" s="673">
        <f t="shared" si="2"/>
        <v>44000000</v>
      </c>
      <c r="K78" s="670">
        <f t="shared" si="3"/>
        <v>0.10289028154522495</v>
      </c>
    </row>
    <row r="79" spans="2:11">
      <c r="B79" s="672">
        <v>21</v>
      </c>
      <c r="C79" s="388" t="s">
        <v>576</v>
      </c>
      <c r="D79" s="673">
        <v>1</v>
      </c>
      <c r="E79" s="673">
        <v>1134</v>
      </c>
      <c r="F79" s="673">
        <v>1181</v>
      </c>
      <c r="G79" s="673">
        <f t="shared" si="0"/>
        <v>48</v>
      </c>
      <c r="H79" s="388" t="s">
        <v>574</v>
      </c>
      <c r="I79" s="673">
        <f t="shared" si="1"/>
        <v>48</v>
      </c>
      <c r="J79" s="673">
        <f t="shared" si="2"/>
        <v>48000000</v>
      </c>
      <c r="K79" s="670">
        <f t="shared" si="3"/>
        <v>0.11224394350388177</v>
      </c>
    </row>
    <row r="80" spans="2:11">
      <c r="B80" s="672">
        <v>22</v>
      </c>
      <c r="C80" s="388" t="s">
        <v>576</v>
      </c>
      <c r="D80" s="673">
        <v>1</v>
      </c>
      <c r="E80" s="673">
        <v>1182</v>
      </c>
      <c r="F80" s="673">
        <v>1200</v>
      </c>
      <c r="G80" s="673">
        <f t="shared" si="0"/>
        <v>19</v>
      </c>
      <c r="H80" s="388" t="s">
        <v>574</v>
      </c>
      <c r="I80" s="673">
        <f t="shared" si="1"/>
        <v>19</v>
      </c>
      <c r="J80" s="673">
        <f t="shared" si="2"/>
        <v>19000000</v>
      </c>
      <c r="K80" s="670">
        <f t="shared" si="3"/>
        <v>4.442989430361987E-2</v>
      </c>
    </row>
    <row r="81" spans="2:11">
      <c r="B81" s="672">
        <v>23</v>
      </c>
      <c r="C81" s="388" t="s">
        <v>573</v>
      </c>
      <c r="D81" s="673">
        <v>1</v>
      </c>
      <c r="E81" s="673">
        <v>1201</v>
      </c>
      <c r="F81" s="673">
        <v>1440</v>
      </c>
      <c r="G81" s="673">
        <f t="shared" si="0"/>
        <v>240</v>
      </c>
      <c r="H81" s="388" t="s">
        <v>574</v>
      </c>
      <c r="I81" s="673">
        <f t="shared" si="1"/>
        <v>240</v>
      </c>
      <c r="J81" s="673">
        <f t="shared" si="2"/>
        <v>240000000</v>
      </c>
      <c r="K81" s="670">
        <f t="shared" si="3"/>
        <v>0.56121971751940891</v>
      </c>
    </row>
    <row r="82" spans="2:11">
      <c r="B82" s="672">
        <v>24</v>
      </c>
      <c r="C82" s="388" t="s">
        <v>573</v>
      </c>
      <c r="D82" s="673">
        <v>1</v>
      </c>
      <c r="E82" s="673">
        <v>1441</v>
      </c>
      <c r="F82" s="673">
        <v>1620</v>
      </c>
      <c r="G82" s="673">
        <f t="shared" si="0"/>
        <v>180</v>
      </c>
      <c r="H82" s="388" t="s">
        <v>574</v>
      </c>
      <c r="I82" s="673">
        <f t="shared" si="1"/>
        <v>180</v>
      </c>
      <c r="J82" s="673">
        <f t="shared" si="2"/>
        <v>180000000</v>
      </c>
      <c r="K82" s="670">
        <f t="shared" si="3"/>
        <v>0.42091478813955668</v>
      </c>
    </row>
    <row r="83" spans="2:11">
      <c r="B83" s="672">
        <v>25</v>
      </c>
      <c r="C83" s="388" t="s">
        <v>576</v>
      </c>
      <c r="D83" s="673">
        <v>1</v>
      </c>
      <c r="E83" s="673">
        <v>1621</v>
      </c>
      <c r="F83" s="673">
        <v>1698</v>
      </c>
      <c r="G83" s="673">
        <f t="shared" si="0"/>
        <v>78</v>
      </c>
      <c r="H83" s="388" t="s">
        <v>574</v>
      </c>
      <c r="I83" s="673">
        <f t="shared" si="1"/>
        <v>78</v>
      </c>
      <c r="J83" s="673">
        <f t="shared" si="2"/>
        <v>78000000</v>
      </c>
      <c r="K83" s="670">
        <f t="shared" si="3"/>
        <v>0.18239640819380787</v>
      </c>
    </row>
    <row r="84" spans="2:11">
      <c r="B84" s="672">
        <v>26</v>
      </c>
      <c r="C84" s="388" t="s">
        <v>575</v>
      </c>
      <c r="D84" s="673">
        <v>1</v>
      </c>
      <c r="E84" s="673">
        <v>1699</v>
      </c>
      <c r="F84" s="673">
        <v>1770</v>
      </c>
      <c r="G84" s="673">
        <f t="shared" si="0"/>
        <v>72</v>
      </c>
      <c r="H84" s="388" t="s">
        <v>574</v>
      </c>
      <c r="I84" s="673">
        <f t="shared" si="1"/>
        <v>72</v>
      </c>
      <c r="J84" s="673">
        <f t="shared" si="2"/>
        <v>72000000</v>
      </c>
      <c r="K84" s="670">
        <f t="shared" si="3"/>
        <v>0.16836591525582265</v>
      </c>
    </row>
    <row r="85" spans="2:11">
      <c r="B85" s="672">
        <v>27</v>
      </c>
      <c r="C85" s="388" t="s">
        <v>576</v>
      </c>
      <c r="D85" s="673">
        <v>1</v>
      </c>
      <c r="E85" s="673">
        <v>1771</v>
      </c>
      <c r="F85" s="673">
        <v>1800</v>
      </c>
      <c r="G85" s="673">
        <f t="shared" si="0"/>
        <v>30</v>
      </c>
      <c r="H85" s="388" t="s">
        <v>574</v>
      </c>
      <c r="I85" s="673">
        <f t="shared" si="1"/>
        <v>30</v>
      </c>
      <c r="J85" s="673">
        <f t="shared" si="2"/>
        <v>30000000</v>
      </c>
      <c r="K85" s="670">
        <f t="shared" si="3"/>
        <v>7.0152464689926114E-2</v>
      </c>
    </row>
    <row r="86" spans="2:11">
      <c r="B86" s="672">
        <v>28</v>
      </c>
      <c r="C86" s="388" t="s">
        <v>573</v>
      </c>
      <c r="D86" s="673">
        <v>1</v>
      </c>
      <c r="E86" s="673">
        <v>1801</v>
      </c>
      <c r="F86" s="673">
        <v>1898</v>
      </c>
      <c r="G86" s="673">
        <f t="shared" si="0"/>
        <v>98</v>
      </c>
      <c r="H86" s="388" t="s">
        <v>574</v>
      </c>
      <c r="I86" s="673">
        <f t="shared" si="1"/>
        <v>98</v>
      </c>
      <c r="J86" s="673">
        <f t="shared" si="2"/>
        <v>98000000</v>
      </c>
      <c r="K86" s="670">
        <f t="shared" si="3"/>
        <v>0.22916471798709193</v>
      </c>
    </row>
    <row r="87" spans="2:11">
      <c r="B87" s="672">
        <v>29</v>
      </c>
      <c r="C87" s="388" t="s">
        <v>575</v>
      </c>
      <c r="D87" s="673">
        <v>1</v>
      </c>
      <c r="E87" s="673">
        <v>1899</v>
      </c>
      <c r="F87" s="673">
        <v>2141</v>
      </c>
      <c r="G87" s="673">
        <f t="shared" si="0"/>
        <v>243</v>
      </c>
      <c r="H87" s="388" t="s">
        <v>574</v>
      </c>
      <c r="I87" s="673">
        <f t="shared" si="1"/>
        <v>243</v>
      </c>
      <c r="J87" s="673">
        <f t="shared" si="2"/>
        <v>243000000</v>
      </c>
      <c r="K87" s="670">
        <f t="shared" si="3"/>
        <v>0.56823496398840145</v>
      </c>
    </row>
    <row r="88" spans="2:11">
      <c r="B88" s="672">
        <v>30</v>
      </c>
      <c r="C88" s="388" t="s">
        <v>576</v>
      </c>
      <c r="D88" s="673">
        <v>1</v>
      </c>
      <c r="E88" s="673">
        <v>2142</v>
      </c>
      <c r="F88" s="673">
        <f>E88+242</f>
        <v>2384</v>
      </c>
      <c r="G88" s="673">
        <f t="shared" si="0"/>
        <v>243</v>
      </c>
      <c r="H88" s="388" t="s">
        <v>574</v>
      </c>
      <c r="I88" s="673">
        <f t="shared" si="1"/>
        <v>243</v>
      </c>
      <c r="J88" s="673">
        <f t="shared" si="2"/>
        <v>243000000</v>
      </c>
      <c r="K88" s="670">
        <f t="shared" si="3"/>
        <v>0.56823496398840145</v>
      </c>
    </row>
    <row r="89" spans="2:11">
      <c r="B89" s="672">
        <v>31</v>
      </c>
      <c r="C89" s="388" t="s">
        <v>573</v>
      </c>
      <c r="D89" s="673">
        <v>1</v>
      </c>
      <c r="E89" s="673">
        <v>2385</v>
      </c>
      <c r="F89" s="673">
        <v>2480</v>
      </c>
      <c r="G89" s="673">
        <f t="shared" si="0"/>
        <v>96</v>
      </c>
      <c r="H89" s="388" t="s">
        <v>574</v>
      </c>
      <c r="I89" s="673">
        <f t="shared" si="1"/>
        <v>96</v>
      </c>
      <c r="J89" s="673">
        <f t="shared" si="2"/>
        <v>96000000</v>
      </c>
      <c r="K89" s="670">
        <f t="shared" si="3"/>
        <v>0.22448788700776354</v>
      </c>
    </row>
    <row r="90" spans="2:11">
      <c r="B90" s="672">
        <v>32</v>
      </c>
      <c r="C90" s="388" t="s">
        <v>573</v>
      </c>
      <c r="D90" s="673">
        <v>1</v>
      </c>
      <c r="E90" s="673">
        <v>2481</v>
      </c>
      <c r="F90" s="673">
        <v>2990</v>
      </c>
      <c r="G90" s="673">
        <f t="shared" si="0"/>
        <v>510</v>
      </c>
      <c r="H90" s="388" t="s">
        <v>574</v>
      </c>
      <c r="I90" s="673">
        <f t="shared" si="1"/>
        <v>510</v>
      </c>
      <c r="J90" s="673">
        <f t="shared" si="2"/>
        <v>510000000</v>
      </c>
      <c r="K90" s="670">
        <f t="shared" si="3"/>
        <v>1.1925918997287437</v>
      </c>
    </row>
    <row r="91" spans="2:11">
      <c r="B91" s="672">
        <v>33</v>
      </c>
      <c r="C91" s="388" t="s">
        <v>576</v>
      </c>
      <c r="D91" s="673">
        <v>1</v>
      </c>
      <c r="E91" s="673">
        <v>2991</v>
      </c>
      <c r="F91" s="673">
        <v>3211</v>
      </c>
      <c r="G91" s="673">
        <f t="shared" si="0"/>
        <v>221</v>
      </c>
      <c r="H91" s="388" t="s">
        <v>574</v>
      </c>
      <c r="I91" s="673">
        <f t="shared" si="1"/>
        <v>221</v>
      </c>
      <c r="J91" s="673">
        <f t="shared" si="2"/>
        <v>221000000</v>
      </c>
      <c r="K91" s="670">
        <f t="shared" si="3"/>
        <v>0.51678982321578903</v>
      </c>
    </row>
    <row r="92" spans="2:11">
      <c r="B92" s="672">
        <v>34</v>
      </c>
      <c r="C92" s="388" t="s">
        <v>575</v>
      </c>
      <c r="D92" s="673">
        <v>1</v>
      </c>
      <c r="E92" s="673">
        <v>3212</v>
      </c>
      <c r="F92" s="673">
        <v>3415</v>
      </c>
      <c r="G92" s="673">
        <f t="shared" si="0"/>
        <v>204</v>
      </c>
      <c r="H92" s="388" t="s">
        <v>574</v>
      </c>
      <c r="I92" s="673">
        <f t="shared" si="1"/>
        <v>204</v>
      </c>
      <c r="J92" s="673">
        <f t="shared" si="2"/>
        <v>204000000</v>
      </c>
      <c r="K92" s="670">
        <f t="shared" si="3"/>
        <v>0.47703675989149752</v>
      </c>
    </row>
    <row r="93" spans="2:11">
      <c r="B93" s="672">
        <v>35</v>
      </c>
      <c r="C93" s="388" t="s">
        <v>576</v>
      </c>
      <c r="D93" s="673">
        <v>1</v>
      </c>
      <c r="E93" s="673">
        <v>3416</v>
      </c>
      <c r="F93" s="673">
        <v>3448</v>
      </c>
      <c r="G93" s="673">
        <f t="shared" si="0"/>
        <v>33</v>
      </c>
      <c r="H93" s="388" t="s">
        <v>574</v>
      </c>
      <c r="I93" s="673">
        <f t="shared" si="1"/>
        <v>33</v>
      </c>
      <c r="J93" s="673">
        <f t="shared" si="2"/>
        <v>33000000</v>
      </c>
      <c r="K93" s="670">
        <f t="shared" si="3"/>
        <v>7.7167711158918711E-2</v>
      </c>
    </row>
    <row r="94" spans="2:11">
      <c r="B94" s="672">
        <v>36</v>
      </c>
      <c r="C94" s="388" t="s">
        <v>575</v>
      </c>
      <c r="D94" s="673">
        <v>1</v>
      </c>
      <c r="E94" s="673">
        <v>3449</v>
      </c>
      <c r="F94" s="673">
        <v>3500</v>
      </c>
      <c r="G94" s="673">
        <f t="shared" si="0"/>
        <v>52</v>
      </c>
      <c r="H94" s="388" t="s">
        <v>574</v>
      </c>
      <c r="I94" s="673">
        <f t="shared" si="1"/>
        <v>52</v>
      </c>
      <c r="J94" s="673">
        <f t="shared" si="2"/>
        <v>52000000</v>
      </c>
      <c r="K94" s="670">
        <f t="shared" si="3"/>
        <v>0.12159760546253859</v>
      </c>
    </row>
    <row r="95" spans="2:11">
      <c r="B95" s="672">
        <v>37</v>
      </c>
      <c r="C95" s="388" t="s">
        <v>573</v>
      </c>
      <c r="D95" s="673">
        <v>1</v>
      </c>
      <c r="E95" s="673">
        <v>3501</v>
      </c>
      <c r="F95" s="673">
        <v>3558</v>
      </c>
      <c r="G95" s="673">
        <f t="shared" si="0"/>
        <v>58</v>
      </c>
      <c r="H95" s="388" t="s">
        <v>574</v>
      </c>
      <c r="I95" s="673">
        <f t="shared" si="1"/>
        <v>58</v>
      </c>
      <c r="J95" s="673">
        <f t="shared" si="2"/>
        <v>58000000</v>
      </c>
      <c r="K95" s="670">
        <f t="shared" si="3"/>
        <v>0.13562809840052381</v>
      </c>
    </row>
    <row r="96" spans="2:11">
      <c r="B96" s="672">
        <v>38</v>
      </c>
      <c r="C96" s="388" t="s">
        <v>575</v>
      </c>
      <c r="D96" s="673">
        <v>1</v>
      </c>
      <c r="E96" s="673">
        <v>3559</v>
      </c>
      <c r="F96" s="673">
        <v>3740</v>
      </c>
      <c r="G96" s="673">
        <f>F96-E96+1</f>
        <v>182</v>
      </c>
      <c r="H96" s="388" t="s">
        <v>574</v>
      </c>
      <c r="I96" s="673">
        <f t="shared" si="1"/>
        <v>182</v>
      </c>
      <c r="J96" s="673">
        <f t="shared" si="2"/>
        <v>182000000</v>
      </c>
      <c r="K96" s="670">
        <f t="shared" si="3"/>
        <v>0.42559161911888505</v>
      </c>
    </row>
    <row r="97" spans="2:11">
      <c r="B97" s="672">
        <v>39</v>
      </c>
      <c r="C97" s="388" t="s">
        <v>573</v>
      </c>
      <c r="D97" s="673">
        <v>1</v>
      </c>
      <c r="E97" s="673">
        <v>3741</v>
      </c>
      <c r="F97" s="673">
        <v>3920</v>
      </c>
      <c r="G97" s="673">
        <f t="shared" si="0"/>
        <v>180</v>
      </c>
      <c r="H97" s="388" t="s">
        <v>574</v>
      </c>
      <c r="I97" s="673">
        <f t="shared" si="1"/>
        <v>180</v>
      </c>
      <c r="J97" s="673">
        <f t="shared" si="2"/>
        <v>180000000</v>
      </c>
      <c r="K97" s="670">
        <f t="shared" si="3"/>
        <v>0.42091478813955668</v>
      </c>
    </row>
    <row r="98" spans="2:11">
      <c r="B98" s="672">
        <v>40</v>
      </c>
      <c r="C98" s="388" t="s">
        <v>576</v>
      </c>
      <c r="D98" s="673">
        <v>1</v>
      </c>
      <c r="E98" s="673">
        <v>3921</v>
      </c>
      <c r="F98" s="673">
        <v>3998</v>
      </c>
      <c r="G98" s="673">
        <f t="shared" si="0"/>
        <v>78</v>
      </c>
      <c r="H98" s="388" t="s">
        <v>574</v>
      </c>
      <c r="I98" s="673">
        <f t="shared" si="1"/>
        <v>78</v>
      </c>
      <c r="J98" s="673">
        <f t="shared" si="2"/>
        <v>78000000</v>
      </c>
      <c r="K98" s="670">
        <f t="shared" si="3"/>
        <v>0.18239640819380787</v>
      </c>
    </row>
    <row r="99" spans="2:11">
      <c r="B99" s="672">
        <v>41</v>
      </c>
      <c r="C99" s="388" t="s">
        <v>575</v>
      </c>
      <c r="D99" s="673">
        <v>1</v>
      </c>
      <c r="E99" s="673">
        <v>3999</v>
      </c>
      <c r="F99" s="673">
        <v>4070</v>
      </c>
      <c r="G99" s="673">
        <f t="shared" si="0"/>
        <v>72</v>
      </c>
      <c r="H99" s="388" t="s">
        <v>574</v>
      </c>
      <c r="I99" s="673">
        <f t="shared" si="1"/>
        <v>72</v>
      </c>
      <c r="J99" s="673">
        <f t="shared" si="2"/>
        <v>72000000</v>
      </c>
      <c r="K99" s="670">
        <f t="shared" si="3"/>
        <v>0.16836591525582265</v>
      </c>
    </row>
    <row r="100" spans="2:11">
      <c r="B100" s="672">
        <v>42</v>
      </c>
      <c r="C100" s="388" t="s">
        <v>575</v>
      </c>
      <c r="D100" s="673">
        <v>1</v>
      </c>
      <c r="E100" s="673">
        <v>4071</v>
      </c>
      <c r="F100" s="673">
        <v>4100</v>
      </c>
      <c r="G100" s="673">
        <f t="shared" si="0"/>
        <v>30</v>
      </c>
      <c r="H100" s="388" t="s">
        <v>574</v>
      </c>
      <c r="I100" s="673">
        <f t="shared" si="1"/>
        <v>30</v>
      </c>
      <c r="J100" s="673">
        <f t="shared" si="2"/>
        <v>30000000</v>
      </c>
      <c r="K100" s="670">
        <f t="shared" si="3"/>
        <v>7.0152464689926114E-2</v>
      </c>
    </row>
    <row r="101" spans="2:11">
      <c r="B101" s="672">
        <v>43</v>
      </c>
      <c r="C101" s="388" t="s">
        <v>575</v>
      </c>
      <c r="D101" s="673">
        <v>1</v>
      </c>
      <c r="E101" s="673">
        <v>4101</v>
      </c>
      <c r="F101" s="673">
        <v>4161</v>
      </c>
      <c r="G101" s="673">
        <f t="shared" si="0"/>
        <v>61</v>
      </c>
      <c r="H101" s="388" t="s">
        <v>574</v>
      </c>
      <c r="I101" s="673">
        <f t="shared" si="1"/>
        <v>61</v>
      </c>
      <c r="J101" s="673">
        <f t="shared" si="2"/>
        <v>61000000</v>
      </c>
      <c r="K101" s="670">
        <f t="shared" si="3"/>
        <v>0.14264334486951641</v>
      </c>
    </row>
    <row r="102" spans="2:11">
      <c r="B102" s="672">
        <v>44</v>
      </c>
      <c r="C102" s="388" t="s">
        <v>576</v>
      </c>
      <c r="D102" s="673">
        <v>1</v>
      </c>
      <c r="E102" s="673">
        <v>4162</v>
      </c>
      <c r="F102" s="673">
        <v>4404</v>
      </c>
      <c r="G102" s="673">
        <f t="shared" si="0"/>
        <v>243</v>
      </c>
      <c r="H102" s="388" t="s">
        <v>574</v>
      </c>
      <c r="I102" s="673">
        <f t="shared" si="1"/>
        <v>243</v>
      </c>
      <c r="J102" s="673">
        <f t="shared" si="2"/>
        <v>243000000</v>
      </c>
      <c r="K102" s="670">
        <f t="shared" si="3"/>
        <v>0.56823496398840145</v>
      </c>
    </row>
    <row r="103" spans="2:11">
      <c r="B103" s="672">
        <v>45</v>
      </c>
      <c r="C103" s="388" t="s">
        <v>573</v>
      </c>
      <c r="D103" s="673">
        <v>1</v>
      </c>
      <c r="E103" s="673">
        <v>4405</v>
      </c>
      <c r="F103" s="673">
        <v>4632</v>
      </c>
      <c r="G103" s="673">
        <f t="shared" si="0"/>
        <v>228</v>
      </c>
      <c r="H103" s="388" t="s">
        <v>574</v>
      </c>
      <c r="I103" s="673">
        <f t="shared" si="1"/>
        <v>228</v>
      </c>
      <c r="J103" s="673">
        <f t="shared" si="2"/>
        <v>228000000</v>
      </c>
      <c r="K103" s="670">
        <f t="shared" si="3"/>
        <v>0.53315873164343841</v>
      </c>
    </row>
    <row r="104" spans="2:11">
      <c r="B104" s="672">
        <v>46</v>
      </c>
      <c r="C104" s="388" t="s">
        <v>576</v>
      </c>
      <c r="D104" s="673">
        <v>1</v>
      </c>
      <c r="E104" s="673">
        <v>4633</v>
      </c>
      <c r="F104" s="673">
        <v>4746</v>
      </c>
      <c r="G104" s="673">
        <f t="shared" si="0"/>
        <v>114</v>
      </c>
      <c r="H104" s="388" t="s">
        <v>574</v>
      </c>
      <c r="I104" s="673">
        <f t="shared" si="1"/>
        <v>114</v>
      </c>
      <c r="J104" s="673">
        <f t="shared" si="2"/>
        <v>114000000</v>
      </c>
      <c r="K104" s="670">
        <f t="shared" si="3"/>
        <v>0.26657936582171921</v>
      </c>
    </row>
    <row r="105" spans="2:11">
      <c r="B105" s="672">
        <v>47</v>
      </c>
      <c r="C105" s="388" t="s">
        <v>575</v>
      </c>
      <c r="D105" s="673">
        <v>1</v>
      </c>
      <c r="E105" s="673">
        <v>4747</v>
      </c>
      <c r="F105" s="673">
        <v>4860</v>
      </c>
      <c r="G105" s="673">
        <f t="shared" si="0"/>
        <v>114</v>
      </c>
      <c r="H105" s="388" t="s">
        <v>574</v>
      </c>
      <c r="I105" s="673">
        <f t="shared" si="1"/>
        <v>114</v>
      </c>
      <c r="J105" s="673">
        <f t="shared" si="2"/>
        <v>114000000</v>
      </c>
      <c r="K105" s="670">
        <f t="shared" si="3"/>
        <v>0.26657936582171921</v>
      </c>
    </row>
    <row r="106" spans="2:11">
      <c r="B106" s="672">
        <v>48</v>
      </c>
      <c r="C106" s="388" t="s">
        <v>522</v>
      </c>
      <c r="D106" s="673">
        <v>1</v>
      </c>
      <c r="E106" s="673">
        <v>4861</v>
      </c>
      <c r="F106" s="673">
        <f>E106+255</f>
        <v>5116</v>
      </c>
      <c r="G106" s="673">
        <f>F106-E106+1</f>
        <v>256</v>
      </c>
      <c r="H106" s="388" t="s">
        <v>574</v>
      </c>
      <c r="I106" s="673">
        <f>G106</f>
        <v>256</v>
      </c>
      <c r="J106" s="673">
        <f t="shared" si="2"/>
        <v>256000000</v>
      </c>
      <c r="K106" s="670">
        <f t="shared" si="3"/>
        <v>0.59863436535403614</v>
      </c>
    </row>
    <row r="107" spans="2:11">
      <c r="B107" s="672">
        <v>49</v>
      </c>
      <c r="C107" s="388" t="s">
        <v>573</v>
      </c>
      <c r="D107" s="673">
        <v>1</v>
      </c>
      <c r="E107" s="673">
        <v>5117</v>
      </c>
      <c r="F107" s="673">
        <f>E107+1673</f>
        <v>6790</v>
      </c>
      <c r="G107" s="673">
        <f t="shared" si="0"/>
        <v>1674</v>
      </c>
      <c r="H107" s="388" t="s">
        <v>574</v>
      </c>
      <c r="I107" s="673">
        <f t="shared" si="1"/>
        <v>1674</v>
      </c>
      <c r="J107" s="673">
        <f t="shared" si="2"/>
        <v>1674000000</v>
      </c>
      <c r="K107" s="670">
        <f t="shared" si="3"/>
        <v>3.9145075296978771</v>
      </c>
    </row>
    <row r="108" spans="2:11">
      <c r="B108" s="672">
        <v>50</v>
      </c>
      <c r="C108" s="388" t="s">
        <v>575</v>
      </c>
      <c r="D108" s="673">
        <v>1</v>
      </c>
      <c r="E108" s="673">
        <f>F107+1</f>
        <v>6791</v>
      </c>
      <c r="F108" s="673">
        <f>E108+836</f>
        <v>7627</v>
      </c>
      <c r="G108" s="673">
        <f t="shared" si="0"/>
        <v>837</v>
      </c>
      <c r="H108" s="388" t="s">
        <v>574</v>
      </c>
      <c r="I108" s="673">
        <f t="shared" si="1"/>
        <v>837</v>
      </c>
      <c r="J108" s="673">
        <f t="shared" si="2"/>
        <v>837000000</v>
      </c>
      <c r="K108" s="670">
        <f t="shared" si="3"/>
        <v>1.9572537648489385</v>
      </c>
    </row>
    <row r="109" spans="2:11">
      <c r="B109" s="672">
        <v>51</v>
      </c>
      <c r="C109" s="388" t="s">
        <v>576</v>
      </c>
      <c r="D109" s="673">
        <v>1</v>
      </c>
      <c r="E109" s="673">
        <f>F108+1</f>
        <v>7628</v>
      </c>
      <c r="F109" s="673">
        <f>E109+836</f>
        <v>8464</v>
      </c>
      <c r="G109" s="673">
        <f t="shared" si="0"/>
        <v>837</v>
      </c>
      <c r="H109" s="388" t="s">
        <v>574</v>
      </c>
      <c r="I109" s="673">
        <f t="shared" si="1"/>
        <v>837</v>
      </c>
      <c r="J109" s="673">
        <f t="shared" si="2"/>
        <v>837000000</v>
      </c>
      <c r="K109" s="670">
        <f t="shared" si="3"/>
        <v>1.9572537648489385</v>
      </c>
    </row>
    <row r="110" spans="2:11">
      <c r="B110" s="672">
        <v>52</v>
      </c>
      <c r="C110" s="388" t="s">
        <v>522</v>
      </c>
      <c r="D110" s="673">
        <v>1</v>
      </c>
      <c r="E110" s="673">
        <f>F109+1</f>
        <v>8465</v>
      </c>
      <c r="F110" s="673">
        <f>E110+175</f>
        <v>8640</v>
      </c>
      <c r="G110" s="673">
        <f t="shared" si="0"/>
        <v>176</v>
      </c>
      <c r="H110" s="388" t="s">
        <v>574</v>
      </c>
      <c r="I110" s="673">
        <f t="shared" si="1"/>
        <v>176</v>
      </c>
      <c r="J110" s="673">
        <f t="shared" si="2"/>
        <v>176000000</v>
      </c>
      <c r="K110" s="670">
        <f t="shared" si="3"/>
        <v>0.41156112618089979</v>
      </c>
    </row>
    <row r="111" spans="2:11">
      <c r="B111" s="672">
        <v>53</v>
      </c>
      <c r="C111" s="388" t="s">
        <v>573</v>
      </c>
      <c r="D111" s="673">
        <v>1</v>
      </c>
      <c r="E111" s="673">
        <v>8641</v>
      </c>
      <c r="F111" s="673">
        <f>E111+25</f>
        <v>8666</v>
      </c>
      <c r="G111" s="673">
        <f t="shared" si="0"/>
        <v>26</v>
      </c>
      <c r="H111" s="388" t="s">
        <v>574</v>
      </c>
      <c r="I111" s="673">
        <f t="shared" si="1"/>
        <v>26</v>
      </c>
      <c r="J111" s="673">
        <f t="shared" si="2"/>
        <v>26000000</v>
      </c>
      <c r="K111" s="670">
        <f t="shared" si="3"/>
        <v>6.0798802731269294E-2</v>
      </c>
    </row>
    <row r="112" spans="2:11">
      <c r="B112" s="672">
        <v>54</v>
      </c>
      <c r="C112" s="388" t="s">
        <v>575</v>
      </c>
      <c r="D112" s="673">
        <v>1</v>
      </c>
      <c r="E112" s="673">
        <f>F111+1</f>
        <v>8667</v>
      </c>
      <c r="F112" s="673">
        <f>E112+12</f>
        <v>8679</v>
      </c>
      <c r="G112" s="673">
        <f t="shared" si="0"/>
        <v>13</v>
      </c>
      <c r="H112" s="388" t="s">
        <v>574</v>
      </c>
      <c r="I112" s="673">
        <f t="shared" si="1"/>
        <v>13</v>
      </c>
      <c r="J112" s="673">
        <f t="shared" si="2"/>
        <v>13000000</v>
      </c>
      <c r="K112" s="670">
        <f t="shared" si="3"/>
        <v>3.0399401365634647E-2</v>
      </c>
    </row>
    <row r="113" spans="2:11">
      <c r="B113" s="672">
        <v>55</v>
      </c>
      <c r="C113" s="388" t="s">
        <v>576</v>
      </c>
      <c r="D113" s="673">
        <v>1</v>
      </c>
      <c r="E113" s="673">
        <f>F112+1</f>
        <v>8680</v>
      </c>
      <c r="F113" s="673">
        <f>E113+12</f>
        <v>8692</v>
      </c>
      <c r="G113" s="673">
        <f t="shared" si="0"/>
        <v>13</v>
      </c>
      <c r="H113" s="388" t="s">
        <v>574</v>
      </c>
      <c r="I113" s="673">
        <f t="shared" si="1"/>
        <v>13</v>
      </c>
      <c r="J113" s="673">
        <f t="shared" si="2"/>
        <v>13000000</v>
      </c>
      <c r="K113" s="670">
        <f t="shared" si="3"/>
        <v>3.0399401365634647E-2</v>
      </c>
    </row>
    <row r="114" spans="2:11">
      <c r="B114" s="672">
        <v>56</v>
      </c>
      <c r="C114" s="388" t="s">
        <v>522</v>
      </c>
      <c r="D114" s="673">
        <v>1</v>
      </c>
      <c r="E114" s="673">
        <f>F113+1</f>
        <v>8693</v>
      </c>
      <c r="F114" s="673">
        <f>E114+39</f>
        <v>8732</v>
      </c>
      <c r="G114" s="673">
        <f t="shared" si="0"/>
        <v>40</v>
      </c>
      <c r="H114" s="388" t="s">
        <v>574</v>
      </c>
      <c r="I114" s="673">
        <f t="shared" si="1"/>
        <v>40</v>
      </c>
      <c r="J114" s="673">
        <f t="shared" si="2"/>
        <v>40000000</v>
      </c>
      <c r="K114" s="670">
        <f t="shared" si="3"/>
        <v>9.3536619586568143E-2</v>
      </c>
    </row>
    <row r="115" spans="2:11">
      <c r="B115" s="672">
        <v>57</v>
      </c>
      <c r="C115" s="388" t="s">
        <v>577</v>
      </c>
      <c r="D115" s="673">
        <v>1</v>
      </c>
      <c r="E115" s="673">
        <f>F114+1</f>
        <v>8733</v>
      </c>
      <c r="F115" s="673">
        <f>E115+471</f>
        <v>9204</v>
      </c>
      <c r="G115" s="673">
        <f t="shared" si="0"/>
        <v>472</v>
      </c>
      <c r="H115" s="388" t="s">
        <v>574</v>
      </c>
      <c r="I115" s="673">
        <f t="shared" si="1"/>
        <v>472</v>
      </c>
      <c r="J115" s="673">
        <f t="shared" si="2"/>
        <v>472000000</v>
      </c>
      <c r="K115" s="670">
        <f t="shared" si="3"/>
        <v>1.1037321111215039</v>
      </c>
    </row>
    <row r="116" spans="2:11">
      <c r="B116" s="672">
        <v>58</v>
      </c>
      <c r="C116" s="388" t="s">
        <v>522</v>
      </c>
      <c r="D116" s="673">
        <v>1</v>
      </c>
      <c r="E116" s="673">
        <v>9205</v>
      </c>
      <c r="F116" s="673">
        <v>9380</v>
      </c>
      <c r="G116" s="673">
        <f t="shared" si="0"/>
        <v>176</v>
      </c>
      <c r="H116" s="388" t="s">
        <v>574</v>
      </c>
      <c r="I116" s="673">
        <f t="shared" si="1"/>
        <v>176</v>
      </c>
      <c r="J116" s="673">
        <f t="shared" si="2"/>
        <v>176000000</v>
      </c>
      <c r="K116" s="670">
        <f t="shared" si="3"/>
        <v>0.41156112618089979</v>
      </c>
    </row>
    <row r="117" spans="2:11">
      <c r="B117" s="672">
        <v>59</v>
      </c>
      <c r="C117" s="388" t="s">
        <v>577</v>
      </c>
      <c r="D117" s="673">
        <v>1</v>
      </c>
      <c r="E117" s="673">
        <v>9381</v>
      </c>
      <c r="F117" s="673">
        <v>9440</v>
      </c>
      <c r="G117" s="673">
        <f t="shared" si="0"/>
        <v>60</v>
      </c>
      <c r="H117" s="388" t="s">
        <v>574</v>
      </c>
      <c r="I117" s="673">
        <f t="shared" si="1"/>
        <v>60</v>
      </c>
      <c r="J117" s="673">
        <f t="shared" si="2"/>
        <v>60000000</v>
      </c>
      <c r="K117" s="670">
        <f t="shared" si="3"/>
        <v>0.14030492937985223</v>
      </c>
    </row>
    <row r="118" spans="2:11">
      <c r="B118" s="672">
        <v>60</v>
      </c>
      <c r="C118" s="388" t="s">
        <v>573</v>
      </c>
      <c r="D118" s="673">
        <v>1</v>
      </c>
      <c r="E118" s="673">
        <v>9441</v>
      </c>
      <c r="F118" s="673">
        <v>11470</v>
      </c>
      <c r="G118" s="673">
        <f t="shared" si="0"/>
        <v>2030</v>
      </c>
      <c r="H118" s="388" t="s">
        <v>574</v>
      </c>
      <c r="I118" s="673">
        <f t="shared" si="1"/>
        <v>2030</v>
      </c>
      <c r="J118" s="673">
        <f t="shared" si="2"/>
        <v>2030000000</v>
      </c>
      <c r="K118" s="670">
        <f t="shared" si="3"/>
        <v>4.7469834440183334</v>
      </c>
    </row>
    <row r="119" spans="2:11">
      <c r="B119" s="672">
        <v>61</v>
      </c>
      <c r="C119" s="388" t="s">
        <v>575</v>
      </c>
      <c r="D119" s="673">
        <v>1</v>
      </c>
      <c r="E119" s="673">
        <v>11471</v>
      </c>
      <c r="F119" s="673">
        <v>12485</v>
      </c>
      <c r="G119" s="673">
        <f t="shared" si="0"/>
        <v>1015</v>
      </c>
      <c r="H119" s="388" t="s">
        <v>574</v>
      </c>
      <c r="I119" s="673">
        <f t="shared" si="1"/>
        <v>1015</v>
      </c>
      <c r="J119" s="673">
        <f t="shared" si="2"/>
        <v>1015000000</v>
      </c>
      <c r="K119" s="670">
        <f t="shared" si="3"/>
        <v>2.3734917220091667</v>
      </c>
    </row>
    <row r="120" spans="2:11">
      <c r="B120" s="672">
        <v>62</v>
      </c>
      <c r="C120" s="388" t="s">
        <v>576</v>
      </c>
      <c r="D120" s="673">
        <v>1</v>
      </c>
      <c r="E120" s="673">
        <v>12486</v>
      </c>
      <c r="F120" s="673">
        <v>13500</v>
      </c>
      <c r="G120" s="673">
        <f t="shared" si="0"/>
        <v>1015</v>
      </c>
      <c r="H120" s="388" t="s">
        <v>574</v>
      </c>
      <c r="I120" s="673">
        <f t="shared" si="1"/>
        <v>1015</v>
      </c>
      <c r="J120" s="673">
        <f t="shared" si="2"/>
        <v>1015000000</v>
      </c>
      <c r="K120" s="670">
        <f t="shared" si="3"/>
        <v>2.3734917220091667</v>
      </c>
    </row>
    <row r="121" spans="2:11">
      <c r="B121" s="672">
        <v>63</v>
      </c>
      <c r="C121" s="388" t="s">
        <v>522</v>
      </c>
      <c r="D121" s="673">
        <v>1</v>
      </c>
      <c r="E121" s="673">
        <v>13501</v>
      </c>
      <c r="F121" s="673">
        <v>13732</v>
      </c>
      <c r="G121" s="673">
        <f t="shared" si="0"/>
        <v>232</v>
      </c>
      <c r="H121" s="388" t="s">
        <v>574</v>
      </c>
      <c r="I121" s="673">
        <f t="shared" si="1"/>
        <v>232</v>
      </c>
      <c r="J121" s="673">
        <f t="shared" si="2"/>
        <v>232000000</v>
      </c>
      <c r="K121" s="670">
        <f t="shared" si="3"/>
        <v>0.54251239360209524</v>
      </c>
    </row>
    <row r="122" spans="2:11">
      <c r="B122" s="672">
        <v>64</v>
      </c>
      <c r="C122" s="388" t="s">
        <v>577</v>
      </c>
      <c r="D122" s="673">
        <v>1</v>
      </c>
      <c r="E122" s="673">
        <v>13733</v>
      </c>
      <c r="F122" s="673">
        <v>13964</v>
      </c>
      <c r="G122" s="673">
        <f t="shared" si="0"/>
        <v>232</v>
      </c>
      <c r="H122" s="388" t="s">
        <v>574</v>
      </c>
      <c r="I122" s="673">
        <f t="shared" si="1"/>
        <v>232</v>
      </c>
      <c r="J122" s="673">
        <f t="shared" si="2"/>
        <v>232000000</v>
      </c>
      <c r="K122" s="670">
        <f t="shared" si="3"/>
        <v>0.54251239360209524</v>
      </c>
    </row>
    <row r="123" spans="2:11">
      <c r="B123" s="672">
        <v>65</v>
      </c>
      <c r="C123" s="388" t="s">
        <v>577</v>
      </c>
      <c r="D123" s="673">
        <v>1</v>
      </c>
      <c r="E123" s="673">
        <v>13965</v>
      </c>
      <c r="F123" s="673">
        <v>14080</v>
      </c>
      <c r="G123" s="673">
        <f t="shared" ref="G123:G133" si="4">F123-E123+1</f>
        <v>116</v>
      </c>
      <c r="H123" s="388" t="s">
        <v>574</v>
      </c>
      <c r="I123" s="673">
        <f t="shared" ref="I123:I140" si="5">G123</f>
        <v>116</v>
      </c>
      <c r="J123" s="673">
        <f t="shared" si="2"/>
        <v>116000000</v>
      </c>
      <c r="K123" s="670">
        <f t="shared" si="3"/>
        <v>0.27125619680104762</v>
      </c>
    </row>
    <row r="124" spans="2:11">
      <c r="B124" s="672">
        <v>66</v>
      </c>
      <c r="C124" s="388" t="s">
        <v>573</v>
      </c>
      <c r="D124" s="673">
        <v>1</v>
      </c>
      <c r="E124" s="673">
        <v>14081</v>
      </c>
      <c r="F124" s="673">
        <v>15970</v>
      </c>
      <c r="G124" s="673">
        <f t="shared" si="4"/>
        <v>1890</v>
      </c>
      <c r="H124" s="388" t="s">
        <v>574</v>
      </c>
      <c r="I124" s="673">
        <f t="shared" si="5"/>
        <v>1890</v>
      </c>
      <c r="J124" s="673">
        <f t="shared" ref="J124:J140" si="6">G124*1000000</f>
        <v>1890000000</v>
      </c>
      <c r="K124" s="670">
        <f t="shared" ref="K124:K147" si="7">J124/$J$148*100</f>
        <v>4.4196052754653445</v>
      </c>
    </row>
    <row r="125" spans="2:11">
      <c r="B125" s="672">
        <v>67</v>
      </c>
      <c r="C125" s="388" t="s">
        <v>575</v>
      </c>
      <c r="D125" s="673">
        <v>1</v>
      </c>
      <c r="E125" s="673">
        <v>15971</v>
      </c>
      <c r="F125" s="673">
        <v>16915</v>
      </c>
      <c r="G125" s="673">
        <f t="shared" si="4"/>
        <v>945</v>
      </c>
      <c r="H125" s="388" t="s">
        <v>574</v>
      </c>
      <c r="I125" s="673">
        <f t="shared" si="5"/>
        <v>945</v>
      </c>
      <c r="J125" s="673">
        <f t="shared" si="6"/>
        <v>945000000</v>
      </c>
      <c r="K125" s="670">
        <f t="shared" si="7"/>
        <v>2.2098026377326723</v>
      </c>
    </row>
    <row r="126" spans="2:11">
      <c r="B126" s="672">
        <v>68</v>
      </c>
      <c r="C126" s="388" t="s">
        <v>576</v>
      </c>
      <c r="D126" s="673">
        <v>1</v>
      </c>
      <c r="E126" s="673">
        <v>16916</v>
      </c>
      <c r="F126" s="673">
        <v>17860</v>
      </c>
      <c r="G126" s="673">
        <f t="shared" si="4"/>
        <v>945</v>
      </c>
      <c r="H126" s="388" t="s">
        <v>574</v>
      </c>
      <c r="I126" s="673">
        <f t="shared" si="5"/>
        <v>945</v>
      </c>
      <c r="J126" s="673">
        <f t="shared" si="6"/>
        <v>945000000</v>
      </c>
      <c r="K126" s="670">
        <f t="shared" si="7"/>
        <v>2.2098026377326723</v>
      </c>
    </row>
    <row r="127" spans="2:11">
      <c r="B127" s="672">
        <v>69</v>
      </c>
      <c r="C127" s="388" t="s">
        <v>522</v>
      </c>
      <c r="D127" s="673">
        <v>1</v>
      </c>
      <c r="E127" s="673">
        <v>17861</v>
      </c>
      <c r="F127" s="673">
        <v>18130</v>
      </c>
      <c r="G127" s="673">
        <f t="shared" si="4"/>
        <v>270</v>
      </c>
      <c r="H127" s="388" t="s">
        <v>574</v>
      </c>
      <c r="I127" s="673">
        <f t="shared" si="5"/>
        <v>270</v>
      </c>
      <c r="J127" s="673">
        <f t="shared" si="6"/>
        <v>270000000</v>
      </c>
      <c r="K127" s="670">
        <f t="shared" si="7"/>
        <v>0.631372182209335</v>
      </c>
    </row>
    <row r="128" spans="2:11">
      <c r="B128" s="672">
        <v>70</v>
      </c>
      <c r="C128" s="388" t="s">
        <v>577</v>
      </c>
      <c r="D128" s="673">
        <v>1</v>
      </c>
      <c r="E128" s="673">
        <v>18131</v>
      </c>
      <c r="F128" s="673">
        <v>18400</v>
      </c>
      <c r="G128" s="673">
        <f t="shared" si="4"/>
        <v>270</v>
      </c>
      <c r="H128" s="388" t="s">
        <v>574</v>
      </c>
      <c r="I128" s="673">
        <f t="shared" si="5"/>
        <v>270</v>
      </c>
      <c r="J128" s="673">
        <f t="shared" si="6"/>
        <v>270000000</v>
      </c>
      <c r="K128" s="670">
        <f t="shared" si="7"/>
        <v>0.631372182209335</v>
      </c>
    </row>
    <row r="129" spans="2:11">
      <c r="B129" s="672">
        <v>71</v>
      </c>
      <c r="C129" s="388" t="s">
        <v>573</v>
      </c>
      <c r="D129" s="673">
        <v>1</v>
      </c>
      <c r="E129" s="673">
        <v>18401</v>
      </c>
      <c r="F129" s="673">
        <v>20976</v>
      </c>
      <c r="G129" s="673">
        <f t="shared" si="4"/>
        <v>2576</v>
      </c>
      <c r="H129" s="388" t="s">
        <v>574</v>
      </c>
      <c r="I129" s="673">
        <f t="shared" si="5"/>
        <v>2576</v>
      </c>
      <c r="J129" s="673">
        <f t="shared" si="6"/>
        <v>2576000000</v>
      </c>
      <c r="K129" s="670">
        <f t="shared" si="7"/>
        <v>6.023758301374988</v>
      </c>
    </row>
    <row r="130" spans="2:11">
      <c r="B130" s="672">
        <v>72</v>
      </c>
      <c r="C130" s="388" t="s">
        <v>575</v>
      </c>
      <c r="D130" s="673">
        <v>1</v>
      </c>
      <c r="E130" s="673">
        <v>20977</v>
      </c>
      <c r="F130" s="673">
        <v>22264</v>
      </c>
      <c r="G130" s="673">
        <f t="shared" si="4"/>
        <v>1288</v>
      </c>
      <c r="H130" s="388" t="s">
        <v>574</v>
      </c>
      <c r="I130" s="673">
        <f t="shared" si="5"/>
        <v>1288</v>
      </c>
      <c r="J130" s="673">
        <f t="shared" si="6"/>
        <v>1288000000</v>
      </c>
      <c r="K130" s="670">
        <f t="shared" si="7"/>
        <v>3.011879150687494</v>
      </c>
    </row>
    <row r="131" spans="2:11">
      <c r="B131" s="672">
        <v>73</v>
      </c>
      <c r="C131" s="388" t="s">
        <v>576</v>
      </c>
      <c r="D131" s="673">
        <v>1</v>
      </c>
      <c r="E131" s="673">
        <v>22265</v>
      </c>
      <c r="F131" s="673">
        <v>23552</v>
      </c>
      <c r="G131" s="673">
        <f t="shared" si="4"/>
        <v>1288</v>
      </c>
      <c r="H131" s="388" t="s">
        <v>574</v>
      </c>
      <c r="I131" s="673">
        <f t="shared" si="5"/>
        <v>1288</v>
      </c>
      <c r="J131" s="673">
        <f t="shared" si="6"/>
        <v>1288000000</v>
      </c>
      <c r="K131" s="670">
        <f t="shared" si="7"/>
        <v>3.011879150687494</v>
      </c>
    </row>
    <row r="132" spans="2:11">
      <c r="B132" s="672">
        <v>74</v>
      </c>
      <c r="C132" s="388" t="s">
        <v>522</v>
      </c>
      <c r="D132" s="673">
        <v>1</v>
      </c>
      <c r="E132" s="673">
        <v>23553</v>
      </c>
      <c r="F132" s="673">
        <v>23920</v>
      </c>
      <c r="G132" s="673">
        <f t="shared" si="4"/>
        <v>368</v>
      </c>
      <c r="H132" s="388" t="s">
        <v>574</v>
      </c>
      <c r="I132" s="673">
        <f t="shared" si="5"/>
        <v>368</v>
      </c>
      <c r="J132" s="673">
        <f t="shared" si="6"/>
        <v>368000000</v>
      </c>
      <c r="K132" s="670">
        <f t="shared" si="7"/>
        <v>0.86053690019642692</v>
      </c>
    </row>
    <row r="133" spans="2:11">
      <c r="B133" s="672">
        <v>75</v>
      </c>
      <c r="C133" s="388" t="s">
        <v>577</v>
      </c>
      <c r="D133" s="673">
        <v>1</v>
      </c>
      <c r="E133" s="673">
        <v>23921</v>
      </c>
      <c r="F133" s="673">
        <v>24288</v>
      </c>
      <c r="G133" s="673">
        <f t="shared" si="4"/>
        <v>368</v>
      </c>
      <c r="H133" s="388" t="s">
        <v>574</v>
      </c>
      <c r="I133" s="673">
        <f t="shared" si="5"/>
        <v>368</v>
      </c>
      <c r="J133" s="673">
        <f t="shared" si="6"/>
        <v>368000000</v>
      </c>
      <c r="K133" s="670">
        <f t="shared" si="7"/>
        <v>0.86053690019642692</v>
      </c>
    </row>
    <row r="134" spans="2:11">
      <c r="B134" s="672">
        <v>76</v>
      </c>
      <c r="C134" s="388" t="s">
        <v>573</v>
      </c>
      <c r="D134" s="673">
        <v>1</v>
      </c>
      <c r="E134" s="673">
        <v>24289</v>
      </c>
      <c r="F134" s="673">
        <v>25478</v>
      </c>
      <c r="G134" s="673">
        <v>1190</v>
      </c>
      <c r="H134" s="388" t="s">
        <v>574</v>
      </c>
      <c r="I134" s="673">
        <f t="shared" si="5"/>
        <v>1190</v>
      </c>
      <c r="J134" s="673">
        <f t="shared" si="6"/>
        <v>1190000000</v>
      </c>
      <c r="K134" s="670">
        <f t="shared" si="7"/>
        <v>2.7827144327004021</v>
      </c>
    </row>
    <row r="135" spans="2:11">
      <c r="B135" s="672">
        <v>77</v>
      </c>
      <c r="C135" s="388" t="s">
        <v>575</v>
      </c>
      <c r="D135" s="673">
        <v>1</v>
      </c>
      <c r="E135" s="673">
        <v>25479</v>
      </c>
      <c r="F135" s="673">
        <v>26073</v>
      </c>
      <c r="G135" s="673">
        <v>595</v>
      </c>
      <c r="H135" s="388" t="s">
        <v>574</v>
      </c>
      <c r="I135" s="673">
        <f t="shared" si="5"/>
        <v>595</v>
      </c>
      <c r="J135" s="673">
        <f t="shared" si="6"/>
        <v>595000000</v>
      </c>
      <c r="K135" s="670">
        <f t="shared" si="7"/>
        <v>1.391357216350201</v>
      </c>
    </row>
    <row r="136" spans="2:11">
      <c r="B136" s="672">
        <v>78</v>
      </c>
      <c r="C136" s="388" t="s">
        <v>576</v>
      </c>
      <c r="D136" s="673">
        <v>1</v>
      </c>
      <c r="E136" s="673">
        <v>26074</v>
      </c>
      <c r="F136" s="673">
        <v>26668</v>
      </c>
      <c r="G136" s="673">
        <v>595</v>
      </c>
      <c r="H136" s="388" t="s">
        <v>574</v>
      </c>
      <c r="I136" s="673">
        <f t="shared" si="5"/>
        <v>595</v>
      </c>
      <c r="J136" s="673">
        <f t="shared" si="6"/>
        <v>595000000</v>
      </c>
      <c r="K136" s="670">
        <f t="shared" si="7"/>
        <v>1.391357216350201</v>
      </c>
    </row>
    <row r="137" spans="2:11">
      <c r="B137" s="672">
        <v>79</v>
      </c>
      <c r="C137" s="388" t="s">
        <v>522</v>
      </c>
      <c r="D137" s="673">
        <v>1</v>
      </c>
      <c r="E137" s="673">
        <v>26669</v>
      </c>
      <c r="F137" s="673">
        <v>26838</v>
      </c>
      <c r="G137" s="673">
        <v>170</v>
      </c>
      <c r="H137" s="388" t="s">
        <v>574</v>
      </c>
      <c r="I137" s="673">
        <f t="shared" si="5"/>
        <v>170</v>
      </c>
      <c r="J137" s="673">
        <f t="shared" si="6"/>
        <v>170000000</v>
      </c>
      <c r="K137" s="670">
        <f t="shared" si="7"/>
        <v>0.39753063324291465</v>
      </c>
    </row>
    <row r="138" spans="2:11">
      <c r="B138" s="672">
        <v>80</v>
      </c>
      <c r="C138" s="388" t="s">
        <v>577</v>
      </c>
      <c r="D138" s="673">
        <v>1</v>
      </c>
      <c r="E138" s="673">
        <v>26839</v>
      </c>
      <c r="F138" s="673">
        <v>27008</v>
      </c>
      <c r="G138" s="673">
        <v>170</v>
      </c>
      <c r="H138" s="388" t="s">
        <v>574</v>
      </c>
      <c r="I138" s="673">
        <f t="shared" si="5"/>
        <v>170</v>
      </c>
      <c r="J138" s="673">
        <f t="shared" si="6"/>
        <v>170000000</v>
      </c>
      <c r="K138" s="670">
        <f t="shared" si="7"/>
        <v>0.39753063324291465</v>
      </c>
    </row>
    <row r="139" spans="2:11">
      <c r="B139" s="672">
        <v>81</v>
      </c>
      <c r="C139" s="388" t="s">
        <v>522</v>
      </c>
      <c r="D139" s="673">
        <v>1</v>
      </c>
      <c r="E139" s="673">
        <v>27009</v>
      </c>
      <c r="F139" s="673">
        <f>+E139+G139-1</f>
        <v>27018</v>
      </c>
      <c r="G139" s="673">
        <v>10</v>
      </c>
      <c r="H139" s="388" t="s">
        <v>574</v>
      </c>
      <c r="I139" s="673">
        <f t="shared" si="5"/>
        <v>10</v>
      </c>
      <c r="J139" s="673">
        <f t="shared" si="6"/>
        <v>10000000</v>
      </c>
      <c r="K139" s="670">
        <f t="shared" si="7"/>
        <v>2.3384154896642036E-2</v>
      </c>
    </row>
    <row r="140" spans="2:11" s="674" customFormat="1">
      <c r="B140" s="672">
        <v>82</v>
      </c>
      <c r="C140" s="388" t="s">
        <v>577</v>
      </c>
      <c r="D140" s="673">
        <v>1</v>
      </c>
      <c r="E140" s="673">
        <v>27019</v>
      </c>
      <c r="F140" s="673">
        <f>+E140+G140-1</f>
        <v>27028</v>
      </c>
      <c r="G140" s="673">
        <v>10</v>
      </c>
      <c r="H140" s="388" t="s">
        <v>574</v>
      </c>
      <c r="I140" s="673">
        <f t="shared" si="5"/>
        <v>10</v>
      </c>
      <c r="J140" s="673">
        <f t="shared" si="6"/>
        <v>10000000</v>
      </c>
      <c r="K140" s="670">
        <f t="shared" si="7"/>
        <v>2.3384154896642036E-2</v>
      </c>
    </row>
    <row r="141" spans="2:11">
      <c r="B141" s="672">
        <v>83</v>
      </c>
      <c r="C141" s="388" t="s">
        <v>924</v>
      </c>
      <c r="D141" s="673">
        <v>1</v>
      </c>
      <c r="E141" s="673">
        <v>27029</v>
      </c>
      <c r="F141" s="673">
        <f>+G141+E141-1</f>
        <v>27164</v>
      </c>
      <c r="G141" s="673">
        <v>136</v>
      </c>
      <c r="H141" s="388" t="s">
        <v>574</v>
      </c>
      <c r="I141" s="673">
        <f>G141</f>
        <v>136</v>
      </c>
      <c r="J141" s="673">
        <f>G141*1000000</f>
        <v>136000000</v>
      </c>
      <c r="K141" s="670">
        <f t="shared" si="7"/>
        <v>0.31802450659433168</v>
      </c>
    </row>
    <row r="142" spans="2:11" s="679" customFormat="1">
      <c r="B142" s="675">
        <v>84</v>
      </c>
      <c r="C142" s="676" t="s">
        <v>573</v>
      </c>
      <c r="D142" s="677">
        <v>1</v>
      </c>
      <c r="E142" s="678">
        <v>27165</v>
      </c>
      <c r="F142" s="678">
        <v>33950</v>
      </c>
      <c r="G142" s="678">
        <v>6786</v>
      </c>
      <c r="H142" s="676" t="s">
        <v>574</v>
      </c>
      <c r="I142" s="677">
        <f>+G142</f>
        <v>6786</v>
      </c>
      <c r="J142" s="673">
        <f t="shared" ref="J142:J147" si="8">G142*1000000</f>
        <v>6786000000</v>
      </c>
      <c r="K142" s="670">
        <f t="shared" si="7"/>
        <v>15.868487512861284</v>
      </c>
    </row>
    <row r="143" spans="2:11" s="679" customFormat="1">
      <c r="B143" s="675">
        <v>85</v>
      </c>
      <c r="C143" s="676" t="s">
        <v>575</v>
      </c>
      <c r="D143" s="677">
        <v>1</v>
      </c>
      <c r="E143" s="678">
        <v>33951</v>
      </c>
      <c r="F143" s="678">
        <v>37343</v>
      </c>
      <c r="G143" s="678">
        <v>3393</v>
      </c>
      <c r="H143" s="676" t="s">
        <v>574</v>
      </c>
      <c r="I143" s="677">
        <f t="shared" ref="I143:I147" si="9">+G143</f>
        <v>3393</v>
      </c>
      <c r="J143" s="673">
        <f t="shared" si="8"/>
        <v>3393000000</v>
      </c>
      <c r="K143" s="670">
        <f t="shared" si="7"/>
        <v>7.9342437564306421</v>
      </c>
    </row>
    <row r="144" spans="2:11" s="679" customFormat="1">
      <c r="B144" s="675">
        <v>86</v>
      </c>
      <c r="C144" s="676" t="s">
        <v>576</v>
      </c>
      <c r="D144" s="677">
        <v>1</v>
      </c>
      <c r="E144" s="678">
        <v>37344</v>
      </c>
      <c r="F144" s="678">
        <v>40736</v>
      </c>
      <c r="G144" s="678">
        <v>3393</v>
      </c>
      <c r="H144" s="676" t="s">
        <v>574</v>
      </c>
      <c r="I144" s="677">
        <f t="shared" si="9"/>
        <v>3393</v>
      </c>
      <c r="J144" s="673">
        <f t="shared" si="8"/>
        <v>3393000000</v>
      </c>
      <c r="K144" s="670">
        <f t="shared" si="7"/>
        <v>7.9342437564306421</v>
      </c>
    </row>
    <row r="145" spans="2:11" s="679" customFormat="1">
      <c r="B145" s="675">
        <v>87</v>
      </c>
      <c r="C145" s="676" t="s">
        <v>522</v>
      </c>
      <c r="D145" s="677">
        <v>1</v>
      </c>
      <c r="E145" s="678">
        <v>40737</v>
      </c>
      <c r="F145" s="678">
        <v>41711</v>
      </c>
      <c r="G145" s="678">
        <v>975</v>
      </c>
      <c r="H145" s="676" t="s">
        <v>574</v>
      </c>
      <c r="I145" s="677">
        <f t="shared" si="9"/>
        <v>975</v>
      </c>
      <c r="J145" s="673">
        <f t="shared" si="8"/>
        <v>975000000</v>
      </c>
      <c r="K145" s="670">
        <f t="shared" si="7"/>
        <v>2.2799551024225986</v>
      </c>
    </row>
    <row r="146" spans="2:11" s="679" customFormat="1">
      <c r="B146" s="675">
        <v>88</v>
      </c>
      <c r="C146" s="676" t="s">
        <v>577</v>
      </c>
      <c r="D146" s="677">
        <v>1</v>
      </c>
      <c r="E146" s="678">
        <v>41712</v>
      </c>
      <c r="F146" s="678">
        <v>42686</v>
      </c>
      <c r="G146" s="678">
        <v>975</v>
      </c>
      <c r="H146" s="676" t="s">
        <v>574</v>
      </c>
      <c r="I146" s="677">
        <f t="shared" si="9"/>
        <v>975</v>
      </c>
      <c r="J146" s="673">
        <f t="shared" si="8"/>
        <v>975000000</v>
      </c>
      <c r="K146" s="670">
        <f t="shared" si="7"/>
        <v>2.2799551024225986</v>
      </c>
    </row>
    <row r="147" spans="2:11" s="679" customFormat="1" ht="15" thickBot="1">
      <c r="B147" s="675">
        <v>89</v>
      </c>
      <c r="C147" s="676" t="s">
        <v>924</v>
      </c>
      <c r="D147" s="677">
        <v>1</v>
      </c>
      <c r="E147" s="678">
        <v>42687</v>
      </c>
      <c r="F147" s="678">
        <v>42764</v>
      </c>
      <c r="G147" s="678">
        <v>78</v>
      </c>
      <c r="H147" s="676" t="s">
        <v>574</v>
      </c>
      <c r="I147" s="677">
        <f t="shared" si="9"/>
        <v>78</v>
      </c>
      <c r="J147" s="673">
        <f t="shared" si="8"/>
        <v>78000000</v>
      </c>
      <c r="K147" s="670">
        <f t="shared" si="7"/>
        <v>0.18239640819380787</v>
      </c>
    </row>
    <row r="148" spans="2:11" s="744" customFormat="1" ht="15" thickBot="1">
      <c r="B148" s="739"/>
      <c r="C148" s="740" t="s">
        <v>471</v>
      </c>
      <c r="D148" s="741"/>
      <c r="E148" s="741"/>
      <c r="F148" s="741"/>
      <c r="G148" s="741">
        <f>SUM(G59:G147)</f>
        <v>42764</v>
      </c>
      <c r="H148" s="740"/>
      <c r="I148" s="745">
        <f>SUM(I59:I147)</f>
        <v>42764</v>
      </c>
      <c r="J148" s="745">
        <f>SUM(J59:J147)</f>
        <v>42764000000</v>
      </c>
      <c r="K148" s="746">
        <f>SUM(K59:K147)</f>
        <v>100.00000000000001</v>
      </c>
    </row>
    <row r="149" spans="2:11" ht="15" thickBot="1">
      <c r="B149" s="680"/>
      <c r="C149" s="681"/>
      <c r="D149" s="681"/>
      <c r="E149" s="681"/>
      <c r="F149" s="681"/>
      <c r="G149" s="682"/>
      <c r="H149" s="682"/>
      <c r="I149" s="638"/>
    </row>
    <row r="150" spans="2:11" ht="15" thickBot="1">
      <c r="B150" s="814" t="s">
        <v>589</v>
      </c>
      <c r="C150" s="815"/>
      <c r="D150" s="815"/>
      <c r="E150" s="815"/>
      <c r="F150" s="815"/>
      <c r="G150" s="815"/>
      <c r="H150" s="815"/>
      <c r="I150" s="816"/>
    </row>
    <row r="151" spans="2:11" ht="61" thickBot="1">
      <c r="B151" s="664" t="s">
        <v>564</v>
      </c>
      <c r="C151" s="665" t="s">
        <v>565</v>
      </c>
      <c r="D151" s="665" t="s">
        <v>566</v>
      </c>
      <c r="E151" s="665" t="s">
        <v>569</v>
      </c>
      <c r="F151" s="665" t="s">
        <v>570</v>
      </c>
      <c r="G151" s="665" t="s">
        <v>578</v>
      </c>
      <c r="H151" s="665" t="s">
        <v>572</v>
      </c>
      <c r="I151" s="666" t="s">
        <v>923</v>
      </c>
    </row>
    <row r="152" spans="2:11">
      <c r="B152" s="667">
        <v>1</v>
      </c>
      <c r="C152" s="668" t="s">
        <v>573</v>
      </c>
      <c r="D152" s="668">
        <v>1</v>
      </c>
      <c r="E152" s="683">
        <v>18602</v>
      </c>
      <c r="F152" s="668" t="s">
        <v>574</v>
      </c>
      <c r="G152" s="683">
        <f t="shared" ref="G152:G157" si="10">E152</f>
        <v>18602</v>
      </c>
      <c r="H152" s="683">
        <f>E152*1000000</f>
        <v>18602000000</v>
      </c>
      <c r="I152" s="684">
        <f>H152*100/$H$158</f>
        <v>43.499204938733513</v>
      </c>
    </row>
    <row r="153" spans="2:11">
      <c r="B153" s="672">
        <v>2</v>
      </c>
      <c r="C153" s="388" t="s">
        <v>575</v>
      </c>
      <c r="D153" s="388">
        <v>1</v>
      </c>
      <c r="E153" s="685">
        <v>9301</v>
      </c>
      <c r="F153" s="388" t="s">
        <v>574</v>
      </c>
      <c r="G153" s="685">
        <f t="shared" si="10"/>
        <v>9301</v>
      </c>
      <c r="H153" s="685">
        <f t="shared" ref="H153:H157" si="11">E153*1000000</f>
        <v>9301000000</v>
      </c>
      <c r="I153" s="684">
        <f t="shared" ref="I153:I157" si="12">H153*100/$H$158</f>
        <v>21.749602469366756</v>
      </c>
    </row>
    <row r="154" spans="2:11">
      <c r="B154" s="672">
        <v>3</v>
      </c>
      <c r="C154" s="388" t="s">
        <v>576</v>
      </c>
      <c r="D154" s="388">
        <v>1</v>
      </c>
      <c r="E154" s="685">
        <v>9301</v>
      </c>
      <c r="F154" s="388" t="s">
        <v>574</v>
      </c>
      <c r="G154" s="685">
        <f t="shared" si="10"/>
        <v>9301</v>
      </c>
      <c r="H154" s="685">
        <f t="shared" si="11"/>
        <v>9301000000</v>
      </c>
      <c r="I154" s="684">
        <f t="shared" si="12"/>
        <v>21.749602469366756</v>
      </c>
    </row>
    <row r="155" spans="2:11">
      <c r="B155" s="672">
        <v>4</v>
      </c>
      <c r="C155" s="388" t="s">
        <v>522</v>
      </c>
      <c r="D155" s="388">
        <v>1</v>
      </c>
      <c r="E155" s="685">
        <v>2673</v>
      </c>
      <c r="F155" s="388" t="s">
        <v>574</v>
      </c>
      <c r="G155" s="685">
        <f t="shared" si="10"/>
        <v>2673</v>
      </c>
      <c r="H155" s="685">
        <f t="shared" si="11"/>
        <v>2673000000</v>
      </c>
      <c r="I155" s="684">
        <f t="shared" si="12"/>
        <v>6.250584603872416</v>
      </c>
    </row>
    <row r="156" spans="2:11">
      <c r="B156" s="672">
        <v>5</v>
      </c>
      <c r="C156" s="388" t="s">
        <v>577</v>
      </c>
      <c r="D156" s="388">
        <v>1</v>
      </c>
      <c r="E156" s="685">
        <v>2673</v>
      </c>
      <c r="F156" s="388" t="s">
        <v>574</v>
      </c>
      <c r="G156" s="685">
        <f t="shared" si="10"/>
        <v>2673</v>
      </c>
      <c r="H156" s="685">
        <f t="shared" si="11"/>
        <v>2673000000</v>
      </c>
      <c r="I156" s="684">
        <f t="shared" si="12"/>
        <v>6.250584603872416</v>
      </c>
    </row>
    <row r="157" spans="2:11" ht="15" thickBot="1">
      <c r="B157" s="672">
        <v>6</v>
      </c>
      <c r="C157" s="388" t="s">
        <v>924</v>
      </c>
      <c r="D157" s="388">
        <v>1</v>
      </c>
      <c r="E157" s="685">
        <v>214</v>
      </c>
      <c r="F157" s="388" t="s">
        <v>574</v>
      </c>
      <c r="G157" s="685">
        <f t="shared" si="10"/>
        <v>214</v>
      </c>
      <c r="H157" s="685">
        <f t="shared" si="11"/>
        <v>214000000</v>
      </c>
      <c r="I157" s="684">
        <f t="shared" si="12"/>
        <v>0.50042091478813955</v>
      </c>
    </row>
    <row r="158" spans="2:11" s="744" customFormat="1" ht="15" thickBot="1">
      <c r="B158" s="739"/>
      <c r="C158" s="740" t="s">
        <v>471</v>
      </c>
      <c r="D158" s="740"/>
      <c r="E158" s="741">
        <f>SUM(E152:E157)</f>
        <v>42764</v>
      </c>
      <c r="F158" s="740"/>
      <c r="G158" s="740"/>
      <c r="H158" s="742">
        <f>SUM(H152:H157)</f>
        <v>42764000000</v>
      </c>
      <c r="I158" s="743">
        <f>SUM(I152:I157)</f>
        <v>99.999999999999986</v>
      </c>
      <c r="J158" s="674"/>
    </row>
  </sheetData>
  <autoFilter ref="B58:L148" xr:uid="{21081792-88FE-4232-8E3F-784FCAD4EBA1}"/>
  <mergeCells count="55">
    <mergeCell ref="B57:K57"/>
    <mergeCell ref="B150:I150"/>
    <mergeCell ref="C50:F50"/>
    <mergeCell ref="C51:F51"/>
    <mergeCell ref="C52:F52"/>
    <mergeCell ref="C53:F53"/>
    <mergeCell ref="C54:F54"/>
    <mergeCell ref="D55:F55"/>
    <mergeCell ref="C49:F49"/>
    <mergeCell ref="B36:C36"/>
    <mergeCell ref="B38:C38"/>
    <mergeCell ref="B39:C39"/>
    <mergeCell ref="B40:C40"/>
    <mergeCell ref="D40:F40"/>
    <mergeCell ref="B41:C41"/>
    <mergeCell ref="B42:C42"/>
    <mergeCell ref="B43:C43"/>
    <mergeCell ref="B46:C46"/>
    <mergeCell ref="C47:F47"/>
    <mergeCell ref="C48:F48"/>
    <mergeCell ref="B33:C33"/>
    <mergeCell ref="D23:F23"/>
    <mergeCell ref="D24:F24"/>
    <mergeCell ref="B25:C26"/>
    <mergeCell ref="D25:F25"/>
    <mergeCell ref="D26:F26"/>
    <mergeCell ref="B27:C27"/>
    <mergeCell ref="D27:F27"/>
    <mergeCell ref="B28:C28"/>
    <mergeCell ref="B29:C29"/>
    <mergeCell ref="B30:C30"/>
    <mergeCell ref="B31:C31"/>
    <mergeCell ref="B32:C32"/>
    <mergeCell ref="B16:C24"/>
    <mergeCell ref="D16:F16"/>
    <mergeCell ref="D17:F17"/>
    <mergeCell ref="D18:F18"/>
    <mergeCell ref="D19:F19"/>
    <mergeCell ref="D20:F20"/>
    <mergeCell ref="D21:F21"/>
    <mergeCell ref="D22:F22"/>
    <mergeCell ref="B13:C15"/>
    <mergeCell ref="D13:F13"/>
    <mergeCell ref="D14:F14"/>
    <mergeCell ref="D15:F15"/>
    <mergeCell ref="B4:C12"/>
    <mergeCell ref="D4:F4"/>
    <mergeCell ref="D5:F5"/>
    <mergeCell ref="D6:F6"/>
    <mergeCell ref="D7:F7"/>
    <mergeCell ref="D8:F8"/>
    <mergeCell ref="D9:F9"/>
    <mergeCell ref="D10:F10"/>
    <mergeCell ref="D11:F11"/>
    <mergeCell ref="D12:F12"/>
  </mergeCells>
  <hyperlinks>
    <hyperlink ref="D10" r:id="rId1" display="mailto:aacosta@investor.com.py" xr:uid="{C2E30B08-6555-4E08-9419-B449E52E2805}"/>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07D84-7FC4-4654-A182-85FD15BBCCF9}">
  <sheetPr>
    <tabColor rgb="FF002060"/>
  </sheetPr>
  <dimension ref="B1:K24"/>
  <sheetViews>
    <sheetView showGridLines="0" zoomScale="130" zoomScaleNormal="130" workbookViewId="0">
      <selection activeCell="D26" sqref="D26"/>
    </sheetView>
  </sheetViews>
  <sheetFormatPr baseColWidth="10" defaultColWidth="11.5" defaultRowHeight="15"/>
  <cols>
    <col min="1" max="1" width="4.6640625" style="353" customWidth="1"/>
    <col min="2" max="2" width="37.6640625" style="353" customWidth="1"/>
    <col min="3" max="3" width="27" style="353" bestFit="1" customWidth="1"/>
    <col min="4" max="4" width="23.33203125" style="353" bestFit="1" customWidth="1"/>
    <col min="5" max="5" width="13.6640625" style="353" customWidth="1"/>
    <col min="6" max="6" width="12.33203125" style="353" customWidth="1"/>
    <col min="7" max="7" width="19.6640625" style="369" customWidth="1"/>
    <col min="8" max="8" width="17" style="369" bestFit="1" customWidth="1"/>
    <col min="9" max="9" width="14.33203125" style="353" bestFit="1" customWidth="1"/>
    <col min="10" max="10" width="14" style="370" bestFit="1" customWidth="1"/>
    <col min="11" max="256" width="11.5" style="353"/>
    <col min="257" max="257" width="4.6640625" style="353" customWidth="1"/>
    <col min="258" max="258" width="37.6640625" style="353" customWidth="1"/>
    <col min="259" max="259" width="27" style="353" bestFit="1" customWidth="1"/>
    <col min="260" max="260" width="23.33203125" style="353" bestFit="1" customWidth="1"/>
    <col min="261" max="261" width="13.6640625" style="353" customWidth="1"/>
    <col min="262" max="262" width="12.33203125" style="353" customWidth="1"/>
    <col min="263" max="263" width="18.1640625" style="353" customWidth="1"/>
    <col min="264" max="264" width="14.1640625" style="353" bestFit="1" customWidth="1"/>
    <col min="265" max="265" width="14.33203125" style="353" bestFit="1" customWidth="1"/>
    <col min="266" max="266" width="14" style="353" bestFit="1" customWidth="1"/>
    <col min="267" max="512" width="11.5" style="353"/>
    <col min="513" max="513" width="4.6640625" style="353" customWidth="1"/>
    <col min="514" max="514" width="37.6640625" style="353" customWidth="1"/>
    <col min="515" max="515" width="27" style="353" bestFit="1" customWidth="1"/>
    <col min="516" max="516" width="23.33203125" style="353" bestFit="1" customWidth="1"/>
    <col min="517" max="517" width="13.6640625" style="353" customWidth="1"/>
    <col min="518" max="518" width="12.33203125" style="353" customWidth="1"/>
    <col min="519" max="519" width="18.1640625" style="353" customWidth="1"/>
    <col min="520" max="520" width="14.1640625" style="353" bestFit="1" customWidth="1"/>
    <col min="521" max="521" width="14.33203125" style="353" bestFit="1" customWidth="1"/>
    <col min="522" max="522" width="14" style="353" bestFit="1" customWidth="1"/>
    <col min="523" max="768" width="11.5" style="353"/>
    <col min="769" max="769" width="4.6640625" style="353" customWidth="1"/>
    <col min="770" max="770" width="37.6640625" style="353" customWidth="1"/>
    <col min="771" max="771" width="27" style="353" bestFit="1" customWidth="1"/>
    <col min="772" max="772" width="23.33203125" style="353" bestFit="1" customWidth="1"/>
    <col min="773" max="773" width="13.6640625" style="353" customWidth="1"/>
    <col min="774" max="774" width="12.33203125" style="353" customWidth="1"/>
    <col min="775" max="775" width="18.1640625" style="353" customWidth="1"/>
    <col min="776" max="776" width="14.1640625" style="353" bestFit="1" customWidth="1"/>
    <col min="777" max="777" width="14.33203125" style="353" bestFit="1" customWidth="1"/>
    <col min="778" max="778" width="14" style="353" bestFit="1" customWidth="1"/>
    <col min="779" max="1024" width="11.5" style="353"/>
    <col min="1025" max="1025" width="4.6640625" style="353" customWidth="1"/>
    <col min="1026" max="1026" width="37.6640625" style="353" customWidth="1"/>
    <col min="1027" max="1027" width="27" style="353" bestFit="1" customWidth="1"/>
    <col min="1028" max="1028" width="23.33203125" style="353" bestFit="1" customWidth="1"/>
    <col min="1029" max="1029" width="13.6640625" style="353" customWidth="1"/>
    <col min="1030" max="1030" width="12.33203125" style="353" customWidth="1"/>
    <col min="1031" max="1031" width="18.1640625" style="353" customWidth="1"/>
    <col min="1032" max="1032" width="14.1640625" style="353" bestFit="1" customWidth="1"/>
    <col min="1033" max="1033" width="14.33203125" style="353" bestFit="1" customWidth="1"/>
    <col min="1034" max="1034" width="14" style="353" bestFit="1" customWidth="1"/>
    <col min="1035" max="1280" width="11.5" style="353"/>
    <col min="1281" max="1281" width="4.6640625" style="353" customWidth="1"/>
    <col min="1282" max="1282" width="37.6640625" style="353" customWidth="1"/>
    <col min="1283" max="1283" width="27" style="353" bestFit="1" customWidth="1"/>
    <col min="1284" max="1284" width="23.33203125" style="353" bestFit="1" customWidth="1"/>
    <col min="1285" max="1285" width="13.6640625" style="353" customWidth="1"/>
    <col min="1286" max="1286" width="12.33203125" style="353" customWidth="1"/>
    <col min="1287" max="1287" width="18.1640625" style="353" customWidth="1"/>
    <col min="1288" max="1288" width="14.1640625" style="353" bestFit="1" customWidth="1"/>
    <col min="1289" max="1289" width="14.33203125" style="353" bestFit="1" customWidth="1"/>
    <col min="1290" max="1290" width="14" style="353" bestFit="1" customWidth="1"/>
    <col min="1291" max="1536" width="11.5" style="353"/>
    <col min="1537" max="1537" width="4.6640625" style="353" customWidth="1"/>
    <col min="1538" max="1538" width="37.6640625" style="353" customWidth="1"/>
    <col min="1539" max="1539" width="27" style="353" bestFit="1" customWidth="1"/>
    <col min="1540" max="1540" width="23.33203125" style="353" bestFit="1" customWidth="1"/>
    <col min="1541" max="1541" width="13.6640625" style="353" customWidth="1"/>
    <col min="1542" max="1542" width="12.33203125" style="353" customWidth="1"/>
    <col min="1543" max="1543" width="18.1640625" style="353" customWidth="1"/>
    <col min="1544" max="1544" width="14.1640625" style="353" bestFit="1" customWidth="1"/>
    <col min="1545" max="1545" width="14.33203125" style="353" bestFit="1" customWidth="1"/>
    <col min="1546" max="1546" width="14" style="353" bestFit="1" customWidth="1"/>
    <col min="1547" max="1792" width="11.5" style="353"/>
    <col min="1793" max="1793" width="4.6640625" style="353" customWidth="1"/>
    <col min="1794" max="1794" width="37.6640625" style="353" customWidth="1"/>
    <col min="1795" max="1795" width="27" style="353" bestFit="1" customWidth="1"/>
    <col min="1796" max="1796" width="23.33203125" style="353" bestFit="1" customWidth="1"/>
    <col min="1797" max="1797" width="13.6640625" style="353" customWidth="1"/>
    <col min="1798" max="1798" width="12.33203125" style="353" customWidth="1"/>
    <col min="1799" max="1799" width="18.1640625" style="353" customWidth="1"/>
    <col min="1800" max="1800" width="14.1640625" style="353" bestFit="1" customWidth="1"/>
    <col min="1801" max="1801" width="14.33203125" style="353" bestFit="1" customWidth="1"/>
    <col min="1802" max="1802" width="14" style="353" bestFit="1" customWidth="1"/>
    <col min="1803" max="2048" width="11.5" style="353"/>
    <col min="2049" max="2049" width="4.6640625" style="353" customWidth="1"/>
    <col min="2050" max="2050" width="37.6640625" style="353" customWidth="1"/>
    <col min="2051" max="2051" width="27" style="353" bestFit="1" customWidth="1"/>
    <col min="2052" max="2052" width="23.33203125" style="353" bestFit="1" customWidth="1"/>
    <col min="2053" max="2053" width="13.6640625" style="353" customWidth="1"/>
    <col min="2054" max="2054" width="12.33203125" style="353" customWidth="1"/>
    <col min="2055" max="2055" width="18.1640625" style="353" customWidth="1"/>
    <col min="2056" max="2056" width="14.1640625" style="353" bestFit="1" customWidth="1"/>
    <col min="2057" max="2057" width="14.33203125" style="353" bestFit="1" customWidth="1"/>
    <col min="2058" max="2058" width="14" style="353" bestFit="1" customWidth="1"/>
    <col min="2059" max="2304" width="11.5" style="353"/>
    <col min="2305" max="2305" width="4.6640625" style="353" customWidth="1"/>
    <col min="2306" max="2306" width="37.6640625" style="353" customWidth="1"/>
    <col min="2307" max="2307" width="27" style="353" bestFit="1" customWidth="1"/>
    <col min="2308" max="2308" width="23.33203125" style="353" bestFit="1" customWidth="1"/>
    <col min="2309" max="2309" width="13.6640625" style="353" customWidth="1"/>
    <col min="2310" max="2310" width="12.33203125" style="353" customWidth="1"/>
    <col min="2311" max="2311" width="18.1640625" style="353" customWidth="1"/>
    <col min="2312" max="2312" width="14.1640625" style="353" bestFit="1" customWidth="1"/>
    <col min="2313" max="2313" width="14.33203125" style="353" bestFit="1" customWidth="1"/>
    <col min="2314" max="2314" width="14" style="353" bestFit="1" customWidth="1"/>
    <col min="2315" max="2560" width="11.5" style="353"/>
    <col min="2561" max="2561" width="4.6640625" style="353" customWidth="1"/>
    <col min="2562" max="2562" width="37.6640625" style="353" customWidth="1"/>
    <col min="2563" max="2563" width="27" style="353" bestFit="1" customWidth="1"/>
    <col min="2564" max="2564" width="23.33203125" style="353" bestFit="1" customWidth="1"/>
    <col min="2565" max="2565" width="13.6640625" style="353" customWidth="1"/>
    <col min="2566" max="2566" width="12.33203125" style="353" customWidth="1"/>
    <col min="2567" max="2567" width="18.1640625" style="353" customWidth="1"/>
    <col min="2568" max="2568" width="14.1640625" style="353" bestFit="1" customWidth="1"/>
    <col min="2569" max="2569" width="14.33203125" style="353" bestFit="1" customWidth="1"/>
    <col min="2570" max="2570" width="14" style="353" bestFit="1" customWidth="1"/>
    <col min="2571" max="2816" width="11.5" style="353"/>
    <col min="2817" max="2817" width="4.6640625" style="353" customWidth="1"/>
    <col min="2818" max="2818" width="37.6640625" style="353" customWidth="1"/>
    <col min="2819" max="2819" width="27" style="353" bestFit="1" customWidth="1"/>
    <col min="2820" max="2820" width="23.33203125" style="353" bestFit="1" customWidth="1"/>
    <col min="2821" max="2821" width="13.6640625" style="353" customWidth="1"/>
    <col min="2822" max="2822" width="12.33203125" style="353" customWidth="1"/>
    <col min="2823" max="2823" width="18.1640625" style="353" customWidth="1"/>
    <col min="2824" max="2824" width="14.1640625" style="353" bestFit="1" customWidth="1"/>
    <col min="2825" max="2825" width="14.33203125" style="353" bestFit="1" customWidth="1"/>
    <col min="2826" max="2826" width="14" style="353" bestFit="1" customWidth="1"/>
    <col min="2827" max="3072" width="11.5" style="353"/>
    <col min="3073" max="3073" width="4.6640625" style="353" customWidth="1"/>
    <col min="3074" max="3074" width="37.6640625" style="353" customWidth="1"/>
    <col min="3075" max="3075" width="27" style="353" bestFit="1" customWidth="1"/>
    <col min="3076" max="3076" width="23.33203125" style="353" bestFit="1" customWidth="1"/>
    <col min="3077" max="3077" width="13.6640625" style="353" customWidth="1"/>
    <col min="3078" max="3078" width="12.33203125" style="353" customWidth="1"/>
    <col min="3079" max="3079" width="18.1640625" style="353" customWidth="1"/>
    <col min="3080" max="3080" width="14.1640625" style="353" bestFit="1" customWidth="1"/>
    <col min="3081" max="3081" width="14.33203125" style="353" bestFit="1" customWidth="1"/>
    <col min="3082" max="3082" width="14" style="353" bestFit="1" customWidth="1"/>
    <col min="3083" max="3328" width="11.5" style="353"/>
    <col min="3329" max="3329" width="4.6640625" style="353" customWidth="1"/>
    <col min="3330" max="3330" width="37.6640625" style="353" customWidth="1"/>
    <col min="3331" max="3331" width="27" style="353" bestFit="1" customWidth="1"/>
    <col min="3332" max="3332" width="23.33203125" style="353" bestFit="1" customWidth="1"/>
    <col min="3333" max="3333" width="13.6640625" style="353" customWidth="1"/>
    <col min="3334" max="3334" width="12.33203125" style="353" customWidth="1"/>
    <col min="3335" max="3335" width="18.1640625" style="353" customWidth="1"/>
    <col min="3336" max="3336" width="14.1640625" style="353" bestFit="1" customWidth="1"/>
    <col min="3337" max="3337" width="14.33203125" style="353" bestFit="1" customWidth="1"/>
    <col min="3338" max="3338" width="14" style="353" bestFit="1" customWidth="1"/>
    <col min="3339" max="3584" width="11.5" style="353"/>
    <col min="3585" max="3585" width="4.6640625" style="353" customWidth="1"/>
    <col min="3586" max="3586" width="37.6640625" style="353" customWidth="1"/>
    <col min="3587" max="3587" width="27" style="353" bestFit="1" customWidth="1"/>
    <col min="3588" max="3588" width="23.33203125" style="353" bestFit="1" customWidth="1"/>
    <col min="3589" max="3589" width="13.6640625" style="353" customWidth="1"/>
    <col min="3590" max="3590" width="12.33203125" style="353" customWidth="1"/>
    <col min="3591" max="3591" width="18.1640625" style="353" customWidth="1"/>
    <col min="3592" max="3592" width="14.1640625" style="353" bestFit="1" customWidth="1"/>
    <col min="3593" max="3593" width="14.33203125" style="353" bestFit="1" customWidth="1"/>
    <col min="3594" max="3594" width="14" style="353" bestFit="1" customWidth="1"/>
    <col min="3595" max="3840" width="11.5" style="353"/>
    <col min="3841" max="3841" width="4.6640625" style="353" customWidth="1"/>
    <col min="3842" max="3842" width="37.6640625" style="353" customWidth="1"/>
    <col min="3843" max="3843" width="27" style="353" bestFit="1" customWidth="1"/>
    <col min="3844" max="3844" width="23.33203125" style="353" bestFit="1" customWidth="1"/>
    <col min="3845" max="3845" width="13.6640625" style="353" customWidth="1"/>
    <col min="3846" max="3846" width="12.33203125" style="353" customWidth="1"/>
    <col min="3847" max="3847" width="18.1640625" style="353" customWidth="1"/>
    <col min="3848" max="3848" width="14.1640625" style="353" bestFit="1" customWidth="1"/>
    <col min="3849" max="3849" width="14.33203125" style="353" bestFit="1" customWidth="1"/>
    <col min="3850" max="3850" width="14" style="353" bestFit="1" customWidth="1"/>
    <col min="3851" max="4096" width="11.5" style="353"/>
    <col min="4097" max="4097" width="4.6640625" style="353" customWidth="1"/>
    <col min="4098" max="4098" width="37.6640625" style="353" customWidth="1"/>
    <col min="4099" max="4099" width="27" style="353" bestFit="1" customWidth="1"/>
    <col min="4100" max="4100" width="23.33203125" style="353" bestFit="1" customWidth="1"/>
    <col min="4101" max="4101" width="13.6640625" style="353" customWidth="1"/>
    <col min="4102" max="4102" width="12.33203125" style="353" customWidth="1"/>
    <col min="4103" max="4103" width="18.1640625" style="353" customWidth="1"/>
    <col min="4104" max="4104" width="14.1640625" style="353" bestFit="1" customWidth="1"/>
    <col min="4105" max="4105" width="14.33203125" style="353" bestFit="1" customWidth="1"/>
    <col min="4106" max="4106" width="14" style="353" bestFit="1" customWidth="1"/>
    <col min="4107" max="4352" width="11.5" style="353"/>
    <col min="4353" max="4353" width="4.6640625" style="353" customWidth="1"/>
    <col min="4354" max="4354" width="37.6640625" style="353" customWidth="1"/>
    <col min="4355" max="4355" width="27" style="353" bestFit="1" customWidth="1"/>
    <col min="4356" max="4356" width="23.33203125" style="353" bestFit="1" customWidth="1"/>
    <col min="4357" max="4357" width="13.6640625" style="353" customWidth="1"/>
    <col min="4358" max="4358" width="12.33203125" style="353" customWidth="1"/>
    <col min="4359" max="4359" width="18.1640625" style="353" customWidth="1"/>
    <col min="4360" max="4360" width="14.1640625" style="353" bestFit="1" customWidth="1"/>
    <col min="4361" max="4361" width="14.33203125" style="353" bestFit="1" customWidth="1"/>
    <col min="4362" max="4362" width="14" style="353" bestFit="1" customWidth="1"/>
    <col min="4363" max="4608" width="11.5" style="353"/>
    <col min="4609" max="4609" width="4.6640625" style="353" customWidth="1"/>
    <col min="4610" max="4610" width="37.6640625" style="353" customWidth="1"/>
    <col min="4611" max="4611" width="27" style="353" bestFit="1" customWidth="1"/>
    <col min="4612" max="4612" width="23.33203125" style="353" bestFit="1" customWidth="1"/>
    <col min="4613" max="4613" width="13.6640625" style="353" customWidth="1"/>
    <col min="4614" max="4614" width="12.33203125" style="353" customWidth="1"/>
    <col min="4615" max="4615" width="18.1640625" style="353" customWidth="1"/>
    <col min="4616" max="4616" width="14.1640625" style="353" bestFit="1" customWidth="1"/>
    <col min="4617" max="4617" width="14.33203125" style="353" bestFit="1" customWidth="1"/>
    <col min="4618" max="4618" width="14" style="353" bestFit="1" customWidth="1"/>
    <col min="4619" max="4864" width="11.5" style="353"/>
    <col min="4865" max="4865" width="4.6640625" style="353" customWidth="1"/>
    <col min="4866" max="4866" width="37.6640625" style="353" customWidth="1"/>
    <col min="4867" max="4867" width="27" style="353" bestFit="1" customWidth="1"/>
    <col min="4868" max="4868" width="23.33203125" style="353" bestFit="1" customWidth="1"/>
    <col min="4869" max="4869" width="13.6640625" style="353" customWidth="1"/>
    <col min="4870" max="4870" width="12.33203125" style="353" customWidth="1"/>
    <col min="4871" max="4871" width="18.1640625" style="353" customWidth="1"/>
    <col min="4872" max="4872" width="14.1640625" style="353" bestFit="1" customWidth="1"/>
    <col min="4873" max="4873" width="14.33203125" style="353" bestFit="1" customWidth="1"/>
    <col min="4874" max="4874" width="14" style="353" bestFit="1" customWidth="1"/>
    <col min="4875" max="5120" width="11.5" style="353"/>
    <col min="5121" max="5121" width="4.6640625" style="353" customWidth="1"/>
    <col min="5122" max="5122" width="37.6640625" style="353" customWidth="1"/>
    <col min="5123" max="5123" width="27" style="353" bestFit="1" customWidth="1"/>
    <col min="5124" max="5124" width="23.33203125" style="353" bestFit="1" customWidth="1"/>
    <col min="5125" max="5125" width="13.6640625" style="353" customWidth="1"/>
    <col min="5126" max="5126" width="12.33203125" style="353" customWidth="1"/>
    <col min="5127" max="5127" width="18.1640625" style="353" customWidth="1"/>
    <col min="5128" max="5128" width="14.1640625" style="353" bestFit="1" customWidth="1"/>
    <col min="5129" max="5129" width="14.33203125" style="353" bestFit="1" customWidth="1"/>
    <col min="5130" max="5130" width="14" style="353" bestFit="1" customWidth="1"/>
    <col min="5131" max="5376" width="11.5" style="353"/>
    <col min="5377" max="5377" width="4.6640625" style="353" customWidth="1"/>
    <col min="5378" max="5378" width="37.6640625" style="353" customWidth="1"/>
    <col min="5379" max="5379" width="27" style="353" bestFit="1" customWidth="1"/>
    <col min="5380" max="5380" width="23.33203125" style="353" bestFit="1" customWidth="1"/>
    <col min="5381" max="5381" width="13.6640625" style="353" customWidth="1"/>
    <col min="5382" max="5382" width="12.33203125" style="353" customWidth="1"/>
    <col min="5383" max="5383" width="18.1640625" style="353" customWidth="1"/>
    <col min="5384" max="5384" width="14.1640625" style="353" bestFit="1" customWidth="1"/>
    <col min="5385" max="5385" width="14.33203125" style="353" bestFit="1" customWidth="1"/>
    <col min="5386" max="5386" width="14" style="353" bestFit="1" customWidth="1"/>
    <col min="5387" max="5632" width="11.5" style="353"/>
    <col min="5633" max="5633" width="4.6640625" style="353" customWidth="1"/>
    <col min="5634" max="5634" width="37.6640625" style="353" customWidth="1"/>
    <col min="5635" max="5635" width="27" style="353" bestFit="1" customWidth="1"/>
    <col min="5636" max="5636" width="23.33203125" style="353" bestFit="1" customWidth="1"/>
    <col min="5637" max="5637" width="13.6640625" style="353" customWidth="1"/>
    <col min="5638" max="5638" width="12.33203125" style="353" customWidth="1"/>
    <col min="5639" max="5639" width="18.1640625" style="353" customWidth="1"/>
    <col min="5640" max="5640" width="14.1640625" style="353" bestFit="1" customWidth="1"/>
    <col min="5641" max="5641" width="14.33203125" style="353" bestFit="1" customWidth="1"/>
    <col min="5642" max="5642" width="14" style="353" bestFit="1" customWidth="1"/>
    <col min="5643" max="5888" width="11.5" style="353"/>
    <col min="5889" max="5889" width="4.6640625" style="353" customWidth="1"/>
    <col min="5890" max="5890" width="37.6640625" style="353" customWidth="1"/>
    <col min="5891" max="5891" width="27" style="353" bestFit="1" customWidth="1"/>
    <col min="5892" max="5892" width="23.33203125" style="353" bestFit="1" customWidth="1"/>
    <col min="5893" max="5893" width="13.6640625" style="353" customWidth="1"/>
    <col min="5894" max="5894" width="12.33203125" style="353" customWidth="1"/>
    <col min="5895" max="5895" width="18.1640625" style="353" customWidth="1"/>
    <col min="5896" max="5896" width="14.1640625" style="353" bestFit="1" customWidth="1"/>
    <col min="5897" max="5897" width="14.33203125" style="353" bestFit="1" customWidth="1"/>
    <col min="5898" max="5898" width="14" style="353" bestFit="1" customWidth="1"/>
    <col min="5899" max="6144" width="11.5" style="353"/>
    <col min="6145" max="6145" width="4.6640625" style="353" customWidth="1"/>
    <col min="6146" max="6146" width="37.6640625" style="353" customWidth="1"/>
    <col min="6147" max="6147" width="27" style="353" bestFit="1" customWidth="1"/>
    <col min="6148" max="6148" width="23.33203125" style="353" bestFit="1" customWidth="1"/>
    <col min="6149" max="6149" width="13.6640625" style="353" customWidth="1"/>
    <col min="6150" max="6150" width="12.33203125" style="353" customWidth="1"/>
    <col min="6151" max="6151" width="18.1640625" style="353" customWidth="1"/>
    <col min="6152" max="6152" width="14.1640625" style="353" bestFit="1" customWidth="1"/>
    <col min="6153" max="6153" width="14.33203125" style="353" bestFit="1" customWidth="1"/>
    <col min="6154" max="6154" width="14" style="353" bestFit="1" customWidth="1"/>
    <col min="6155" max="6400" width="11.5" style="353"/>
    <col min="6401" max="6401" width="4.6640625" style="353" customWidth="1"/>
    <col min="6402" max="6402" width="37.6640625" style="353" customWidth="1"/>
    <col min="6403" max="6403" width="27" style="353" bestFit="1" customWidth="1"/>
    <col min="6404" max="6404" width="23.33203125" style="353" bestFit="1" customWidth="1"/>
    <col min="6405" max="6405" width="13.6640625" style="353" customWidth="1"/>
    <col min="6406" max="6406" width="12.33203125" style="353" customWidth="1"/>
    <col min="6407" max="6407" width="18.1640625" style="353" customWidth="1"/>
    <col min="6408" max="6408" width="14.1640625" style="353" bestFit="1" customWidth="1"/>
    <col min="6409" max="6409" width="14.33203125" style="353" bestFit="1" customWidth="1"/>
    <col min="6410" max="6410" width="14" style="353" bestFit="1" customWidth="1"/>
    <col min="6411" max="6656" width="11.5" style="353"/>
    <col min="6657" max="6657" width="4.6640625" style="353" customWidth="1"/>
    <col min="6658" max="6658" width="37.6640625" style="353" customWidth="1"/>
    <col min="6659" max="6659" width="27" style="353" bestFit="1" customWidth="1"/>
    <col min="6660" max="6660" width="23.33203125" style="353" bestFit="1" customWidth="1"/>
    <col min="6661" max="6661" width="13.6640625" style="353" customWidth="1"/>
    <col min="6662" max="6662" width="12.33203125" style="353" customWidth="1"/>
    <col min="6663" max="6663" width="18.1640625" style="353" customWidth="1"/>
    <col min="6664" max="6664" width="14.1640625" style="353" bestFit="1" customWidth="1"/>
    <col min="6665" max="6665" width="14.33203125" style="353" bestFit="1" customWidth="1"/>
    <col min="6666" max="6666" width="14" style="353" bestFit="1" customWidth="1"/>
    <col min="6667" max="6912" width="11.5" style="353"/>
    <col min="6913" max="6913" width="4.6640625" style="353" customWidth="1"/>
    <col min="6914" max="6914" width="37.6640625" style="353" customWidth="1"/>
    <col min="6915" max="6915" width="27" style="353" bestFit="1" customWidth="1"/>
    <col min="6916" max="6916" width="23.33203125" style="353" bestFit="1" customWidth="1"/>
    <col min="6917" max="6917" width="13.6640625" style="353" customWidth="1"/>
    <col min="6918" max="6918" width="12.33203125" style="353" customWidth="1"/>
    <col min="6919" max="6919" width="18.1640625" style="353" customWidth="1"/>
    <col min="6920" max="6920" width="14.1640625" style="353" bestFit="1" customWidth="1"/>
    <col min="6921" max="6921" width="14.33203125" style="353" bestFit="1" customWidth="1"/>
    <col min="6922" max="6922" width="14" style="353" bestFit="1" customWidth="1"/>
    <col min="6923" max="7168" width="11.5" style="353"/>
    <col min="7169" max="7169" width="4.6640625" style="353" customWidth="1"/>
    <col min="7170" max="7170" width="37.6640625" style="353" customWidth="1"/>
    <col min="7171" max="7171" width="27" style="353" bestFit="1" customWidth="1"/>
    <col min="7172" max="7172" width="23.33203125" style="353" bestFit="1" customWidth="1"/>
    <col min="7173" max="7173" width="13.6640625" style="353" customWidth="1"/>
    <col min="7174" max="7174" width="12.33203125" style="353" customWidth="1"/>
    <col min="7175" max="7175" width="18.1640625" style="353" customWidth="1"/>
    <col min="7176" max="7176" width="14.1640625" style="353" bestFit="1" customWidth="1"/>
    <col min="7177" max="7177" width="14.33203125" style="353" bestFit="1" customWidth="1"/>
    <col min="7178" max="7178" width="14" style="353" bestFit="1" customWidth="1"/>
    <col min="7179" max="7424" width="11.5" style="353"/>
    <col min="7425" max="7425" width="4.6640625" style="353" customWidth="1"/>
    <col min="7426" max="7426" width="37.6640625" style="353" customWidth="1"/>
    <col min="7427" max="7427" width="27" style="353" bestFit="1" customWidth="1"/>
    <col min="7428" max="7428" width="23.33203125" style="353" bestFit="1" customWidth="1"/>
    <col min="7429" max="7429" width="13.6640625" style="353" customWidth="1"/>
    <col min="7430" max="7430" width="12.33203125" style="353" customWidth="1"/>
    <col min="7431" max="7431" width="18.1640625" style="353" customWidth="1"/>
    <col min="7432" max="7432" width="14.1640625" style="353" bestFit="1" customWidth="1"/>
    <col min="7433" max="7433" width="14.33203125" style="353" bestFit="1" customWidth="1"/>
    <col min="7434" max="7434" width="14" style="353" bestFit="1" customWidth="1"/>
    <col min="7435" max="7680" width="11.5" style="353"/>
    <col min="7681" max="7681" width="4.6640625" style="353" customWidth="1"/>
    <col min="7682" max="7682" width="37.6640625" style="353" customWidth="1"/>
    <col min="7683" max="7683" width="27" style="353" bestFit="1" customWidth="1"/>
    <col min="7684" max="7684" width="23.33203125" style="353" bestFit="1" customWidth="1"/>
    <col min="7685" max="7685" width="13.6640625" style="353" customWidth="1"/>
    <col min="7686" max="7686" width="12.33203125" style="353" customWidth="1"/>
    <col min="7687" max="7687" width="18.1640625" style="353" customWidth="1"/>
    <col min="7688" max="7688" width="14.1640625" style="353" bestFit="1" customWidth="1"/>
    <col min="7689" max="7689" width="14.33203125" style="353" bestFit="1" customWidth="1"/>
    <col min="7690" max="7690" width="14" style="353" bestFit="1" customWidth="1"/>
    <col min="7691" max="7936" width="11.5" style="353"/>
    <col min="7937" max="7937" width="4.6640625" style="353" customWidth="1"/>
    <col min="7938" max="7938" width="37.6640625" style="353" customWidth="1"/>
    <col min="7939" max="7939" width="27" style="353" bestFit="1" customWidth="1"/>
    <col min="7940" max="7940" width="23.33203125" style="353" bestFit="1" customWidth="1"/>
    <col min="7941" max="7941" width="13.6640625" style="353" customWidth="1"/>
    <col min="7942" max="7942" width="12.33203125" style="353" customWidth="1"/>
    <col min="7943" max="7943" width="18.1640625" style="353" customWidth="1"/>
    <col min="7944" max="7944" width="14.1640625" style="353" bestFit="1" customWidth="1"/>
    <col min="7945" max="7945" width="14.33203125" style="353" bestFit="1" customWidth="1"/>
    <col min="7946" max="7946" width="14" style="353" bestFit="1" customWidth="1"/>
    <col min="7947" max="8192" width="11.5" style="353"/>
    <col min="8193" max="8193" width="4.6640625" style="353" customWidth="1"/>
    <col min="8194" max="8194" width="37.6640625" style="353" customWidth="1"/>
    <col min="8195" max="8195" width="27" style="353" bestFit="1" customWidth="1"/>
    <col min="8196" max="8196" width="23.33203125" style="353" bestFit="1" customWidth="1"/>
    <col min="8197" max="8197" width="13.6640625" style="353" customWidth="1"/>
    <col min="8198" max="8198" width="12.33203125" style="353" customWidth="1"/>
    <col min="8199" max="8199" width="18.1640625" style="353" customWidth="1"/>
    <col min="8200" max="8200" width="14.1640625" style="353" bestFit="1" customWidth="1"/>
    <col min="8201" max="8201" width="14.33203125" style="353" bestFit="1" customWidth="1"/>
    <col min="8202" max="8202" width="14" style="353" bestFit="1" customWidth="1"/>
    <col min="8203" max="8448" width="11.5" style="353"/>
    <col min="8449" max="8449" width="4.6640625" style="353" customWidth="1"/>
    <col min="8450" max="8450" width="37.6640625" style="353" customWidth="1"/>
    <col min="8451" max="8451" width="27" style="353" bestFit="1" customWidth="1"/>
    <col min="8452" max="8452" width="23.33203125" style="353" bestFit="1" customWidth="1"/>
    <col min="8453" max="8453" width="13.6640625" style="353" customWidth="1"/>
    <col min="8454" max="8454" width="12.33203125" style="353" customWidth="1"/>
    <col min="8455" max="8455" width="18.1640625" style="353" customWidth="1"/>
    <col min="8456" max="8456" width="14.1640625" style="353" bestFit="1" customWidth="1"/>
    <col min="8457" max="8457" width="14.33203125" style="353" bestFit="1" customWidth="1"/>
    <col min="8458" max="8458" width="14" style="353" bestFit="1" customWidth="1"/>
    <col min="8459" max="8704" width="11.5" style="353"/>
    <col min="8705" max="8705" width="4.6640625" style="353" customWidth="1"/>
    <col min="8706" max="8706" width="37.6640625" style="353" customWidth="1"/>
    <col min="8707" max="8707" width="27" style="353" bestFit="1" customWidth="1"/>
    <col min="8708" max="8708" width="23.33203125" style="353" bestFit="1" customWidth="1"/>
    <col min="8709" max="8709" width="13.6640625" style="353" customWidth="1"/>
    <col min="8710" max="8710" width="12.33203125" style="353" customWidth="1"/>
    <col min="8711" max="8711" width="18.1640625" style="353" customWidth="1"/>
    <col min="8712" max="8712" width="14.1640625" style="353" bestFit="1" customWidth="1"/>
    <col min="8713" max="8713" width="14.33203125" style="353" bestFit="1" customWidth="1"/>
    <col min="8714" max="8714" width="14" style="353" bestFit="1" customWidth="1"/>
    <col min="8715" max="8960" width="11.5" style="353"/>
    <col min="8961" max="8961" width="4.6640625" style="353" customWidth="1"/>
    <col min="8962" max="8962" width="37.6640625" style="353" customWidth="1"/>
    <col min="8963" max="8963" width="27" style="353" bestFit="1" customWidth="1"/>
    <col min="8964" max="8964" width="23.33203125" style="353" bestFit="1" customWidth="1"/>
    <col min="8965" max="8965" width="13.6640625" style="353" customWidth="1"/>
    <col min="8966" max="8966" width="12.33203125" style="353" customWidth="1"/>
    <col min="8967" max="8967" width="18.1640625" style="353" customWidth="1"/>
    <col min="8968" max="8968" width="14.1640625" style="353" bestFit="1" customWidth="1"/>
    <col min="8969" max="8969" width="14.33203125" style="353" bestFit="1" customWidth="1"/>
    <col min="8970" max="8970" width="14" style="353" bestFit="1" customWidth="1"/>
    <col min="8971" max="9216" width="11.5" style="353"/>
    <col min="9217" max="9217" width="4.6640625" style="353" customWidth="1"/>
    <col min="9218" max="9218" width="37.6640625" style="353" customWidth="1"/>
    <col min="9219" max="9219" width="27" style="353" bestFit="1" customWidth="1"/>
    <col min="9220" max="9220" width="23.33203125" style="353" bestFit="1" customWidth="1"/>
    <col min="9221" max="9221" width="13.6640625" style="353" customWidth="1"/>
    <col min="9222" max="9222" width="12.33203125" style="353" customWidth="1"/>
    <col min="9223" max="9223" width="18.1640625" style="353" customWidth="1"/>
    <col min="9224" max="9224" width="14.1640625" style="353" bestFit="1" customWidth="1"/>
    <col min="9225" max="9225" width="14.33203125" style="353" bestFit="1" customWidth="1"/>
    <col min="9226" max="9226" width="14" style="353" bestFit="1" customWidth="1"/>
    <col min="9227" max="9472" width="11.5" style="353"/>
    <col min="9473" max="9473" width="4.6640625" style="353" customWidth="1"/>
    <col min="9474" max="9474" width="37.6640625" style="353" customWidth="1"/>
    <col min="9475" max="9475" width="27" style="353" bestFit="1" customWidth="1"/>
    <col min="9476" max="9476" width="23.33203125" style="353" bestFit="1" customWidth="1"/>
    <col min="9477" max="9477" width="13.6640625" style="353" customWidth="1"/>
    <col min="9478" max="9478" width="12.33203125" style="353" customWidth="1"/>
    <col min="9479" max="9479" width="18.1640625" style="353" customWidth="1"/>
    <col min="9480" max="9480" width="14.1640625" style="353" bestFit="1" customWidth="1"/>
    <col min="9481" max="9481" width="14.33203125" style="353" bestFit="1" customWidth="1"/>
    <col min="9482" max="9482" width="14" style="353" bestFit="1" customWidth="1"/>
    <col min="9483" max="9728" width="11.5" style="353"/>
    <col min="9729" max="9729" width="4.6640625" style="353" customWidth="1"/>
    <col min="9730" max="9730" width="37.6640625" style="353" customWidth="1"/>
    <col min="9731" max="9731" width="27" style="353" bestFit="1" customWidth="1"/>
    <col min="9732" max="9732" width="23.33203125" style="353" bestFit="1" customWidth="1"/>
    <col min="9733" max="9733" width="13.6640625" style="353" customWidth="1"/>
    <col min="9734" max="9734" width="12.33203125" style="353" customWidth="1"/>
    <col min="9735" max="9735" width="18.1640625" style="353" customWidth="1"/>
    <col min="9736" max="9736" width="14.1640625" style="353" bestFit="1" customWidth="1"/>
    <col min="9737" max="9737" width="14.33203125" style="353" bestFit="1" customWidth="1"/>
    <col min="9738" max="9738" width="14" style="353" bestFit="1" customWidth="1"/>
    <col min="9739" max="9984" width="11.5" style="353"/>
    <col min="9985" max="9985" width="4.6640625" style="353" customWidth="1"/>
    <col min="9986" max="9986" width="37.6640625" style="353" customWidth="1"/>
    <col min="9987" max="9987" width="27" style="353" bestFit="1" customWidth="1"/>
    <col min="9988" max="9988" width="23.33203125" style="353" bestFit="1" customWidth="1"/>
    <col min="9989" max="9989" width="13.6640625" style="353" customWidth="1"/>
    <col min="9990" max="9990" width="12.33203125" style="353" customWidth="1"/>
    <col min="9991" max="9991" width="18.1640625" style="353" customWidth="1"/>
    <col min="9992" max="9992" width="14.1640625" style="353" bestFit="1" customWidth="1"/>
    <col min="9993" max="9993" width="14.33203125" style="353" bestFit="1" customWidth="1"/>
    <col min="9994" max="9994" width="14" style="353" bestFit="1" customWidth="1"/>
    <col min="9995" max="10240" width="11.5" style="353"/>
    <col min="10241" max="10241" width="4.6640625" style="353" customWidth="1"/>
    <col min="10242" max="10242" width="37.6640625" style="353" customWidth="1"/>
    <col min="10243" max="10243" width="27" style="353" bestFit="1" customWidth="1"/>
    <col min="10244" max="10244" width="23.33203125" style="353" bestFit="1" customWidth="1"/>
    <col min="10245" max="10245" width="13.6640625" style="353" customWidth="1"/>
    <col min="10246" max="10246" width="12.33203125" style="353" customWidth="1"/>
    <col min="10247" max="10247" width="18.1640625" style="353" customWidth="1"/>
    <col min="10248" max="10248" width="14.1640625" style="353" bestFit="1" customWidth="1"/>
    <col min="10249" max="10249" width="14.33203125" style="353" bestFit="1" customWidth="1"/>
    <col min="10250" max="10250" width="14" style="353" bestFit="1" customWidth="1"/>
    <col min="10251" max="10496" width="11.5" style="353"/>
    <col min="10497" max="10497" width="4.6640625" style="353" customWidth="1"/>
    <col min="10498" max="10498" width="37.6640625" style="353" customWidth="1"/>
    <col min="10499" max="10499" width="27" style="353" bestFit="1" customWidth="1"/>
    <col min="10500" max="10500" width="23.33203125" style="353" bestFit="1" customWidth="1"/>
    <col min="10501" max="10501" width="13.6640625" style="353" customWidth="1"/>
    <col min="10502" max="10502" width="12.33203125" style="353" customWidth="1"/>
    <col min="10503" max="10503" width="18.1640625" style="353" customWidth="1"/>
    <col min="10504" max="10504" width="14.1640625" style="353" bestFit="1" customWidth="1"/>
    <col min="10505" max="10505" width="14.33203125" style="353" bestFit="1" customWidth="1"/>
    <col min="10506" max="10506" width="14" style="353" bestFit="1" customWidth="1"/>
    <col min="10507" max="10752" width="11.5" style="353"/>
    <col min="10753" max="10753" width="4.6640625" style="353" customWidth="1"/>
    <col min="10754" max="10754" width="37.6640625" style="353" customWidth="1"/>
    <col min="10755" max="10755" width="27" style="353" bestFit="1" customWidth="1"/>
    <col min="10756" max="10756" width="23.33203125" style="353" bestFit="1" customWidth="1"/>
    <col min="10757" max="10757" width="13.6640625" style="353" customWidth="1"/>
    <col min="10758" max="10758" width="12.33203125" style="353" customWidth="1"/>
    <col min="10759" max="10759" width="18.1640625" style="353" customWidth="1"/>
    <col min="10760" max="10760" width="14.1640625" style="353" bestFit="1" customWidth="1"/>
    <col min="10761" max="10761" width="14.33203125" style="353" bestFit="1" customWidth="1"/>
    <col min="10762" max="10762" width="14" style="353" bestFit="1" customWidth="1"/>
    <col min="10763" max="11008" width="11.5" style="353"/>
    <col min="11009" max="11009" width="4.6640625" style="353" customWidth="1"/>
    <col min="11010" max="11010" width="37.6640625" style="353" customWidth="1"/>
    <col min="11011" max="11011" width="27" style="353" bestFit="1" customWidth="1"/>
    <col min="11012" max="11012" width="23.33203125" style="353" bestFit="1" customWidth="1"/>
    <col min="11013" max="11013" width="13.6640625" style="353" customWidth="1"/>
    <col min="11014" max="11014" width="12.33203125" style="353" customWidth="1"/>
    <col min="11015" max="11015" width="18.1640625" style="353" customWidth="1"/>
    <col min="11016" max="11016" width="14.1640625" style="353" bestFit="1" customWidth="1"/>
    <col min="11017" max="11017" width="14.33203125" style="353" bestFit="1" customWidth="1"/>
    <col min="11018" max="11018" width="14" style="353" bestFit="1" customWidth="1"/>
    <col min="11019" max="11264" width="11.5" style="353"/>
    <col min="11265" max="11265" width="4.6640625" style="353" customWidth="1"/>
    <col min="11266" max="11266" width="37.6640625" style="353" customWidth="1"/>
    <col min="11267" max="11267" width="27" style="353" bestFit="1" customWidth="1"/>
    <col min="11268" max="11268" width="23.33203125" style="353" bestFit="1" customWidth="1"/>
    <col min="11269" max="11269" width="13.6640625" style="353" customWidth="1"/>
    <col min="11270" max="11270" width="12.33203125" style="353" customWidth="1"/>
    <col min="11271" max="11271" width="18.1640625" style="353" customWidth="1"/>
    <col min="11272" max="11272" width="14.1640625" style="353" bestFit="1" customWidth="1"/>
    <col min="11273" max="11273" width="14.33203125" style="353" bestFit="1" customWidth="1"/>
    <col min="11274" max="11274" width="14" style="353" bestFit="1" customWidth="1"/>
    <col min="11275" max="11520" width="11.5" style="353"/>
    <col min="11521" max="11521" width="4.6640625" style="353" customWidth="1"/>
    <col min="11522" max="11522" width="37.6640625" style="353" customWidth="1"/>
    <col min="11523" max="11523" width="27" style="353" bestFit="1" customWidth="1"/>
    <col min="11524" max="11524" width="23.33203125" style="353" bestFit="1" customWidth="1"/>
    <col min="11525" max="11525" width="13.6640625" style="353" customWidth="1"/>
    <col min="11526" max="11526" width="12.33203125" style="353" customWidth="1"/>
    <col min="11527" max="11527" width="18.1640625" style="353" customWidth="1"/>
    <col min="11528" max="11528" width="14.1640625" style="353" bestFit="1" customWidth="1"/>
    <col min="11529" max="11529" width="14.33203125" style="353" bestFit="1" customWidth="1"/>
    <col min="11530" max="11530" width="14" style="353" bestFit="1" customWidth="1"/>
    <col min="11531" max="11776" width="11.5" style="353"/>
    <col min="11777" max="11777" width="4.6640625" style="353" customWidth="1"/>
    <col min="11778" max="11778" width="37.6640625" style="353" customWidth="1"/>
    <col min="11779" max="11779" width="27" style="353" bestFit="1" customWidth="1"/>
    <col min="11780" max="11780" width="23.33203125" style="353" bestFit="1" customWidth="1"/>
    <col min="11781" max="11781" width="13.6640625" style="353" customWidth="1"/>
    <col min="11782" max="11782" width="12.33203125" style="353" customWidth="1"/>
    <col min="11783" max="11783" width="18.1640625" style="353" customWidth="1"/>
    <col min="11784" max="11784" width="14.1640625" style="353" bestFit="1" customWidth="1"/>
    <col min="11785" max="11785" width="14.33203125" style="353" bestFit="1" customWidth="1"/>
    <col min="11786" max="11786" width="14" style="353" bestFit="1" customWidth="1"/>
    <col min="11787" max="12032" width="11.5" style="353"/>
    <col min="12033" max="12033" width="4.6640625" style="353" customWidth="1"/>
    <col min="12034" max="12034" width="37.6640625" style="353" customWidth="1"/>
    <col min="12035" max="12035" width="27" style="353" bestFit="1" customWidth="1"/>
    <col min="12036" max="12036" width="23.33203125" style="353" bestFit="1" customWidth="1"/>
    <col min="12037" max="12037" width="13.6640625" style="353" customWidth="1"/>
    <col min="12038" max="12038" width="12.33203125" style="353" customWidth="1"/>
    <col min="12039" max="12039" width="18.1640625" style="353" customWidth="1"/>
    <col min="12040" max="12040" width="14.1640625" style="353" bestFit="1" customWidth="1"/>
    <col min="12041" max="12041" width="14.33203125" style="353" bestFit="1" customWidth="1"/>
    <col min="12042" max="12042" width="14" style="353" bestFit="1" customWidth="1"/>
    <col min="12043" max="12288" width="11.5" style="353"/>
    <col min="12289" max="12289" width="4.6640625" style="353" customWidth="1"/>
    <col min="12290" max="12290" width="37.6640625" style="353" customWidth="1"/>
    <col min="12291" max="12291" width="27" style="353" bestFit="1" customWidth="1"/>
    <col min="12292" max="12292" width="23.33203125" style="353" bestFit="1" customWidth="1"/>
    <col min="12293" max="12293" width="13.6640625" style="353" customWidth="1"/>
    <col min="12294" max="12294" width="12.33203125" style="353" customWidth="1"/>
    <col min="12295" max="12295" width="18.1640625" style="353" customWidth="1"/>
    <col min="12296" max="12296" width="14.1640625" style="353" bestFit="1" customWidth="1"/>
    <col min="12297" max="12297" width="14.33203125" style="353" bestFit="1" customWidth="1"/>
    <col min="12298" max="12298" width="14" style="353" bestFit="1" customWidth="1"/>
    <col min="12299" max="12544" width="11.5" style="353"/>
    <col min="12545" max="12545" width="4.6640625" style="353" customWidth="1"/>
    <col min="12546" max="12546" width="37.6640625" style="353" customWidth="1"/>
    <col min="12547" max="12547" width="27" style="353" bestFit="1" customWidth="1"/>
    <col min="12548" max="12548" width="23.33203125" style="353" bestFit="1" customWidth="1"/>
    <col min="12549" max="12549" width="13.6640625" style="353" customWidth="1"/>
    <col min="12550" max="12550" width="12.33203125" style="353" customWidth="1"/>
    <col min="12551" max="12551" width="18.1640625" style="353" customWidth="1"/>
    <col min="12552" max="12552" width="14.1640625" style="353" bestFit="1" customWidth="1"/>
    <col min="12553" max="12553" width="14.33203125" style="353" bestFit="1" customWidth="1"/>
    <col min="12554" max="12554" width="14" style="353" bestFit="1" customWidth="1"/>
    <col min="12555" max="12800" width="11.5" style="353"/>
    <col min="12801" max="12801" width="4.6640625" style="353" customWidth="1"/>
    <col min="12802" max="12802" width="37.6640625" style="353" customWidth="1"/>
    <col min="12803" max="12803" width="27" style="353" bestFit="1" customWidth="1"/>
    <col min="12804" max="12804" width="23.33203125" style="353" bestFit="1" customWidth="1"/>
    <col min="12805" max="12805" width="13.6640625" style="353" customWidth="1"/>
    <col min="12806" max="12806" width="12.33203125" style="353" customWidth="1"/>
    <col min="12807" max="12807" width="18.1640625" style="353" customWidth="1"/>
    <col min="12808" max="12808" width="14.1640625" style="353" bestFit="1" customWidth="1"/>
    <col min="12809" max="12809" width="14.33203125" style="353" bestFit="1" customWidth="1"/>
    <col min="12810" max="12810" width="14" style="353" bestFit="1" customWidth="1"/>
    <col min="12811" max="13056" width="11.5" style="353"/>
    <col min="13057" max="13057" width="4.6640625" style="353" customWidth="1"/>
    <col min="13058" max="13058" width="37.6640625" style="353" customWidth="1"/>
    <col min="13059" max="13059" width="27" style="353" bestFit="1" customWidth="1"/>
    <col min="13060" max="13060" width="23.33203125" style="353" bestFit="1" customWidth="1"/>
    <col min="13061" max="13061" width="13.6640625" style="353" customWidth="1"/>
    <col min="13062" max="13062" width="12.33203125" style="353" customWidth="1"/>
    <col min="13063" max="13063" width="18.1640625" style="353" customWidth="1"/>
    <col min="13064" max="13064" width="14.1640625" style="353" bestFit="1" customWidth="1"/>
    <col min="13065" max="13065" width="14.33203125" style="353" bestFit="1" customWidth="1"/>
    <col min="13066" max="13066" width="14" style="353" bestFit="1" customWidth="1"/>
    <col min="13067" max="13312" width="11.5" style="353"/>
    <col min="13313" max="13313" width="4.6640625" style="353" customWidth="1"/>
    <col min="13314" max="13314" width="37.6640625" style="353" customWidth="1"/>
    <col min="13315" max="13315" width="27" style="353" bestFit="1" customWidth="1"/>
    <col min="13316" max="13316" width="23.33203125" style="353" bestFit="1" customWidth="1"/>
    <col min="13317" max="13317" width="13.6640625" style="353" customWidth="1"/>
    <col min="13318" max="13318" width="12.33203125" style="353" customWidth="1"/>
    <col min="13319" max="13319" width="18.1640625" style="353" customWidth="1"/>
    <col min="13320" max="13320" width="14.1640625" style="353" bestFit="1" customWidth="1"/>
    <col min="13321" max="13321" width="14.33203125" style="353" bestFit="1" customWidth="1"/>
    <col min="13322" max="13322" width="14" style="353" bestFit="1" customWidth="1"/>
    <col min="13323" max="13568" width="11.5" style="353"/>
    <col min="13569" max="13569" width="4.6640625" style="353" customWidth="1"/>
    <col min="13570" max="13570" width="37.6640625" style="353" customWidth="1"/>
    <col min="13571" max="13571" width="27" style="353" bestFit="1" customWidth="1"/>
    <col min="13572" max="13572" width="23.33203125" style="353" bestFit="1" customWidth="1"/>
    <col min="13573" max="13573" width="13.6640625" style="353" customWidth="1"/>
    <col min="13574" max="13574" width="12.33203125" style="353" customWidth="1"/>
    <col min="13575" max="13575" width="18.1640625" style="353" customWidth="1"/>
    <col min="13576" max="13576" width="14.1640625" style="353" bestFit="1" customWidth="1"/>
    <col min="13577" max="13577" width="14.33203125" style="353" bestFit="1" customWidth="1"/>
    <col min="13578" max="13578" width="14" style="353" bestFit="1" customWidth="1"/>
    <col min="13579" max="13824" width="11.5" style="353"/>
    <col min="13825" max="13825" width="4.6640625" style="353" customWidth="1"/>
    <col min="13826" max="13826" width="37.6640625" style="353" customWidth="1"/>
    <col min="13827" max="13827" width="27" style="353" bestFit="1" customWidth="1"/>
    <col min="13828" max="13828" width="23.33203125" style="353" bestFit="1" customWidth="1"/>
    <col min="13829" max="13829" width="13.6640625" style="353" customWidth="1"/>
    <col min="13830" max="13830" width="12.33203125" style="353" customWidth="1"/>
    <col min="13831" max="13831" width="18.1640625" style="353" customWidth="1"/>
    <col min="13832" max="13832" width="14.1640625" style="353" bestFit="1" customWidth="1"/>
    <col min="13833" max="13833" width="14.33203125" style="353" bestFit="1" customWidth="1"/>
    <col min="13834" max="13834" width="14" style="353" bestFit="1" customWidth="1"/>
    <col min="13835" max="14080" width="11.5" style="353"/>
    <col min="14081" max="14081" width="4.6640625" style="353" customWidth="1"/>
    <col min="14082" max="14082" width="37.6640625" style="353" customWidth="1"/>
    <col min="14083" max="14083" width="27" style="353" bestFit="1" customWidth="1"/>
    <col min="14084" max="14084" width="23.33203125" style="353" bestFit="1" customWidth="1"/>
    <col min="14085" max="14085" width="13.6640625" style="353" customWidth="1"/>
    <col min="14086" max="14086" width="12.33203125" style="353" customWidth="1"/>
    <col min="14087" max="14087" width="18.1640625" style="353" customWidth="1"/>
    <col min="14088" max="14088" width="14.1640625" style="353" bestFit="1" customWidth="1"/>
    <col min="14089" max="14089" width="14.33203125" style="353" bestFit="1" customWidth="1"/>
    <col min="14090" max="14090" width="14" style="353" bestFit="1" customWidth="1"/>
    <col min="14091" max="14336" width="11.5" style="353"/>
    <col min="14337" max="14337" width="4.6640625" style="353" customWidth="1"/>
    <col min="14338" max="14338" width="37.6640625" style="353" customWidth="1"/>
    <col min="14339" max="14339" width="27" style="353" bestFit="1" customWidth="1"/>
    <col min="14340" max="14340" width="23.33203125" style="353" bestFit="1" customWidth="1"/>
    <col min="14341" max="14341" width="13.6640625" style="353" customWidth="1"/>
    <col min="14342" max="14342" width="12.33203125" style="353" customWidth="1"/>
    <col min="14343" max="14343" width="18.1640625" style="353" customWidth="1"/>
    <col min="14344" max="14344" width="14.1640625" style="353" bestFit="1" customWidth="1"/>
    <col min="14345" max="14345" width="14.33203125" style="353" bestFit="1" customWidth="1"/>
    <col min="14346" max="14346" width="14" style="353" bestFit="1" customWidth="1"/>
    <col min="14347" max="14592" width="11.5" style="353"/>
    <col min="14593" max="14593" width="4.6640625" style="353" customWidth="1"/>
    <col min="14594" max="14594" width="37.6640625" style="353" customWidth="1"/>
    <col min="14595" max="14595" width="27" style="353" bestFit="1" customWidth="1"/>
    <col min="14596" max="14596" width="23.33203125" style="353" bestFit="1" customWidth="1"/>
    <col min="14597" max="14597" width="13.6640625" style="353" customWidth="1"/>
    <col min="14598" max="14598" width="12.33203125" style="353" customWidth="1"/>
    <col min="14599" max="14599" width="18.1640625" style="353" customWidth="1"/>
    <col min="14600" max="14600" width="14.1640625" style="353" bestFit="1" customWidth="1"/>
    <col min="14601" max="14601" width="14.33203125" style="353" bestFit="1" customWidth="1"/>
    <col min="14602" max="14602" width="14" style="353" bestFit="1" customWidth="1"/>
    <col min="14603" max="14848" width="11.5" style="353"/>
    <col min="14849" max="14849" width="4.6640625" style="353" customWidth="1"/>
    <col min="14850" max="14850" width="37.6640625" style="353" customWidth="1"/>
    <col min="14851" max="14851" width="27" style="353" bestFit="1" customWidth="1"/>
    <col min="14852" max="14852" width="23.33203125" style="353" bestFit="1" customWidth="1"/>
    <col min="14853" max="14853" width="13.6640625" style="353" customWidth="1"/>
    <col min="14854" max="14854" width="12.33203125" style="353" customWidth="1"/>
    <col min="14855" max="14855" width="18.1640625" style="353" customWidth="1"/>
    <col min="14856" max="14856" width="14.1640625" style="353" bestFit="1" customWidth="1"/>
    <col min="14857" max="14857" width="14.33203125" style="353" bestFit="1" customWidth="1"/>
    <col min="14858" max="14858" width="14" style="353" bestFit="1" customWidth="1"/>
    <col min="14859" max="15104" width="11.5" style="353"/>
    <col min="15105" max="15105" width="4.6640625" style="353" customWidth="1"/>
    <col min="15106" max="15106" width="37.6640625" style="353" customWidth="1"/>
    <col min="15107" max="15107" width="27" style="353" bestFit="1" customWidth="1"/>
    <col min="15108" max="15108" width="23.33203125" style="353" bestFit="1" customWidth="1"/>
    <col min="15109" max="15109" width="13.6640625" style="353" customWidth="1"/>
    <col min="15110" max="15110" width="12.33203125" style="353" customWidth="1"/>
    <col min="15111" max="15111" width="18.1640625" style="353" customWidth="1"/>
    <col min="15112" max="15112" width="14.1640625" style="353" bestFit="1" customWidth="1"/>
    <col min="15113" max="15113" width="14.33203125" style="353" bestFit="1" customWidth="1"/>
    <col min="15114" max="15114" width="14" style="353" bestFit="1" customWidth="1"/>
    <col min="15115" max="15360" width="11.5" style="353"/>
    <col min="15361" max="15361" width="4.6640625" style="353" customWidth="1"/>
    <col min="15362" max="15362" width="37.6640625" style="353" customWidth="1"/>
    <col min="15363" max="15363" width="27" style="353" bestFit="1" customWidth="1"/>
    <col min="15364" max="15364" width="23.33203125" style="353" bestFit="1" customWidth="1"/>
    <col min="15365" max="15365" width="13.6640625" style="353" customWidth="1"/>
    <col min="15366" max="15366" width="12.33203125" style="353" customWidth="1"/>
    <col min="15367" max="15367" width="18.1640625" style="353" customWidth="1"/>
    <col min="15368" max="15368" width="14.1640625" style="353" bestFit="1" customWidth="1"/>
    <col min="15369" max="15369" width="14.33203125" style="353" bestFit="1" customWidth="1"/>
    <col min="15370" max="15370" width="14" style="353" bestFit="1" customWidth="1"/>
    <col min="15371" max="15616" width="11.5" style="353"/>
    <col min="15617" max="15617" width="4.6640625" style="353" customWidth="1"/>
    <col min="15618" max="15618" width="37.6640625" style="353" customWidth="1"/>
    <col min="15619" max="15619" width="27" style="353" bestFit="1" customWidth="1"/>
    <col min="15620" max="15620" width="23.33203125" style="353" bestFit="1" customWidth="1"/>
    <col min="15621" max="15621" width="13.6640625" style="353" customWidth="1"/>
    <col min="15622" max="15622" width="12.33203125" style="353" customWidth="1"/>
    <col min="15623" max="15623" width="18.1640625" style="353" customWidth="1"/>
    <col min="15624" max="15624" width="14.1640625" style="353" bestFit="1" customWidth="1"/>
    <col min="15625" max="15625" width="14.33203125" style="353" bestFit="1" customWidth="1"/>
    <col min="15626" max="15626" width="14" style="353" bestFit="1" customWidth="1"/>
    <col min="15627" max="15872" width="11.5" style="353"/>
    <col min="15873" max="15873" width="4.6640625" style="353" customWidth="1"/>
    <col min="15874" max="15874" width="37.6640625" style="353" customWidth="1"/>
    <col min="15875" max="15875" width="27" style="353" bestFit="1" customWidth="1"/>
    <col min="15876" max="15876" width="23.33203125" style="353" bestFit="1" customWidth="1"/>
    <col min="15877" max="15877" width="13.6640625" style="353" customWidth="1"/>
    <col min="15878" max="15878" width="12.33203125" style="353" customWidth="1"/>
    <col min="15879" max="15879" width="18.1640625" style="353" customWidth="1"/>
    <col min="15880" max="15880" width="14.1640625" style="353" bestFit="1" customWidth="1"/>
    <col min="15881" max="15881" width="14.33203125" style="353" bestFit="1" customWidth="1"/>
    <col min="15882" max="15882" width="14" style="353" bestFit="1" customWidth="1"/>
    <col min="15883" max="16128" width="11.5" style="353"/>
    <col min="16129" max="16129" width="4.6640625" style="353" customWidth="1"/>
    <col min="16130" max="16130" width="37.6640625" style="353" customWidth="1"/>
    <col min="16131" max="16131" width="27" style="353" bestFit="1" customWidth="1"/>
    <col min="16132" max="16132" width="23.33203125" style="353" bestFit="1" customWidth="1"/>
    <col min="16133" max="16133" width="13.6640625" style="353" customWidth="1"/>
    <col min="16134" max="16134" width="12.33203125" style="353" customWidth="1"/>
    <col min="16135" max="16135" width="18.1640625" style="353" customWidth="1"/>
    <col min="16136" max="16136" width="14.1640625" style="353" bestFit="1" customWidth="1"/>
    <col min="16137" max="16137" width="14.33203125" style="353" bestFit="1" customWidth="1"/>
    <col min="16138" max="16138" width="14" style="353" bestFit="1" customWidth="1"/>
    <col min="16139" max="16384" width="11.5" style="353"/>
  </cols>
  <sheetData>
    <row r="1" spans="2:10" ht="44" customHeight="1">
      <c r="C1" s="309"/>
    </row>
    <row r="3" spans="2:10" ht="36" customHeight="1">
      <c r="B3" s="876" t="s">
        <v>442</v>
      </c>
      <c r="C3" s="876"/>
      <c r="D3" s="876"/>
      <c r="E3" s="876"/>
      <c r="F3" s="876"/>
      <c r="G3" s="876"/>
      <c r="H3" s="876"/>
    </row>
    <row r="4" spans="2:10" ht="17" thickBot="1">
      <c r="B4" s="371" t="s">
        <v>638</v>
      </c>
    </row>
    <row r="5" spans="2:10" ht="35.25" customHeight="1" thickBot="1">
      <c r="B5" s="372"/>
      <c r="C5" s="373"/>
      <c r="D5" s="374"/>
      <c r="E5" s="373"/>
      <c r="F5" s="373"/>
      <c r="G5" s="877" t="s">
        <v>443</v>
      </c>
      <c r="H5" s="878"/>
    </row>
    <row r="6" spans="2:10" ht="32">
      <c r="B6" s="375" t="s">
        <v>444</v>
      </c>
      <c r="C6" s="375" t="s">
        <v>445</v>
      </c>
      <c r="D6" s="375" t="s">
        <v>446</v>
      </c>
      <c r="E6" s="375" t="s">
        <v>450</v>
      </c>
      <c r="F6" s="375" t="s">
        <v>401</v>
      </c>
      <c r="G6" s="376">
        <f>Indice!G6</f>
        <v>45016</v>
      </c>
      <c r="H6" s="376">
        <v>44926</v>
      </c>
    </row>
    <row r="7" spans="2:10" s="222" customFormat="1" ht="16">
      <c r="B7" s="338" t="s">
        <v>453</v>
      </c>
      <c r="C7" s="338" t="s">
        <v>447</v>
      </c>
      <c r="D7" s="338" t="s">
        <v>448</v>
      </c>
      <c r="E7" s="730">
        <v>44926</v>
      </c>
      <c r="F7" s="338" t="s">
        <v>656</v>
      </c>
      <c r="G7" s="378">
        <v>72508744.872799993</v>
      </c>
      <c r="H7" s="378">
        <v>43444174.749600001</v>
      </c>
      <c r="J7" s="379"/>
    </row>
    <row r="8" spans="2:10" s="222" customFormat="1" ht="16">
      <c r="B8" s="338" t="s">
        <v>515</v>
      </c>
      <c r="C8" s="338" t="s">
        <v>447</v>
      </c>
      <c r="D8" s="338" t="s">
        <v>448</v>
      </c>
      <c r="E8" s="730">
        <v>44926</v>
      </c>
      <c r="F8" s="338" t="s">
        <v>656</v>
      </c>
      <c r="G8" s="378">
        <v>70799746.877599999</v>
      </c>
      <c r="H8" s="378">
        <v>65393578.964000002</v>
      </c>
      <c r="J8" s="379"/>
    </row>
    <row r="9" spans="2:10" s="222" customFormat="1" ht="16">
      <c r="B9" s="338" t="s">
        <v>516</v>
      </c>
      <c r="C9" s="338" t="s">
        <v>447</v>
      </c>
      <c r="D9" s="338" t="s">
        <v>448</v>
      </c>
      <c r="E9" s="730">
        <v>44926</v>
      </c>
      <c r="F9" s="338" t="s">
        <v>656</v>
      </c>
      <c r="G9" s="378">
        <v>175286750.79999998</v>
      </c>
      <c r="H9" s="378">
        <v>144486805</v>
      </c>
      <c r="J9" s="379"/>
    </row>
    <row r="10" spans="2:10" s="222" customFormat="1" ht="16">
      <c r="B10" s="338" t="s">
        <v>517</v>
      </c>
      <c r="C10" s="338" t="s">
        <v>449</v>
      </c>
      <c r="D10" s="338" t="s">
        <v>448</v>
      </c>
      <c r="E10" s="730">
        <v>44926</v>
      </c>
      <c r="F10" s="338" t="s">
        <v>656</v>
      </c>
      <c r="G10" s="378">
        <v>1500095000</v>
      </c>
      <c r="H10" s="378">
        <v>1500095000</v>
      </c>
      <c r="J10" s="379"/>
    </row>
    <row r="11" spans="2:10" s="222" customFormat="1" ht="16">
      <c r="B11" s="338" t="s">
        <v>491</v>
      </c>
      <c r="C11" s="338" t="s">
        <v>449</v>
      </c>
      <c r="D11" s="338" t="s">
        <v>448</v>
      </c>
      <c r="E11" s="730">
        <v>44926</v>
      </c>
      <c r="F11" s="338" t="s">
        <v>656</v>
      </c>
      <c r="G11" s="729">
        <v>0</v>
      </c>
      <c r="H11" s="378">
        <v>0</v>
      </c>
      <c r="J11" s="379"/>
    </row>
    <row r="12" spans="2:10" s="222" customFormat="1" ht="16">
      <c r="B12" s="338" t="s">
        <v>518</v>
      </c>
      <c r="C12" s="338" t="s">
        <v>447</v>
      </c>
      <c r="D12" s="338" t="s">
        <v>448</v>
      </c>
      <c r="E12" s="730">
        <v>44926</v>
      </c>
      <c r="F12" s="338" t="s">
        <v>656</v>
      </c>
      <c r="G12" s="378">
        <v>59860685</v>
      </c>
      <c r="H12" s="378">
        <v>59860685</v>
      </c>
      <c r="J12" s="379"/>
    </row>
    <row r="13" spans="2:10" s="222" customFormat="1" ht="16">
      <c r="B13" s="381" t="s">
        <v>454</v>
      </c>
      <c r="C13" s="381" t="s">
        <v>447</v>
      </c>
      <c r="D13" s="338" t="s">
        <v>448</v>
      </c>
      <c r="E13" s="730">
        <v>44926</v>
      </c>
      <c r="F13" s="377">
        <v>45291</v>
      </c>
      <c r="G13" s="378">
        <f>891416712.4488+116478242</f>
        <v>1007894954.4488</v>
      </c>
      <c r="H13" s="378">
        <v>786461842.17639995</v>
      </c>
      <c r="J13" s="379"/>
    </row>
    <row r="14" spans="2:10" s="222" customFormat="1" ht="16">
      <c r="B14" s="338" t="s">
        <v>519</v>
      </c>
      <c r="C14" s="338" t="s">
        <v>449</v>
      </c>
      <c r="D14" s="338" t="s">
        <v>448</v>
      </c>
      <c r="E14" s="730">
        <v>44926</v>
      </c>
      <c r="F14" s="338" t="s">
        <v>656</v>
      </c>
      <c r="G14" s="729">
        <v>1910000</v>
      </c>
      <c r="H14" s="378">
        <v>2440000</v>
      </c>
      <c r="J14" s="379"/>
    </row>
    <row r="15" spans="2:10" s="222" customFormat="1" ht="16">
      <c r="B15" s="382" t="s">
        <v>520</v>
      </c>
      <c r="C15" s="338" t="s">
        <v>1009</v>
      </c>
      <c r="D15" s="338" t="s">
        <v>448</v>
      </c>
      <c r="E15" s="730">
        <v>44926</v>
      </c>
      <c r="F15" s="338" t="s">
        <v>656</v>
      </c>
      <c r="G15" s="729">
        <v>46185063.769999996</v>
      </c>
      <c r="H15" s="378">
        <v>46185063.769999996</v>
      </c>
      <c r="J15" s="379"/>
    </row>
    <row r="16" spans="2:10" s="222" customFormat="1" ht="16">
      <c r="B16" s="382" t="s">
        <v>521</v>
      </c>
      <c r="C16" s="338" t="s">
        <v>906</v>
      </c>
      <c r="D16" s="338" t="s">
        <v>448</v>
      </c>
      <c r="E16" s="730">
        <v>44926</v>
      </c>
      <c r="F16" s="338" t="s">
        <v>656</v>
      </c>
      <c r="G16" s="378">
        <v>12589580.34</v>
      </c>
      <c r="H16" s="378">
        <v>13370078.34</v>
      </c>
      <c r="J16" s="379"/>
    </row>
    <row r="17" spans="2:11" s="222" customFormat="1" ht="16">
      <c r="B17" s="382" t="s">
        <v>522</v>
      </c>
      <c r="C17" s="338" t="s">
        <v>449</v>
      </c>
      <c r="D17" s="338" t="s">
        <v>448</v>
      </c>
      <c r="E17" s="730">
        <v>44926</v>
      </c>
      <c r="F17" s="338" t="s">
        <v>656</v>
      </c>
      <c r="G17" s="378">
        <v>0</v>
      </c>
      <c r="H17" s="378">
        <v>0</v>
      </c>
      <c r="I17" s="379"/>
      <c r="J17" s="379"/>
    </row>
    <row r="18" spans="2:11" s="222" customFormat="1" ht="16">
      <c r="B18" s="382" t="s">
        <v>492</v>
      </c>
      <c r="C18" s="338" t="s">
        <v>449</v>
      </c>
      <c r="D18" s="338" t="s">
        <v>448</v>
      </c>
      <c r="E18" s="730">
        <v>44926</v>
      </c>
      <c r="F18" s="338" t="s">
        <v>656</v>
      </c>
      <c r="G18" s="378">
        <v>0</v>
      </c>
      <c r="H18" s="378">
        <v>0</v>
      </c>
      <c r="I18" s="379"/>
      <c r="J18" s="379"/>
    </row>
    <row r="19" spans="2:11" s="222" customFormat="1" ht="16">
      <c r="B19" s="382" t="s">
        <v>1011</v>
      </c>
      <c r="C19" s="338" t="s">
        <v>1009</v>
      </c>
      <c r="D19" s="338" t="s">
        <v>448</v>
      </c>
      <c r="E19" s="730">
        <v>44926</v>
      </c>
      <c r="F19" s="338" t="s">
        <v>656</v>
      </c>
      <c r="G19" s="380">
        <v>1205750</v>
      </c>
      <c r="H19" s="378">
        <v>1688050</v>
      </c>
      <c r="I19" s="379"/>
      <c r="J19" s="379"/>
    </row>
    <row r="20" spans="2:11" s="222" customFormat="1" ht="16">
      <c r="B20" s="382" t="s">
        <v>523</v>
      </c>
      <c r="C20" s="338" t="s">
        <v>447</v>
      </c>
      <c r="D20" s="338" t="s">
        <v>448</v>
      </c>
      <c r="E20" s="730">
        <v>44926</v>
      </c>
      <c r="F20" s="377">
        <v>45291</v>
      </c>
      <c r="G20" s="380">
        <v>142396484</v>
      </c>
      <c r="H20" s="378">
        <v>130008747</v>
      </c>
      <c r="I20" s="379"/>
      <c r="J20" s="379"/>
    </row>
    <row r="21" spans="2:11" s="222" customFormat="1" ht="16">
      <c r="B21" s="382" t="s">
        <v>1012</v>
      </c>
      <c r="C21" s="338" t="s">
        <v>447</v>
      </c>
      <c r="D21" s="338" t="s">
        <v>448</v>
      </c>
      <c r="E21" s="730">
        <v>44926</v>
      </c>
      <c r="F21" s="377">
        <v>45291</v>
      </c>
      <c r="G21" s="380">
        <v>0</v>
      </c>
      <c r="H21" s="378">
        <v>467500000</v>
      </c>
      <c r="I21" s="379"/>
      <c r="J21" s="379"/>
    </row>
    <row r="22" spans="2:11" s="766" customFormat="1" ht="16">
      <c r="B22" s="760" t="s">
        <v>453</v>
      </c>
      <c r="C22" s="761" t="s">
        <v>447</v>
      </c>
      <c r="D22" s="761" t="s">
        <v>883</v>
      </c>
      <c r="E22" s="762">
        <v>45012</v>
      </c>
      <c r="F22" s="763">
        <v>45027</v>
      </c>
      <c r="G22" s="764">
        <v>13980915</v>
      </c>
      <c r="H22" s="764"/>
      <c r="I22" s="765"/>
      <c r="J22" s="765"/>
    </row>
    <row r="23" spans="2:11" ht="16">
      <c r="B23" s="383" t="str">
        <f>'NOTAS M-Q ACREED y CTAS A PAG'!B11</f>
        <v>Total al 31/03/2023</v>
      </c>
      <c r="C23" s="316"/>
      <c r="D23" s="384"/>
      <c r="E23" s="384"/>
      <c r="F23" s="384"/>
      <c r="G23" s="385">
        <f>SUM(G7:G22)</f>
        <v>3104713675.1092</v>
      </c>
      <c r="H23" s="386">
        <v>0</v>
      </c>
      <c r="I23" s="387"/>
      <c r="K23" s="387"/>
    </row>
    <row r="24" spans="2:11" ht="16">
      <c r="B24" s="383" t="str">
        <f>'NOTAS M-Q ACREED y CTAS A PAG'!B46</f>
        <v>Total al 31/12/2022</v>
      </c>
      <c r="C24" s="316"/>
      <c r="D24" s="316"/>
      <c r="E24" s="316"/>
      <c r="F24" s="316"/>
      <c r="G24" s="385">
        <v>0</v>
      </c>
      <c r="H24" s="385">
        <f>SUM(H7:H23)</f>
        <v>3260934025</v>
      </c>
      <c r="K24" s="387"/>
    </row>
  </sheetData>
  <autoFilter ref="B6:H24" xr:uid="{204873A6-6C2C-4A9D-85A7-DDA16D655887}"/>
  <mergeCells count="2">
    <mergeCell ref="B3:H3"/>
    <mergeCell ref="G5:H5"/>
  </mergeCells>
  <hyperlinks>
    <hyperlink ref="B4" location="'Balance Gral. Resol. 30'!A1" display="'Balance Gral. Resol. 30'!A1" xr:uid="{3397FE5B-4739-4E73-A8E1-E67778D3EF97}"/>
  </hyperlinks>
  <pageMargins left="0.7" right="0.7" top="0.75" bottom="0.75" header="0.3" footer="0.3"/>
  <pageSetup paperSize="9" orientation="portrait" horizontalDpi="300" verticalDpi="300"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tabColor rgb="FF002060"/>
  </sheetPr>
  <dimension ref="B1:O37"/>
  <sheetViews>
    <sheetView showGridLines="0" topLeftCell="A3" zoomScale="130" zoomScaleNormal="130" workbookViewId="0">
      <selection activeCell="D26" sqref="D26"/>
    </sheetView>
  </sheetViews>
  <sheetFormatPr baseColWidth="10" defaultColWidth="11.5" defaultRowHeight="15"/>
  <cols>
    <col min="1" max="1" width="4.6640625" customWidth="1"/>
    <col min="2" max="2" width="50.83203125" bestFit="1" customWidth="1"/>
    <col min="3" max="3" width="14.33203125" style="136" bestFit="1" customWidth="1"/>
    <col min="4" max="4" width="15" customWidth="1"/>
    <col min="6" max="6" width="12" hidden="1" customWidth="1"/>
    <col min="7" max="8" width="0" hidden="1" customWidth="1"/>
    <col min="9" max="9" width="12.5" bestFit="1" customWidth="1"/>
  </cols>
  <sheetData>
    <row r="1" spans="2:8" ht="40.25" customHeight="1">
      <c r="B1" s="309"/>
    </row>
    <row r="2" spans="2:8" ht="40.25" customHeight="1">
      <c r="B2" s="309"/>
    </row>
    <row r="3" spans="2:8" ht="30.5" customHeight="1">
      <c r="B3" s="829" t="s">
        <v>954</v>
      </c>
      <c r="C3" s="829"/>
      <c r="D3" s="829"/>
    </row>
    <row r="4" spans="2:8">
      <c r="B4" s="356"/>
    </row>
    <row r="5" spans="2:8" ht="16">
      <c r="B5" s="357" t="s">
        <v>451</v>
      </c>
      <c r="C5" s="358" t="s">
        <v>1010</v>
      </c>
      <c r="D5" s="357" t="s">
        <v>452</v>
      </c>
      <c r="H5" s="136"/>
    </row>
    <row r="6" spans="2:8">
      <c r="B6" s="359" t="s">
        <v>557</v>
      </c>
      <c r="C6" s="360">
        <v>6805207.5300000003</v>
      </c>
      <c r="D6" s="361">
        <v>1890028</v>
      </c>
      <c r="F6" s="136"/>
      <c r="G6" s="136"/>
      <c r="H6" s="136"/>
    </row>
    <row r="7" spans="2:8">
      <c r="B7" s="359" t="s">
        <v>559</v>
      </c>
      <c r="C7" s="361">
        <v>8203521.21</v>
      </c>
      <c r="D7" s="344">
        <v>66000000</v>
      </c>
      <c r="F7" s="136"/>
      <c r="G7" s="136"/>
      <c r="H7" s="136"/>
    </row>
    <row r="8" spans="2:8">
      <c r="B8" s="359" t="s">
        <v>558</v>
      </c>
      <c r="C8" s="361">
        <v>6332769.5099999998</v>
      </c>
      <c r="D8" s="319">
        <v>132125400</v>
      </c>
      <c r="F8" s="136"/>
      <c r="G8" s="136"/>
      <c r="H8" s="362"/>
    </row>
    <row r="9" spans="2:8">
      <c r="B9" s="359" t="s">
        <v>491</v>
      </c>
      <c r="C9" s="361">
        <v>8762939.9000000004</v>
      </c>
      <c r="D9" s="319">
        <v>0</v>
      </c>
      <c r="F9" s="136"/>
      <c r="G9" s="136"/>
      <c r="H9" s="362"/>
    </row>
    <row r="10" spans="2:8">
      <c r="B10" s="359" t="s">
        <v>492</v>
      </c>
      <c r="C10" s="361">
        <v>6332769.5099999998</v>
      </c>
      <c r="D10" s="319">
        <v>0</v>
      </c>
      <c r="F10" s="136"/>
      <c r="G10" s="136"/>
      <c r="H10" s="362"/>
    </row>
    <row r="11" spans="2:8">
      <c r="B11" s="359" t="s">
        <v>885</v>
      </c>
      <c r="C11" s="361">
        <v>33055152.960000001</v>
      </c>
      <c r="D11" s="319">
        <v>33030670</v>
      </c>
      <c r="F11" s="136"/>
      <c r="G11" s="136"/>
      <c r="H11" s="362"/>
    </row>
    <row r="12" spans="2:8">
      <c r="B12" s="359" t="s">
        <v>884</v>
      </c>
      <c r="C12" s="319">
        <v>0</v>
      </c>
      <c r="D12" s="361">
        <v>0</v>
      </c>
      <c r="E12" s="363"/>
      <c r="F12" s="136"/>
      <c r="G12" s="136"/>
      <c r="H12" s="362"/>
    </row>
    <row r="13" spans="2:8">
      <c r="B13" s="359" t="s">
        <v>454</v>
      </c>
      <c r="C13" s="319">
        <v>154381925.76000002</v>
      </c>
      <c r="D13" s="361">
        <v>0</v>
      </c>
      <c r="E13" s="363"/>
      <c r="F13" s="136"/>
      <c r="G13" s="136"/>
    </row>
    <row r="14" spans="2:8">
      <c r="B14" s="359" t="s">
        <v>455</v>
      </c>
      <c r="C14" s="319">
        <v>1168211404.2</v>
      </c>
      <c r="D14" s="361">
        <v>0</v>
      </c>
      <c r="F14" s="136"/>
      <c r="G14" s="136"/>
    </row>
    <row r="15" spans="2:8">
      <c r="B15" s="359" t="s">
        <v>497</v>
      </c>
      <c r="C15" s="319">
        <v>6805207.5300000003</v>
      </c>
      <c r="D15" s="361">
        <v>33000000</v>
      </c>
      <c r="F15" s="136"/>
      <c r="G15" s="136"/>
    </row>
    <row r="16" spans="2:8">
      <c r="B16" s="359" t="s">
        <v>560</v>
      </c>
      <c r="C16" s="319">
        <v>6805207.5300000003</v>
      </c>
      <c r="D16" s="361">
        <v>0</v>
      </c>
      <c r="F16" s="136"/>
      <c r="G16" s="136"/>
    </row>
    <row r="17" spans="2:15">
      <c r="B17" s="359" t="s">
        <v>561</v>
      </c>
      <c r="C17" s="319">
        <v>0</v>
      </c>
      <c r="D17" s="361">
        <v>135000000</v>
      </c>
      <c r="F17" s="136"/>
      <c r="G17" s="136"/>
    </row>
    <row r="18" spans="2:15">
      <c r="B18" s="359" t="s">
        <v>562</v>
      </c>
      <c r="C18" s="319">
        <v>0</v>
      </c>
      <c r="D18" s="361">
        <v>0</v>
      </c>
      <c r="F18" s="136"/>
      <c r="G18" s="136"/>
    </row>
    <row r="19" spans="2:15">
      <c r="B19" s="359" t="s">
        <v>657</v>
      </c>
      <c r="C19" s="319">
        <v>0</v>
      </c>
      <c r="D19" s="361">
        <v>0</v>
      </c>
      <c r="F19" s="136"/>
      <c r="G19" s="136"/>
    </row>
    <row r="20" spans="2:15">
      <c r="B20" s="359" t="s">
        <v>658</v>
      </c>
      <c r="C20" s="319">
        <v>6805207.5300000003</v>
      </c>
      <c r="D20" s="361">
        <v>0</v>
      </c>
      <c r="F20" s="136"/>
      <c r="G20" s="136"/>
    </row>
    <row r="21" spans="2:15">
      <c r="B21" s="359" t="s">
        <v>886</v>
      </c>
      <c r="C21" s="319">
        <v>6805207.5300000003</v>
      </c>
      <c r="D21" s="361">
        <v>23500000</v>
      </c>
      <c r="F21" s="136"/>
      <c r="G21" s="136"/>
    </row>
    <row r="22" spans="2:15">
      <c r="B22" s="359" t="s">
        <v>887</v>
      </c>
      <c r="C22" s="319">
        <v>40398785</v>
      </c>
      <c r="D22" s="361">
        <v>0</v>
      </c>
      <c r="F22" s="136"/>
      <c r="G22" s="136"/>
    </row>
    <row r="23" spans="2:15">
      <c r="B23" s="359" t="s">
        <v>888</v>
      </c>
      <c r="C23" s="319">
        <v>0</v>
      </c>
      <c r="D23" s="361">
        <v>25075000</v>
      </c>
      <c r="F23" s="136"/>
      <c r="G23" s="136"/>
    </row>
    <row r="24" spans="2:15">
      <c r="B24" s="359" t="s">
        <v>889</v>
      </c>
      <c r="C24" s="319">
        <v>18436575000</v>
      </c>
      <c r="D24" s="361">
        <v>0</v>
      </c>
      <c r="F24" s="136"/>
      <c r="G24" s="136"/>
    </row>
    <row r="25" spans="2:15">
      <c r="B25" s="359"/>
      <c r="C25" s="319"/>
      <c r="D25" s="361"/>
      <c r="F25" s="136"/>
      <c r="G25" s="136"/>
    </row>
    <row r="26" spans="2:15">
      <c r="B26" s="333" t="str">
        <f>+'NOTA R SALDOS Y TRANSACC'!B23</f>
        <v>Total al 31/03/2023</v>
      </c>
      <c r="C26" s="364">
        <f>SUM(C6:C25)</f>
        <v>19896280305.700001</v>
      </c>
      <c r="D26" s="364">
        <f>SUM(D6:D25)</f>
        <v>449621098</v>
      </c>
    </row>
    <row r="27" spans="2:15">
      <c r="B27" s="333" t="s">
        <v>1049</v>
      </c>
      <c r="C27" s="365">
        <v>149391309.68909091</v>
      </c>
      <c r="D27" s="364">
        <v>628251712.72727275</v>
      </c>
    </row>
    <row r="30" spans="2:15">
      <c r="K30" s="366"/>
      <c r="M30" s="367"/>
      <c r="O30" s="367"/>
    </row>
    <row r="31" spans="2:15">
      <c r="K31" s="366"/>
      <c r="M31" s="367"/>
      <c r="O31" s="367"/>
    </row>
    <row r="32" spans="2:15">
      <c r="K32" s="366"/>
      <c r="M32" s="367"/>
      <c r="O32" s="368"/>
    </row>
    <row r="37" spans="7:7">
      <c r="G37" s="367"/>
    </row>
  </sheetData>
  <mergeCells count="1">
    <mergeCell ref="B3:D3"/>
  </mergeCells>
  <pageMargins left="0.7" right="0.7" top="0.75" bottom="0.75" header="0.3" footer="0.3"/>
  <pageSetup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tabColor rgb="FF002060"/>
  </sheetPr>
  <dimension ref="B1:H17"/>
  <sheetViews>
    <sheetView showGridLines="0" topLeftCell="A3" zoomScale="130" zoomScaleNormal="130" workbookViewId="0">
      <selection activeCell="D26" sqref="D26"/>
    </sheetView>
  </sheetViews>
  <sheetFormatPr baseColWidth="10" defaultColWidth="11.5" defaultRowHeight="15"/>
  <cols>
    <col min="1" max="1" width="4.6640625" style="322" customWidth="1"/>
    <col min="2" max="2" width="32.5" style="322" customWidth="1"/>
    <col min="3" max="3" width="22.1640625" style="322" bestFit="1" customWidth="1"/>
    <col min="4" max="4" width="14.5" style="322" bestFit="1" customWidth="1"/>
    <col min="5" max="5" width="14.1640625" style="322" bestFit="1" customWidth="1"/>
    <col min="6" max="6" width="14.1640625" style="322" customWidth="1"/>
    <col min="7" max="7" width="14.83203125" style="322" customWidth="1"/>
    <col min="8" max="8" width="22.6640625" style="322" customWidth="1"/>
    <col min="9" max="9" width="12.1640625" style="322" bestFit="1" customWidth="1"/>
    <col min="10" max="16384" width="11.5" style="322"/>
  </cols>
  <sheetData>
    <row r="1" spans="2:8" ht="38" customHeight="1">
      <c r="C1" s="309"/>
    </row>
    <row r="2" spans="2:8">
      <c r="C2" s="309"/>
    </row>
    <row r="3" spans="2:8">
      <c r="B3" s="862" t="s">
        <v>456</v>
      </c>
      <c r="C3" s="862"/>
      <c r="D3" s="862"/>
      <c r="E3" s="862"/>
      <c r="F3" s="862"/>
    </row>
    <row r="4" spans="2:8">
      <c r="B4" s="323"/>
      <c r="C4" s="323"/>
      <c r="D4" s="323"/>
      <c r="E4" s="323"/>
      <c r="F4" s="323"/>
    </row>
    <row r="5" spans="2:8">
      <c r="B5" s="324" t="s">
        <v>638</v>
      </c>
    </row>
    <row r="6" spans="2:8" ht="32">
      <c r="B6" s="325" t="s">
        <v>337</v>
      </c>
      <c r="C6" s="325" t="s">
        <v>457</v>
      </c>
      <c r="D6" s="325" t="s">
        <v>417</v>
      </c>
      <c r="E6" s="325" t="s">
        <v>458</v>
      </c>
      <c r="F6" s="326">
        <f>+Indice!G6</f>
        <v>45016</v>
      </c>
    </row>
    <row r="7" spans="2:8">
      <c r="B7" s="327" t="s">
        <v>459</v>
      </c>
      <c r="C7" s="328">
        <f>+'Balance Gral. Resol. 30'!H64</f>
        <v>42764000001</v>
      </c>
      <c r="D7" s="343">
        <f>+F7-C7</f>
        <v>-1</v>
      </c>
      <c r="E7" s="329">
        <v>0</v>
      </c>
      <c r="F7" s="328">
        <f>+'Balance Gral. Resol. 30'!G64</f>
        <v>42764000000</v>
      </c>
      <c r="G7" s="330"/>
      <c r="H7" s="331"/>
    </row>
    <row r="8" spans="2:8">
      <c r="B8" s="327" t="s">
        <v>460</v>
      </c>
      <c r="C8" s="329">
        <f>+'Balance Gral. Resol. 30'!H73</f>
        <v>8933184</v>
      </c>
      <c r="D8" s="329">
        <f>+F8-C8</f>
        <v>0</v>
      </c>
      <c r="E8" s="329">
        <v>0</v>
      </c>
      <c r="F8" s="328">
        <f>+'Balance Gral. Resol. 30'!G74</f>
        <v>8933184</v>
      </c>
      <c r="G8" s="330"/>
      <c r="H8" s="331"/>
    </row>
    <row r="9" spans="2:8">
      <c r="B9" s="327" t="s">
        <v>111</v>
      </c>
      <c r="C9" s="328">
        <f>+'Balance Gral. Resol. 30'!H70</f>
        <v>1865654982</v>
      </c>
      <c r="D9" s="332">
        <v>0</v>
      </c>
      <c r="E9" s="329">
        <v>0</v>
      </c>
      <c r="F9" s="328">
        <f>+'Balance Gral. Resol. 30'!G70</f>
        <v>1866654982</v>
      </c>
      <c r="G9" s="330"/>
      <c r="H9" s="331"/>
    </row>
    <row r="10" spans="2:8">
      <c r="B10" s="327" t="s">
        <v>122</v>
      </c>
      <c r="C10" s="329">
        <f>+'Balance Gral. Resol. 30'!H76</f>
        <v>241757977</v>
      </c>
      <c r="D10" s="329">
        <f>F10-C10</f>
        <v>2342935867</v>
      </c>
      <c r="E10" s="329">
        <v>0</v>
      </c>
      <c r="F10" s="329">
        <f>+'Balance Gral. Resol. 30'!$G$76</f>
        <v>2584693844</v>
      </c>
      <c r="G10" s="330"/>
      <c r="H10" s="331"/>
    </row>
    <row r="11" spans="2:8">
      <c r="B11" s="327" t="s">
        <v>124</v>
      </c>
      <c r="C11" s="328">
        <f>+'Balance Gral. Resol. 30'!H77</f>
        <v>3193551142</v>
      </c>
      <c r="D11" s="329">
        <f>+'Balance Gral. Resol. 30'!$G$77</f>
        <v>5058805334.5900002</v>
      </c>
      <c r="E11" s="329">
        <f>+C11</f>
        <v>3193551142</v>
      </c>
      <c r="F11" s="328">
        <f>+'Balance Gral. Resol. 30'!$G$77</f>
        <v>5058805334.5900002</v>
      </c>
      <c r="G11" s="330"/>
      <c r="H11" s="331"/>
    </row>
    <row r="12" spans="2:8">
      <c r="B12" s="333" t="str">
        <f>+'NOTA R SALDOS Y TRANSACC'!B23</f>
        <v>Total al 31/03/2023</v>
      </c>
      <c r="C12" s="334">
        <f>SUM(C7:C11)</f>
        <v>48073897286</v>
      </c>
      <c r="D12" s="334">
        <f>SUM(D7:D11)</f>
        <v>7401741200.5900002</v>
      </c>
      <c r="E12" s="334">
        <f>SUM(E7:E11)</f>
        <v>3193551142</v>
      </c>
      <c r="F12" s="334">
        <f>SUM(F7:F11)</f>
        <v>52283087344.589996</v>
      </c>
      <c r="G12" s="330"/>
      <c r="H12" s="331"/>
    </row>
    <row r="13" spans="2:8">
      <c r="B13" s="333" t="str">
        <f>+'NOTA R SALDOS Y TRANSACC'!B24</f>
        <v>Total al 31/12/2022</v>
      </c>
      <c r="C13" s="334">
        <v>52110264505</v>
      </c>
      <c r="D13" s="334">
        <v>18793551142</v>
      </c>
      <c r="E13" s="335">
        <v>23100000000</v>
      </c>
      <c r="F13" s="334">
        <v>48073897286</v>
      </c>
    </row>
    <row r="14" spans="2:8">
      <c r="D14" s="331"/>
      <c r="E14" s="331"/>
      <c r="F14" s="330"/>
    </row>
    <row r="15" spans="2:8">
      <c r="D15" s="331"/>
      <c r="E15" s="336"/>
      <c r="F15" s="337">
        <f>+F12-'Balance Gral. Resol. 30'!G79</f>
        <v>0</v>
      </c>
      <c r="G15" s="330">
        <f>+F13-'Balance Gral. Resol. 30'!H79</f>
        <v>0</v>
      </c>
    </row>
    <row r="16" spans="2:8">
      <c r="B16" s="862" t="s">
        <v>953</v>
      </c>
      <c r="C16" s="862"/>
      <c r="D16" s="862"/>
      <c r="E16" s="862"/>
      <c r="F16" s="862"/>
    </row>
    <row r="17" spans="2:2">
      <c r="B17" s="322" t="s">
        <v>461</v>
      </c>
    </row>
  </sheetData>
  <mergeCells count="2">
    <mergeCell ref="B3:F3"/>
    <mergeCell ref="B16:F16"/>
  </mergeCells>
  <hyperlinks>
    <hyperlink ref="B5" location="'Balance Gral. Resol. 30'!A1" display="'Balance Gral. Resol. 30'!A1"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tabColor rgb="FF002060"/>
  </sheetPr>
  <dimension ref="B1:E26"/>
  <sheetViews>
    <sheetView showGridLines="0" topLeftCell="A5" zoomScale="130" zoomScaleNormal="130" workbookViewId="0">
      <selection activeCell="D26" sqref="D26"/>
    </sheetView>
  </sheetViews>
  <sheetFormatPr baseColWidth="10" defaultColWidth="20.33203125" defaultRowHeight="15"/>
  <cols>
    <col min="1" max="1" width="4.6640625" customWidth="1"/>
    <col min="2" max="2" width="38.6640625" customWidth="1"/>
    <col min="6" max="8" width="0" hidden="1" customWidth="1"/>
  </cols>
  <sheetData>
    <row r="1" spans="2:4" ht="28.25" customHeight="1">
      <c r="B1" s="309"/>
    </row>
    <row r="4" spans="2:4">
      <c r="B4" s="829" t="s">
        <v>952</v>
      </c>
      <c r="C4" s="829"/>
      <c r="D4" s="829"/>
    </row>
    <row r="6" spans="2:4">
      <c r="B6" s="310" t="s">
        <v>659</v>
      </c>
    </row>
    <row r="7" spans="2:4">
      <c r="B7" s="879" t="s">
        <v>462</v>
      </c>
      <c r="C7" s="879"/>
      <c r="D7" s="880"/>
    </row>
    <row r="8" spans="2:4">
      <c r="B8" s="311" t="s">
        <v>337</v>
      </c>
      <c r="C8" s="312">
        <f>+Indice!G7</f>
        <v>45016</v>
      </c>
      <c r="D8" s="312">
        <f>+Indice!H7</f>
        <v>44651</v>
      </c>
    </row>
    <row r="9" spans="2:4">
      <c r="B9" s="313" t="s">
        <v>463</v>
      </c>
      <c r="C9" s="314"/>
      <c r="D9" s="314"/>
    </row>
    <row r="10" spans="2:4">
      <c r="B10" s="313" t="s">
        <v>464</v>
      </c>
      <c r="C10" s="315">
        <f>+'Estado de Resultado Resol. 30'!D14</f>
        <v>446307580</v>
      </c>
      <c r="D10" s="315">
        <f>+'Estado de Resultado Resol. 30'!E14</f>
        <v>227719857</v>
      </c>
    </row>
    <row r="11" spans="2:4">
      <c r="B11" s="313" t="s">
        <v>465</v>
      </c>
      <c r="C11" s="315">
        <f>+'Estado de Resultado Resol. 30'!D26</f>
        <v>39574400</v>
      </c>
      <c r="D11" s="315">
        <f>+'Estado de Resultado Resol. 30'!E26</f>
        <v>199471028</v>
      </c>
    </row>
    <row r="12" spans="2:4">
      <c r="B12" s="313" t="s">
        <v>466</v>
      </c>
      <c r="C12" s="315">
        <f>+'Estado de Resultado Resol. 30'!D27</f>
        <v>2983900800</v>
      </c>
      <c r="D12" s="314">
        <f>+'Estado de Resultado Resol. 30'!E27</f>
        <v>3740000000</v>
      </c>
    </row>
    <row r="13" spans="2:4">
      <c r="B13" s="313" t="s">
        <v>919</v>
      </c>
      <c r="C13" s="315">
        <f>+'Estado de Resultado Resol. 30'!D28</f>
        <v>248874643</v>
      </c>
      <c r="D13" s="314">
        <f>+'Estado de Resultado Resol. 30'!E28</f>
        <v>5653179542</v>
      </c>
    </row>
    <row r="14" spans="2:4" ht="32">
      <c r="B14" s="316" t="s">
        <v>563</v>
      </c>
      <c r="C14" s="315">
        <f>+'Estado de Resultado Resol. 30'!D29</f>
        <v>0</v>
      </c>
      <c r="D14" s="314">
        <f>+'Estado de Resultado Resol. 30'!E29</f>
        <v>0</v>
      </c>
    </row>
    <row r="15" spans="2:4" ht="32">
      <c r="B15" s="316" t="str">
        <f>+'Estado de Resultado Resol. 30'!B30</f>
        <v>Ingresos por Operciones y Servicios a personas relacionadas</v>
      </c>
      <c r="C15" s="315">
        <f>+'Estado de Resultado Resol. 30'!D30</f>
        <v>0</v>
      </c>
      <c r="D15" s="314">
        <f>+'Estado de Resultado Resol. 30'!E30</f>
        <v>126655922</v>
      </c>
    </row>
    <row r="16" spans="2:4">
      <c r="B16" s="317" t="s">
        <v>467</v>
      </c>
      <c r="C16" s="318">
        <f>SUM(C10:C15)</f>
        <v>3718657423</v>
      </c>
      <c r="D16" s="318">
        <f>SUM(D9:D15)</f>
        <v>9947026349</v>
      </c>
    </row>
    <row r="18" spans="2:5">
      <c r="B18" s="879" t="s">
        <v>191</v>
      </c>
      <c r="C18" s="879"/>
      <c r="D18" s="879"/>
    </row>
    <row r="19" spans="2:5">
      <c r="B19" s="311" t="s">
        <v>337</v>
      </c>
      <c r="C19" s="312">
        <f>+C8</f>
        <v>45016</v>
      </c>
      <c r="D19" s="312">
        <f>+D8</f>
        <v>44651</v>
      </c>
    </row>
    <row r="20" spans="2:5">
      <c r="B20" s="313" t="s">
        <v>468</v>
      </c>
      <c r="C20" s="319">
        <f>+'Estado de Resultado Resol. 30'!D35</f>
        <v>0</v>
      </c>
      <c r="D20" s="320">
        <f>+'Estado de Resultado Resol. 30'!E35</f>
        <v>0</v>
      </c>
    </row>
    <row r="21" spans="2:5">
      <c r="B21" s="313" t="s">
        <v>469</v>
      </c>
      <c r="C21" s="319">
        <f>+'Estado de Resultado Resol. 30'!D36</f>
        <v>0</v>
      </c>
      <c r="D21" s="319">
        <f>+'Estado de Resultado Resol. 30'!E36</f>
        <v>0</v>
      </c>
    </row>
    <row r="22" spans="2:5">
      <c r="B22" s="313" t="s">
        <v>470</v>
      </c>
      <c r="C22" s="319">
        <f>+'Estado de Resultado Resol. 30'!D37</f>
        <v>707990619</v>
      </c>
      <c r="D22" s="319">
        <f>+'Estado de Resultado Resol. 30'!E37</f>
        <v>130918279</v>
      </c>
    </row>
    <row r="23" spans="2:5">
      <c r="B23" s="317" t="s">
        <v>467</v>
      </c>
      <c r="C23" s="321">
        <f>SUM(C20:C22)</f>
        <v>707990619</v>
      </c>
      <c r="D23" s="321">
        <f>SUM(D20:D22)</f>
        <v>130918279</v>
      </c>
    </row>
    <row r="25" spans="2:5">
      <c r="C25" s="136">
        <f>+C23-'Estado de Resultado Resol. 30'!D34</f>
        <v>0</v>
      </c>
      <c r="D25" s="136">
        <v>0</v>
      </c>
      <c r="E25" s="136"/>
    </row>
    <row r="26" spans="2:5">
      <c r="C26" s="136"/>
      <c r="D26" s="136"/>
      <c r="E26" s="136"/>
    </row>
  </sheetData>
  <mergeCells count="3">
    <mergeCell ref="B4:D4"/>
    <mergeCell ref="B7:D7"/>
    <mergeCell ref="B18:D18"/>
  </mergeCells>
  <hyperlinks>
    <hyperlink ref="B6" location="'Estado de Resultado Resol. 30'!A1" display="'Estado de Resultado Resol. 30'!A1" xr:uid="{00000000-0004-0000-1600-000000000000}"/>
  </hyperlinks>
  <pageMargins left="0.7" right="0.7" top="0.75" bottom="0.75"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tabColor rgb="FF002060"/>
  </sheetPr>
  <dimension ref="B1:J52"/>
  <sheetViews>
    <sheetView showGridLines="0" topLeftCell="A38" zoomScale="130" zoomScaleNormal="130" workbookViewId="0">
      <selection activeCell="D26" sqref="D26"/>
    </sheetView>
  </sheetViews>
  <sheetFormatPr baseColWidth="10" defaultColWidth="14.5" defaultRowHeight="15"/>
  <cols>
    <col min="2" max="2" width="36.5" customWidth="1"/>
    <col min="3" max="4" width="20.83203125" customWidth="1"/>
  </cols>
  <sheetData>
    <row r="1" spans="2:7">
      <c r="B1" s="881"/>
      <c r="C1" s="873"/>
      <c r="D1" s="873"/>
    </row>
    <row r="2" spans="2:7">
      <c r="B2" s="389"/>
      <c r="C2" s="389"/>
      <c r="D2" s="389"/>
    </row>
    <row r="3" spans="2:7">
      <c r="B3" s="389"/>
      <c r="C3" s="389"/>
      <c r="D3" s="389"/>
    </row>
    <row r="4" spans="2:7">
      <c r="B4" s="389"/>
      <c r="C4" s="389"/>
      <c r="D4" s="389"/>
    </row>
    <row r="5" spans="2:7">
      <c r="B5" s="862" t="s">
        <v>472</v>
      </c>
      <c r="C5" s="862"/>
      <c r="D5" s="862"/>
    </row>
    <row r="6" spans="2:7">
      <c r="B6" s="389"/>
      <c r="C6" s="389"/>
      <c r="D6" s="389"/>
    </row>
    <row r="7" spans="2:7">
      <c r="B7" s="390" t="s">
        <v>659</v>
      </c>
      <c r="C7" s="391"/>
      <c r="D7" s="342"/>
    </row>
    <row r="8" spans="2:7">
      <c r="B8" s="311" t="s">
        <v>337</v>
      </c>
      <c r="C8" s="312">
        <f>+'NOTA V INGRESOS OPERATIVOS'!C8</f>
        <v>45016</v>
      </c>
      <c r="D8" s="312">
        <f>+'NOTA V INGRESOS OPERATIVOS'!D8</f>
        <v>44651</v>
      </c>
    </row>
    <row r="9" spans="2:7">
      <c r="B9" s="317" t="s">
        <v>473</v>
      </c>
      <c r="C9" s="392">
        <f>+'Estado de Resultado Resol. 30'!D39</f>
        <v>844840039</v>
      </c>
      <c r="D9" s="392">
        <f>+'Estado de Resultado Resol. 30'!E39</f>
        <v>2475603522</v>
      </c>
      <c r="E9" s="362"/>
      <c r="F9" s="362">
        <f>+C9-'Estado de Resultado Resol. 30'!D39</f>
        <v>0</v>
      </c>
      <c r="G9" s="362">
        <f>+D9-'Estado de Resultado Resol. 30'!E39</f>
        <v>0</v>
      </c>
    </row>
    <row r="10" spans="2:7">
      <c r="B10" s="313" t="s">
        <v>193</v>
      </c>
      <c r="C10" s="393">
        <f>+'Estado de Resultado Resol. 30'!D40</f>
        <v>0</v>
      </c>
      <c r="D10" s="394">
        <f>+'Estado de Resultado Resol. 30'!E40</f>
        <v>0</v>
      </c>
    </row>
    <row r="11" spans="2:7">
      <c r="B11" s="313" t="s">
        <v>194</v>
      </c>
      <c r="C11" s="393">
        <f>+'Estado de Resultado Resol. 30'!D41</f>
        <v>0</v>
      </c>
      <c r="D11" s="394">
        <f>+'Estado de Resultado Resol. 30'!E41</f>
        <v>156706212</v>
      </c>
    </row>
    <row r="12" spans="2:7">
      <c r="B12" s="313" t="s">
        <v>474</v>
      </c>
      <c r="C12" s="136">
        <f>+'Estado de Resultado Resol. 30'!D42</f>
        <v>844840039</v>
      </c>
      <c r="D12" s="394">
        <f>+'Estado de Resultado Resol. 30'!E42</f>
        <v>2318897310</v>
      </c>
    </row>
    <row r="13" spans="2:7">
      <c r="B13" s="395" t="s">
        <v>473</v>
      </c>
      <c r="C13" s="393">
        <f>+'Estado de Resultado Resol. 30'!D43</f>
        <v>3581808003</v>
      </c>
      <c r="D13" s="396">
        <f>+'Estado de Resultado Resol. 30'!E43</f>
        <v>7602341106</v>
      </c>
    </row>
    <row r="14" spans="2:7">
      <c r="B14" s="317"/>
      <c r="C14" s="397">
        <f>+'Estado de Resultado Resol. 30'!D44</f>
        <v>0</v>
      </c>
      <c r="D14" s="397">
        <f>+'Estado de Resultado Resol. 30'!E44</f>
        <v>0</v>
      </c>
      <c r="F14" s="362">
        <f>+C15-'Estado de Resultado Resol. 30'!D45</f>
        <v>0</v>
      </c>
      <c r="G14" s="362">
        <f>+D15-'Estado de Resultado Resol. 30'!E45</f>
        <v>0</v>
      </c>
    </row>
    <row r="15" spans="2:7">
      <c r="B15" s="317" t="s">
        <v>196</v>
      </c>
      <c r="C15" s="392">
        <f>+'Estado de Resultado Resol. 30'!D45</f>
        <v>38853575</v>
      </c>
      <c r="D15" s="392">
        <f>+'Estado de Resultado Resol. 30'!E45</f>
        <v>64743937</v>
      </c>
    </row>
    <row r="16" spans="2:7">
      <c r="B16" s="313" t="s">
        <v>197</v>
      </c>
      <c r="C16" s="394">
        <f>+'Estado de Resultado Resol. 30'!D46</f>
        <v>0</v>
      </c>
      <c r="D16" s="394">
        <f>+'Estado de Resultado Resol. 30'!E46</f>
        <v>0</v>
      </c>
    </row>
    <row r="17" spans="2:7">
      <c r="B17" s="313" t="s">
        <v>198</v>
      </c>
      <c r="C17" s="394">
        <f>+'Estado de Resultado Resol. 30'!D47</f>
        <v>0</v>
      </c>
      <c r="D17" s="394">
        <f>+'Estado de Resultado Resol. 30'!E47</f>
        <v>0</v>
      </c>
    </row>
    <row r="18" spans="2:7">
      <c r="B18" s="313" t="s">
        <v>199</v>
      </c>
      <c r="C18" s="394">
        <f>+'Estado de Resultado Resol. 30'!D48</f>
        <v>38853575</v>
      </c>
      <c r="D18" s="394">
        <f>+'Estado de Resultado Resol. 30'!E48</f>
        <v>64743937</v>
      </c>
    </row>
    <row r="19" spans="2:7">
      <c r="B19" s="317"/>
      <c r="C19" s="397">
        <f>+'Estado de Resultado Resol. 30'!D49</f>
        <v>0</v>
      </c>
      <c r="D19" s="397">
        <f>+'Estado de Resultado Resol. 30'!E49</f>
        <v>0</v>
      </c>
    </row>
    <row r="20" spans="2:7">
      <c r="B20" s="317" t="s">
        <v>200</v>
      </c>
      <c r="C20" s="392">
        <f>+'Estado de Resultado Resol. 30'!D50</f>
        <v>1900645486</v>
      </c>
      <c r="D20" s="392">
        <f>+'Estado de Resultado Resol. 30'!E50</f>
        <v>2164356180</v>
      </c>
      <c r="F20" s="362">
        <f>+C20-'Estado de Resultado Resol. 30'!D50</f>
        <v>0</v>
      </c>
      <c r="G20" s="362">
        <f>+D20-'Estado de Resultado Resol. 30'!E50</f>
        <v>0</v>
      </c>
    </row>
    <row r="21" spans="2:7">
      <c r="B21" s="398" t="s">
        <v>729</v>
      </c>
      <c r="C21" s="397">
        <f>+'Estado de Resultado Resol. 30'!D51</f>
        <v>860550302</v>
      </c>
      <c r="D21" s="397">
        <f>+'Estado de Resultado Resol. 30'!E51</f>
        <v>738976803</v>
      </c>
    </row>
    <row r="22" spans="2:7">
      <c r="B22" s="313" t="s">
        <v>730</v>
      </c>
      <c r="C22" s="394">
        <f>+'Estado de Resultado Resol. 30'!D52</f>
        <v>703706503</v>
      </c>
      <c r="D22" s="394">
        <f>+'Estado de Resultado Resol. 30'!E52</f>
        <v>612150889</v>
      </c>
    </row>
    <row r="23" spans="2:7">
      <c r="B23" s="313" t="s">
        <v>201</v>
      </c>
      <c r="C23" s="394">
        <f>+'Estado de Resultado Resol. 30'!D53</f>
        <v>120753524</v>
      </c>
      <c r="D23" s="394">
        <f>+'Estado de Resultado Resol. 30'!E53</f>
        <v>101004898</v>
      </c>
    </row>
    <row r="24" spans="2:7">
      <c r="B24" s="313" t="s">
        <v>731</v>
      </c>
      <c r="C24" s="394">
        <f>+'Estado de Resultado Resol. 30'!D54</f>
        <v>28635816</v>
      </c>
      <c r="D24" s="394">
        <f>+'Estado de Resultado Resol. 30'!E54</f>
        <v>4657318</v>
      </c>
    </row>
    <row r="25" spans="2:7">
      <c r="B25" s="313" t="s">
        <v>925</v>
      </c>
      <c r="C25" s="394">
        <f>+'Estado de Resultado Resol. 30'!D55</f>
        <v>2476638</v>
      </c>
      <c r="D25" s="394">
        <f>+'Estado de Resultado Resol. 30'!E55</f>
        <v>0</v>
      </c>
    </row>
    <row r="26" spans="2:7">
      <c r="B26" s="313" t="s">
        <v>732</v>
      </c>
      <c r="C26" s="394">
        <f>+'Estado de Resultado Resol. 30'!D56</f>
        <v>2300000</v>
      </c>
      <c r="D26" s="394">
        <f>+'Estado de Resultado Resol. 30'!E56</f>
        <v>18874375</v>
      </c>
    </row>
    <row r="27" spans="2:7">
      <c r="B27" s="313" t="s">
        <v>733</v>
      </c>
      <c r="C27" s="394">
        <f>+'Estado de Resultado Resol. 30'!D57</f>
        <v>2677821</v>
      </c>
      <c r="D27" s="394">
        <f>+'Estado de Resultado Resol. 30'!E57</f>
        <v>2289323</v>
      </c>
    </row>
    <row r="28" spans="2:7">
      <c r="B28" s="317" t="s">
        <v>911</v>
      </c>
      <c r="C28" s="397">
        <f>+'Estado de Resultado Resol. 30'!D58</f>
        <v>310854707</v>
      </c>
      <c r="D28" s="397">
        <f>+'Estado de Resultado Resol. 30'!E58</f>
        <v>356875856</v>
      </c>
    </row>
    <row r="29" spans="2:7">
      <c r="B29" s="313" t="s">
        <v>912</v>
      </c>
      <c r="C29" s="394">
        <f>+'Estado de Resultado Resol. 30'!D59</f>
        <v>302841272</v>
      </c>
      <c r="D29" s="394">
        <f>+'Estado de Resultado Resol. 30'!E59</f>
        <v>306454546</v>
      </c>
    </row>
    <row r="30" spans="2:7">
      <c r="B30" s="313" t="s">
        <v>734</v>
      </c>
      <c r="C30" s="394">
        <f>+'Estado de Resultado Resol. 30'!D60</f>
        <v>8013435</v>
      </c>
      <c r="D30" s="394">
        <f>+'Estado de Resultado Resol. 30'!E60</f>
        <v>50421310</v>
      </c>
    </row>
    <row r="31" spans="2:7" s="399" customFormat="1">
      <c r="B31" s="317" t="s">
        <v>735</v>
      </c>
      <c r="C31" s="397">
        <f>+'Estado de Resultado Resol. 30'!D61</f>
        <v>729240477</v>
      </c>
      <c r="D31" s="397">
        <f>+'Estado de Resultado Resol. 30'!E61</f>
        <v>1068503521</v>
      </c>
      <c r="F31" s="400"/>
    </row>
    <row r="32" spans="2:7">
      <c r="B32" s="313" t="s">
        <v>736</v>
      </c>
      <c r="C32" s="394">
        <f>+'Estado de Resultado Resol. 30'!D62</f>
        <v>204414186</v>
      </c>
      <c r="D32" s="394">
        <f>+'Estado de Resultado Resol. 30'!E62</f>
        <v>104879378</v>
      </c>
    </row>
    <row r="33" spans="2:10">
      <c r="B33" s="313" t="s">
        <v>737</v>
      </c>
      <c r="C33" s="394">
        <f>+'Estado de Resultado Resol. 30'!D63</f>
        <v>166447647</v>
      </c>
      <c r="D33" s="394">
        <f>+'Estado de Resultado Resol. 30'!E63</f>
        <v>120828269</v>
      </c>
    </row>
    <row r="34" spans="2:10">
      <c r="B34" s="313" t="s">
        <v>738</v>
      </c>
      <c r="C34" s="394">
        <f>+'Estado de Resultado Resol. 30'!D64</f>
        <v>73434770</v>
      </c>
      <c r="D34" s="394">
        <f>+'Estado de Resultado Resol. 30'!E64</f>
        <v>144157578</v>
      </c>
    </row>
    <row r="35" spans="2:10">
      <c r="B35" s="313" t="s">
        <v>739</v>
      </c>
      <c r="C35" s="394">
        <f>+'Estado de Resultado Resol. 30'!D65</f>
        <v>44427379</v>
      </c>
      <c r="D35" s="394">
        <f>+'Estado de Resultado Resol. 30'!E65</f>
        <v>43209858</v>
      </c>
    </row>
    <row r="36" spans="2:10">
      <c r="B36" s="313" t="s">
        <v>740</v>
      </c>
      <c r="C36" s="394">
        <f>+'Estado de Resultado Resol. 30'!D66</f>
        <v>203090</v>
      </c>
      <c r="D36" s="394">
        <f>+'Estado de Resultado Resol. 30'!E66</f>
        <v>360907</v>
      </c>
    </row>
    <row r="37" spans="2:10">
      <c r="B37" s="313" t="s">
        <v>741</v>
      </c>
      <c r="C37" s="394">
        <f>+'Estado de Resultado Resol. 30'!D67</f>
        <v>13945682</v>
      </c>
      <c r="D37" s="394">
        <f>+'Estado de Resultado Resol. 30'!E67</f>
        <v>9288615</v>
      </c>
    </row>
    <row r="38" spans="2:10">
      <c r="B38" s="313" t="s">
        <v>742</v>
      </c>
      <c r="C38" s="394">
        <f>+'Estado de Resultado Resol. 30'!D68</f>
        <v>16923522</v>
      </c>
      <c r="D38" s="394">
        <f>+'Estado de Resultado Resol. 30'!E68</f>
        <v>46343200</v>
      </c>
    </row>
    <row r="39" spans="2:10">
      <c r="B39" s="313" t="s">
        <v>743</v>
      </c>
      <c r="C39" s="394">
        <f>+'Estado de Resultado Resol. 30'!D69</f>
        <v>5230554</v>
      </c>
      <c r="D39" s="394">
        <f>+'Estado de Resultado Resol. 30'!E69</f>
        <v>5728189</v>
      </c>
    </row>
    <row r="40" spans="2:10">
      <c r="B40" s="313" t="s">
        <v>913</v>
      </c>
      <c r="C40" s="394">
        <f>+'Estado de Resultado Resol. 30'!D70</f>
        <v>2862864</v>
      </c>
      <c r="D40" s="394">
        <f>+'Estado de Resultado Resol. 30'!E70</f>
        <v>5380464</v>
      </c>
    </row>
    <row r="41" spans="2:10">
      <c r="B41" s="313" t="s">
        <v>744</v>
      </c>
      <c r="C41" s="394">
        <f>+'Estado de Resultado Resol. 30'!D71</f>
        <v>18374948</v>
      </c>
      <c r="D41" s="394">
        <f>+'Estado de Resultado Resol. 30'!E71</f>
        <v>16546280</v>
      </c>
    </row>
    <row r="42" spans="2:10">
      <c r="B42" s="401" t="s">
        <v>745</v>
      </c>
      <c r="C42" s="394">
        <f>+'Estado de Resultado Resol. 30'!D72</f>
        <v>327273</v>
      </c>
      <c r="D42" s="394">
        <f>+'Estado de Resultado Resol. 30'!E72</f>
        <v>472727</v>
      </c>
    </row>
    <row r="43" spans="2:10">
      <c r="B43" s="313" t="s">
        <v>746</v>
      </c>
      <c r="C43" s="394">
        <f>+'Estado de Resultado Resol. 30'!D73</f>
        <v>2637273</v>
      </c>
      <c r="D43" s="394">
        <f>+'Estado de Resultado Resol. 30'!E73</f>
        <v>12995807</v>
      </c>
    </row>
    <row r="44" spans="2:10">
      <c r="B44" s="313" t="s">
        <v>914</v>
      </c>
      <c r="C44" s="394">
        <f>+'Estado de Resultado Resol. 30'!D74</f>
        <v>6028162</v>
      </c>
      <c r="D44" s="394">
        <f>+'Estado de Resultado Resol. 30'!E74</f>
        <v>7490597</v>
      </c>
      <c r="I44" s="362"/>
      <c r="J44" s="362"/>
    </row>
    <row r="45" spans="2:10">
      <c r="B45" s="401" t="s">
        <v>747</v>
      </c>
      <c r="C45" s="394">
        <f>+'Estado de Resultado Resol. 30'!D75</f>
        <v>24611078</v>
      </c>
      <c r="D45" s="394">
        <f>+'Estado de Resultado Resol. 30'!E75</f>
        <v>4062846</v>
      </c>
    </row>
    <row r="46" spans="2:10">
      <c r="B46" s="313" t="s">
        <v>748</v>
      </c>
      <c r="C46" s="394">
        <f>+'Estado de Resultado Resol. 30'!D76</f>
        <v>166160</v>
      </c>
      <c r="D46" s="394">
        <f>+'Estado de Resultado Resol. 30'!E76</f>
        <v>166160</v>
      </c>
    </row>
    <row r="47" spans="2:10">
      <c r="B47" s="401" t="s">
        <v>749</v>
      </c>
      <c r="C47" s="394">
        <f>+'Estado de Resultado Resol. 30'!D77</f>
        <v>1818182</v>
      </c>
      <c r="D47" s="394">
        <f>+'Estado de Resultado Resol. 30'!E77</f>
        <v>0</v>
      </c>
    </row>
    <row r="48" spans="2:10">
      <c r="B48" s="401" t="s">
        <v>750</v>
      </c>
      <c r="C48" s="394">
        <f>+'Estado de Resultado Resol. 30'!D78</f>
        <v>18356436</v>
      </c>
      <c r="D48" s="394">
        <f>+'Estado de Resultado Resol. 30'!E78</f>
        <v>25659091</v>
      </c>
    </row>
    <row r="49" spans="2:4">
      <c r="B49" s="402" t="s">
        <v>751</v>
      </c>
      <c r="C49" s="403">
        <f>+'Estado de Resultado Resol. 30'!D79</f>
        <v>129031270</v>
      </c>
      <c r="D49" s="403">
        <f>+'Estado de Resultado Resol. 30'!E79</f>
        <v>520898555</v>
      </c>
    </row>
    <row r="50" spans="2:4">
      <c r="B50" s="313" t="s">
        <v>752</v>
      </c>
      <c r="C50" s="394">
        <f>+'Estado de Resultado Resol. 30'!D80</f>
        <v>17550</v>
      </c>
      <c r="D50" s="394">
        <f>+'Estado de Resultado Resol. 30'!E80</f>
        <v>121043807</v>
      </c>
    </row>
    <row r="51" spans="2:4">
      <c r="B51" s="313" t="s">
        <v>753</v>
      </c>
      <c r="C51" s="394">
        <f>+'Estado de Resultado Resol. 30'!D81</f>
        <v>817012</v>
      </c>
      <c r="D51" s="394">
        <f>+'Estado de Resultado Resol. 30'!E81</f>
        <v>0</v>
      </c>
    </row>
    <row r="52" spans="2:4">
      <c r="B52" s="313" t="s">
        <v>942</v>
      </c>
      <c r="C52" s="394">
        <f>+'Estado de Resultado Resol. 30'!D82</f>
        <v>71696900</v>
      </c>
      <c r="D52" s="394">
        <f>+'Estado de Resultado Resol. 30'!E82</f>
        <v>399854748</v>
      </c>
    </row>
  </sheetData>
  <mergeCells count="2">
    <mergeCell ref="B1:D1"/>
    <mergeCell ref="B5:D5"/>
  </mergeCells>
  <hyperlinks>
    <hyperlink ref="B7" location="'Estado de Resultado Resol. 30'!A1" display="'Estado de Resultado Resol. 30'!A1" xr:uid="{00000000-0004-0000-1700-00000000000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tabColor rgb="FF002060"/>
  </sheetPr>
  <dimension ref="B1:D13"/>
  <sheetViews>
    <sheetView showGridLines="0" zoomScale="130" zoomScaleNormal="130" workbookViewId="0">
      <selection activeCell="D26" sqref="D26"/>
    </sheetView>
  </sheetViews>
  <sheetFormatPr baseColWidth="10" defaultColWidth="11.5" defaultRowHeight="15"/>
  <cols>
    <col min="1" max="1" width="4.6640625" customWidth="1"/>
    <col min="2" max="2" width="37.6640625" bestFit="1" customWidth="1"/>
    <col min="3" max="3" width="13.6640625" bestFit="1" customWidth="1"/>
    <col min="4" max="4" width="13.33203125" bestFit="1" customWidth="1"/>
    <col min="6" max="8" width="0" hidden="1" customWidth="1"/>
  </cols>
  <sheetData>
    <row r="1" spans="2:4" ht="48" customHeight="1">
      <c r="B1" s="309"/>
    </row>
    <row r="2" spans="2:4">
      <c r="B2" s="309"/>
    </row>
    <row r="3" spans="2:4">
      <c r="B3" s="829" t="s">
        <v>955</v>
      </c>
      <c r="C3" s="829"/>
      <c r="D3" s="829"/>
    </row>
    <row r="5" spans="2:4">
      <c r="B5" s="310" t="s">
        <v>659</v>
      </c>
    </row>
    <row r="6" spans="2:4">
      <c r="B6" s="311" t="s">
        <v>337</v>
      </c>
      <c r="C6" s="312">
        <f>+'NOTA W OTROS GASTOS OPER'!C8</f>
        <v>45016</v>
      </c>
      <c r="D6" s="312">
        <f>+'NOTA W OTROS GASTOS OPER'!D8</f>
        <v>44651</v>
      </c>
    </row>
    <row r="7" spans="2:4">
      <c r="B7" s="317" t="s">
        <v>204</v>
      </c>
      <c r="C7" s="404">
        <f>+C8</f>
        <v>0</v>
      </c>
      <c r="D7" s="341">
        <f>+D8</f>
        <v>0</v>
      </c>
    </row>
    <row r="8" spans="2:4">
      <c r="B8" s="313" t="s">
        <v>204</v>
      </c>
      <c r="C8" s="405">
        <f>+'Estado de Resultado Resol. 30'!D90</f>
        <v>0</v>
      </c>
      <c r="D8" s="320">
        <f>+'Estado de Resultado Resol. 30'!E90</f>
        <v>0</v>
      </c>
    </row>
    <row r="9" spans="2:4">
      <c r="B9" s="317" t="s">
        <v>203</v>
      </c>
      <c r="C9" s="404">
        <f>+C10</f>
        <v>191634133</v>
      </c>
      <c r="D9" s="404">
        <f>+D10</f>
        <v>173870673</v>
      </c>
    </row>
    <row r="10" spans="2:4">
      <c r="B10" s="313" t="s">
        <v>203</v>
      </c>
      <c r="C10" s="405">
        <f>+'Estado de Resultado Resol. 30'!D89</f>
        <v>191634133</v>
      </c>
      <c r="D10" s="405">
        <f>+'Estado de Resultado Resol. 30'!E89</f>
        <v>173870673</v>
      </c>
    </row>
    <row r="11" spans="2:4">
      <c r="B11" s="317" t="s">
        <v>467</v>
      </c>
      <c r="C11" s="404">
        <f>+C9-C7</f>
        <v>191634133</v>
      </c>
      <c r="D11" s="404">
        <f>+D9-D7</f>
        <v>173870673</v>
      </c>
    </row>
    <row r="13" spans="2:4">
      <c r="C13" s="362">
        <f>+C11-'Estado de Resultado Resol. 30'!D88</f>
        <v>0</v>
      </c>
      <c r="D13" s="362">
        <f>+D11-'Estado de Resultado Resol. 30'!E88</f>
        <v>0</v>
      </c>
    </row>
  </sheetData>
  <mergeCells count="1">
    <mergeCell ref="B3:D3"/>
  </mergeCells>
  <hyperlinks>
    <hyperlink ref="B5" location="'Estado de Resultado Resol. 30'!A1" display="'Estado de Resultado Resol. 30'!A1" xr:uid="{00000000-0004-0000-1800-000000000000}"/>
  </hyperlinks>
  <pageMargins left="0.7" right="0.7" top="0.75" bottom="0.75" header="0.3" footer="0.3"/>
  <pageSetup paperSize="9" orientation="portrait"/>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tabColor rgb="FF002060"/>
  </sheetPr>
  <dimension ref="B1:D16"/>
  <sheetViews>
    <sheetView showGridLines="0" zoomScale="130" zoomScaleNormal="130" workbookViewId="0">
      <selection activeCell="D26" sqref="D26"/>
    </sheetView>
  </sheetViews>
  <sheetFormatPr baseColWidth="10" defaultColWidth="11.5" defaultRowHeight="15"/>
  <cols>
    <col min="1" max="1" width="4.6640625" customWidth="1"/>
    <col min="2" max="2" width="37.6640625" bestFit="1" customWidth="1"/>
    <col min="3" max="4" width="14.33203125" bestFit="1" customWidth="1"/>
    <col min="6" max="8" width="0" hidden="1" customWidth="1"/>
  </cols>
  <sheetData>
    <row r="1" spans="2:4" ht="30" customHeight="1">
      <c r="B1" s="309"/>
    </row>
    <row r="2" spans="2:4" ht="17.5" customHeight="1"/>
    <row r="3" spans="2:4">
      <c r="B3" s="829" t="s">
        <v>956</v>
      </c>
      <c r="C3" s="829"/>
      <c r="D3" s="829"/>
    </row>
    <row r="4" spans="2:4">
      <c r="B4" s="18"/>
      <c r="C4" s="18"/>
      <c r="D4" s="18"/>
    </row>
    <row r="5" spans="2:4">
      <c r="B5" s="310" t="s">
        <v>659</v>
      </c>
    </row>
    <row r="6" spans="2:4">
      <c r="B6" s="311" t="s">
        <v>337</v>
      </c>
      <c r="C6" s="312">
        <f>+'NOTA X OTROS INGRESOS Y EGR'!C6</f>
        <v>45016</v>
      </c>
      <c r="D6" s="312">
        <f>+'NOTA X OTROS INGRESOS Y EGR'!D6</f>
        <v>44651</v>
      </c>
    </row>
    <row r="7" spans="2:4">
      <c r="B7" s="317" t="s">
        <v>475</v>
      </c>
      <c r="C7" s="320"/>
      <c r="D7" s="340"/>
    </row>
    <row r="8" spans="2:4">
      <c r="B8" s="313" t="s">
        <v>476</v>
      </c>
      <c r="C8" s="320">
        <f>+'Estado de Resultado Resol. 30'!D95</f>
        <v>2253228818</v>
      </c>
      <c r="D8" s="320">
        <f>+'Estado de Resultado Resol. 30'!E95</f>
        <v>1031043888</v>
      </c>
    </row>
    <row r="9" spans="2:4">
      <c r="B9" s="313" t="s">
        <v>207</v>
      </c>
      <c r="C9" s="320">
        <f>+'Estado de Resultado Resol. 30'!D96</f>
        <v>1892720717</v>
      </c>
      <c r="D9" s="320">
        <f>+'Estado de Resultado Resol. 30'!E96</f>
        <v>647950746</v>
      </c>
    </row>
    <row r="10" spans="2:4">
      <c r="B10" s="317" t="s">
        <v>467</v>
      </c>
      <c r="C10" s="321">
        <f>SUM(C8:C9)</f>
        <v>4145949535</v>
      </c>
      <c r="D10" s="321">
        <f>SUM(D8:D9)</f>
        <v>1678994634</v>
      </c>
    </row>
    <row r="11" spans="2:4">
      <c r="B11" s="317" t="s">
        <v>477</v>
      </c>
      <c r="C11" s="320"/>
      <c r="D11" s="320"/>
    </row>
    <row r="12" spans="2:4">
      <c r="B12" s="313" t="s">
        <v>478</v>
      </c>
      <c r="C12" s="319">
        <f>'Estado de Resultado Resol. 30'!D98</f>
        <v>5646970053</v>
      </c>
      <c r="D12" s="319">
        <f>'Estado de Resultado Resol. 30'!E98</f>
        <v>333074965</v>
      </c>
    </row>
    <row r="13" spans="2:4">
      <c r="B13" s="313" t="s">
        <v>207</v>
      </c>
      <c r="C13" s="319">
        <f>'Estado de Resultado Resol. 30'!D99</f>
        <v>1078321621</v>
      </c>
      <c r="D13" s="319">
        <f>'Estado de Resultado Resol. 30'!E99</f>
        <v>440580634</v>
      </c>
    </row>
    <row r="14" spans="2:4">
      <c r="B14" s="317" t="s">
        <v>467</v>
      </c>
      <c r="C14" s="397">
        <f>SUM(C12:C13)</f>
        <v>6725291674</v>
      </c>
      <c r="D14" s="397">
        <f>SUM(D12:D13)</f>
        <v>773655599</v>
      </c>
    </row>
    <row r="15" spans="2:4">
      <c r="B15" s="317" t="s">
        <v>890</v>
      </c>
      <c r="C15" s="397">
        <f>+C10-C14</f>
        <v>-2579342139</v>
      </c>
      <c r="D15" s="397">
        <f>+D10-D14</f>
        <v>905339035</v>
      </c>
    </row>
    <row r="16" spans="2:4">
      <c r="C16" s="362">
        <f>+C15-'Estado de Resultado Resol. 30'!D92</f>
        <v>0</v>
      </c>
      <c r="D16" s="362">
        <f>+D15-'Estado de Resultado Resol. 30'!E92</f>
        <v>0</v>
      </c>
    </row>
  </sheetData>
  <mergeCells count="1">
    <mergeCell ref="B3:D3"/>
  </mergeCells>
  <hyperlinks>
    <hyperlink ref="B5" location="'Estado de Resultado Resol. 30'!A1" display="'Estado de Resultado Resol. 30'!A1"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tabColor rgb="FF002060"/>
  </sheetPr>
  <dimension ref="B1:D16"/>
  <sheetViews>
    <sheetView showGridLines="0" zoomScale="130" zoomScaleNormal="130" workbookViewId="0">
      <selection activeCell="D26" sqref="D26"/>
    </sheetView>
  </sheetViews>
  <sheetFormatPr baseColWidth="10" defaultColWidth="11.5" defaultRowHeight="15"/>
  <cols>
    <col min="1" max="1" width="4.6640625" customWidth="1"/>
    <col min="2" max="2" width="37.6640625" bestFit="1" customWidth="1"/>
    <col min="3" max="3" width="13.6640625" bestFit="1" customWidth="1"/>
    <col min="4" max="4" width="13.33203125" bestFit="1" customWidth="1"/>
    <col min="6" max="8" width="0" hidden="1" customWidth="1"/>
  </cols>
  <sheetData>
    <row r="1" spans="2:4" ht="34.25" customHeight="1">
      <c r="B1" s="309"/>
    </row>
    <row r="4" spans="2:4">
      <c r="B4" s="882" t="s">
        <v>957</v>
      </c>
      <c r="C4" s="882"/>
      <c r="D4" s="882"/>
    </row>
    <row r="5" spans="2:4">
      <c r="B5" s="406"/>
      <c r="C5" s="406"/>
      <c r="D5" s="406"/>
    </row>
    <row r="6" spans="2:4">
      <c r="B6" s="310" t="s">
        <v>659</v>
      </c>
    </row>
    <row r="7" spans="2:4">
      <c r="B7" s="311" t="s">
        <v>337</v>
      </c>
      <c r="C7" s="312">
        <f>+'NOTA Y RESULTADOS FINANC'!C6</f>
        <v>45016</v>
      </c>
      <c r="D7" s="339">
        <f>+'NOTA Y RESULTADOS FINANC'!D6</f>
        <v>44651</v>
      </c>
    </row>
    <row r="8" spans="2:4">
      <c r="B8" s="317" t="s">
        <v>479</v>
      </c>
      <c r="C8" s="317"/>
      <c r="D8" s="317"/>
    </row>
    <row r="9" spans="2:4">
      <c r="B9" s="313" t="s">
        <v>943</v>
      </c>
      <c r="C9" s="407">
        <f>'Estado de Resultado Resol. 30'!D102</f>
        <v>17276153537</v>
      </c>
      <c r="D9" s="407">
        <f>'Estado de Resultado Resol. 30'!E102</f>
        <v>0</v>
      </c>
    </row>
    <row r="10" spans="2:4">
      <c r="B10" s="313" t="s">
        <v>891</v>
      </c>
      <c r="C10" s="407"/>
      <c r="D10" s="405"/>
    </row>
    <row r="11" spans="2:4">
      <c r="B11" s="317" t="s">
        <v>467</v>
      </c>
      <c r="C11" s="408">
        <f>SUM(C9)</f>
        <v>17276153537</v>
      </c>
      <c r="D11" s="408">
        <f>SUM(D9)</f>
        <v>0</v>
      </c>
    </row>
    <row r="12" spans="2:4">
      <c r="B12" s="317" t="s">
        <v>480</v>
      </c>
      <c r="C12" s="317"/>
      <c r="D12" s="317"/>
    </row>
    <row r="13" spans="2:4">
      <c r="B13" s="313" t="s">
        <v>1050</v>
      </c>
      <c r="C13" s="407">
        <v>0</v>
      </c>
      <c r="D13" s="407">
        <v>0</v>
      </c>
    </row>
    <row r="14" spans="2:4">
      <c r="B14" s="313" t="s">
        <v>481</v>
      </c>
      <c r="C14" s="407">
        <f>'Estado de Resultado Resol. 30'!D103-C13</f>
        <v>11471949138</v>
      </c>
      <c r="D14" s="407">
        <f>+'Estado de Resultado Resol. 30'!E103</f>
        <v>0</v>
      </c>
    </row>
    <row r="15" spans="2:4">
      <c r="B15" s="317" t="s">
        <v>467</v>
      </c>
      <c r="C15" s="408">
        <f>SUM(C13:C14)</f>
        <v>11471949138</v>
      </c>
      <c r="D15" s="408">
        <f>SUM(D14)</f>
        <v>0</v>
      </c>
    </row>
    <row r="16" spans="2:4" ht="15.5" customHeight="1">
      <c r="C16" s="362">
        <f>+C11-C15-'Estado de Resultado Resol. 30'!D101</f>
        <v>0</v>
      </c>
      <c r="D16" s="362">
        <f>+D15+'Estado de Resultado Resol. 30'!E101</f>
        <v>0</v>
      </c>
    </row>
  </sheetData>
  <mergeCells count="1">
    <mergeCell ref="B4:D4"/>
  </mergeCells>
  <hyperlinks>
    <hyperlink ref="B6" location="'Estado de Resultado Resol. 30'!A1" display="'Estado de Resultado Resol. 30'!A1" xr:uid="{00000000-0004-0000-1A00-000000000000}"/>
  </hyperlinks>
  <pageMargins left="0.7" right="0.7" top="0.75" bottom="0.75" header="0.3" footer="0.3"/>
  <pageSetup paperSize="9" orientation="portrait"/>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tabColor rgb="FF002060"/>
  </sheetPr>
  <dimension ref="B1:H22"/>
  <sheetViews>
    <sheetView showGridLines="0" topLeftCell="A3" zoomScale="130" zoomScaleNormal="130" workbookViewId="0">
      <selection activeCell="D26" sqref="D26"/>
    </sheetView>
  </sheetViews>
  <sheetFormatPr baseColWidth="10" defaultColWidth="9.1640625" defaultRowHeight="15"/>
  <cols>
    <col min="1" max="1" width="4.6640625" customWidth="1"/>
    <col min="2" max="2" width="93.1640625" customWidth="1"/>
    <col min="3" max="5" width="11.5" customWidth="1"/>
    <col min="6" max="8" width="11.5" hidden="1" customWidth="1"/>
    <col min="9" max="255" width="11.5" customWidth="1"/>
  </cols>
  <sheetData>
    <row r="1" spans="2:4" ht="42" customHeight="1">
      <c r="B1" s="309"/>
    </row>
    <row r="5" spans="2:4">
      <c r="B5" s="409" t="s">
        <v>482</v>
      </c>
    </row>
    <row r="6" spans="2:4">
      <c r="B6" s="410" t="s">
        <v>958</v>
      </c>
    </row>
    <row r="7" spans="2:4">
      <c r="B7" s="322" t="s">
        <v>483</v>
      </c>
      <c r="D7" s="221"/>
    </row>
    <row r="8" spans="2:4">
      <c r="B8" s="410" t="s">
        <v>959</v>
      </c>
    </row>
    <row r="9" spans="2:4">
      <c r="B9" s="322" t="s">
        <v>483</v>
      </c>
    </row>
    <row r="10" spans="2:4">
      <c r="B10" s="410" t="s">
        <v>960</v>
      </c>
    </row>
    <row r="11" spans="2:4" ht="54.75" customHeight="1">
      <c r="B11" s="411" t="s">
        <v>892</v>
      </c>
    </row>
    <row r="12" spans="2:4" ht="54.75" customHeight="1">
      <c r="B12" s="411" t="s">
        <v>1051</v>
      </c>
    </row>
    <row r="13" spans="2:4">
      <c r="B13" s="409" t="s">
        <v>484</v>
      </c>
    </row>
    <row r="14" spans="2:4">
      <c r="B14" s="322" t="s">
        <v>485</v>
      </c>
    </row>
    <row r="15" spans="2:4" ht="33.75" customHeight="1">
      <c r="B15" s="412" t="s">
        <v>961</v>
      </c>
    </row>
    <row r="16" spans="2:4">
      <c r="B16" s="322" t="s">
        <v>486</v>
      </c>
    </row>
    <row r="17" spans="2:2" ht="16">
      <c r="B17" s="412" t="s">
        <v>487</v>
      </c>
    </row>
    <row r="18" spans="2:2">
      <c r="B18" s="322" t="s">
        <v>486</v>
      </c>
    </row>
    <row r="19" spans="2:2" ht="16">
      <c r="B19" s="412" t="s">
        <v>488</v>
      </c>
    </row>
    <row r="20" spans="2:2">
      <c r="B20" s="322" t="s">
        <v>486</v>
      </c>
    </row>
    <row r="21" spans="2:2" ht="16">
      <c r="B21" s="412" t="s">
        <v>489</v>
      </c>
    </row>
    <row r="22" spans="2:2">
      <c r="B22" s="322" t="s">
        <v>490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002060"/>
    <pageSetUpPr fitToPage="1"/>
  </sheetPr>
  <dimension ref="B1:XCL149"/>
  <sheetViews>
    <sheetView showGridLines="0" tabSelected="1" zoomScale="130" zoomScaleNormal="130" workbookViewId="0">
      <selection activeCell="F11" sqref="F11"/>
    </sheetView>
  </sheetViews>
  <sheetFormatPr baseColWidth="10" defaultColWidth="11.5" defaultRowHeight="14"/>
  <cols>
    <col min="1" max="1" width="5.6640625" style="140" customWidth="1"/>
    <col min="2" max="2" width="20.83203125" style="140" hidden="1" customWidth="1"/>
    <col min="3" max="3" width="50.83203125" style="140" customWidth="1"/>
    <col min="4" max="5" width="15.83203125" style="140" customWidth="1"/>
    <col min="6" max="6" width="50.83203125" style="140" customWidth="1"/>
    <col min="7" max="8" width="15.83203125" style="140" customWidth="1"/>
    <col min="9" max="9" width="5.5" style="140" customWidth="1"/>
    <col min="10" max="10" width="13.33203125" style="140" bestFit="1" customWidth="1"/>
    <col min="11" max="11" width="15.33203125" style="140" bestFit="1" customWidth="1"/>
    <col min="12" max="16384" width="11.5" style="140"/>
  </cols>
  <sheetData>
    <row r="1" spans="2:10 16314:16314">
      <c r="XCL1" s="690"/>
    </row>
    <row r="2" spans="2:10 16314:16314">
      <c r="E2" s="141"/>
    </row>
    <row r="3" spans="2:10 16314:16314" ht="22" customHeight="1">
      <c r="E3" s="141"/>
    </row>
    <row r="4" spans="2:10 16314:16314" s="143" customFormat="1">
      <c r="B4" s="142">
        <v>1</v>
      </c>
      <c r="C4" s="777" t="s">
        <v>0</v>
      </c>
      <c r="D4" s="777"/>
      <c r="E4" s="777"/>
      <c r="F4" s="777"/>
      <c r="G4" s="777"/>
      <c r="H4" s="777"/>
    </row>
    <row r="5" spans="2:10 16314:16314" s="143" customFormat="1" ht="11.25" customHeight="1">
      <c r="C5" s="777"/>
      <c r="D5" s="777"/>
      <c r="E5" s="777"/>
      <c r="F5" s="777"/>
      <c r="G5" s="777"/>
      <c r="H5" s="777"/>
    </row>
    <row r="6" spans="2:10 16314:16314" s="143" customFormat="1" ht="27" customHeight="1">
      <c r="B6" s="144" t="s">
        <v>29</v>
      </c>
      <c r="C6" s="786" t="s">
        <v>1020</v>
      </c>
      <c r="D6" s="786"/>
      <c r="E6" s="786"/>
      <c r="F6" s="786"/>
      <c r="G6" s="786"/>
      <c r="H6" s="786"/>
    </row>
    <row r="7" spans="2:10 16314:16314" s="143" customFormat="1" ht="16" thickBot="1">
      <c r="B7" s="146" t="s">
        <v>30</v>
      </c>
      <c r="C7" s="820" t="s">
        <v>31</v>
      </c>
      <c r="D7" s="821"/>
      <c r="E7" s="820"/>
      <c r="F7" s="820"/>
      <c r="G7" s="820"/>
      <c r="H7" s="820"/>
    </row>
    <row r="8" spans="2:10 16314:16314" s="143" customFormat="1" ht="30">
      <c r="B8" s="146"/>
      <c r="C8" s="148" t="s">
        <v>32</v>
      </c>
      <c r="D8" s="149" t="s">
        <v>1026</v>
      </c>
      <c r="E8" s="149" t="s">
        <v>1021</v>
      </c>
      <c r="F8" s="150" t="s">
        <v>33</v>
      </c>
      <c r="G8" s="149" t="str">
        <f>+D8</f>
        <v>PERIODO ACTUAL 31/03/ 2023</v>
      </c>
      <c r="H8" s="151" t="str">
        <f>+E8</f>
        <v>PERIODO ANTERIOR           31/12/ 2022</v>
      </c>
    </row>
    <row r="9" spans="2:10 16314:16314" s="143" customFormat="1" ht="15">
      <c r="B9" s="146" t="s">
        <v>34</v>
      </c>
      <c r="C9" s="152" t="s">
        <v>35</v>
      </c>
      <c r="D9" s="153"/>
      <c r="E9" s="154"/>
      <c r="F9" s="155" t="s">
        <v>36</v>
      </c>
      <c r="G9" s="156"/>
      <c r="H9" s="157"/>
    </row>
    <row r="10" spans="2:10 16314:16314" s="143" customFormat="1" ht="15">
      <c r="B10" s="146" t="s">
        <v>37</v>
      </c>
      <c r="C10" s="152" t="s">
        <v>38</v>
      </c>
      <c r="D10" s="158"/>
      <c r="E10" s="159"/>
      <c r="F10" s="155" t="s">
        <v>590</v>
      </c>
      <c r="G10" s="156"/>
      <c r="H10" s="157"/>
    </row>
    <row r="11" spans="2:10 16314:16314" s="143" customFormat="1">
      <c r="B11" s="146"/>
      <c r="C11" s="160" t="s">
        <v>39</v>
      </c>
      <c r="D11" s="158">
        <f>-1165551+[4]!Tabla5[[#This Row],[31 03 2023]]</f>
        <v>-165551</v>
      </c>
      <c r="E11" s="159">
        <v>666150</v>
      </c>
      <c r="F11" s="161" t="s">
        <v>511</v>
      </c>
      <c r="G11" s="156">
        <v>0</v>
      </c>
      <c r="H11" s="157">
        <v>0</v>
      </c>
      <c r="J11" s="162"/>
    </row>
    <row r="12" spans="2:10 16314:16314" s="143" customFormat="1">
      <c r="B12" s="146"/>
      <c r="C12" s="160" t="s">
        <v>40</v>
      </c>
      <c r="D12" s="158">
        <v>-114650</v>
      </c>
      <c r="E12" s="159">
        <v>0</v>
      </c>
      <c r="F12" s="161" t="s">
        <v>41</v>
      </c>
      <c r="G12" s="156">
        <f>+'[4]EEFF '!$B$123-110000</f>
        <v>1136591210</v>
      </c>
      <c r="H12" s="157">
        <v>198329937</v>
      </c>
    </row>
    <row r="13" spans="2:10 16314:16314" s="143" customFormat="1">
      <c r="B13" s="146"/>
      <c r="C13" s="160" t="s">
        <v>42</v>
      </c>
      <c r="D13" s="158">
        <v>6932640379.4159966</v>
      </c>
      <c r="E13" s="159">
        <v>1343172218</v>
      </c>
      <c r="F13" s="161" t="s">
        <v>512</v>
      </c>
      <c r="G13" s="159">
        <f>+'[4]EEFF '!$B$109</f>
        <v>13980915</v>
      </c>
      <c r="H13" s="163">
        <v>11009430</v>
      </c>
    </row>
    <row r="14" spans="2:10 16314:16314" s="143" customFormat="1">
      <c r="B14" s="146"/>
      <c r="C14" s="164"/>
      <c r="D14" s="165">
        <f>SUM(D11:D13)</f>
        <v>6932360178.4159966</v>
      </c>
      <c r="E14" s="165">
        <v>1343838368</v>
      </c>
      <c r="F14" s="166" t="s">
        <v>504</v>
      </c>
      <c r="G14" s="156">
        <v>0</v>
      </c>
      <c r="H14" s="157">
        <v>0</v>
      </c>
    </row>
    <row r="15" spans="2:10 16314:16314" s="143" customFormat="1">
      <c r="B15" s="146"/>
      <c r="C15" s="164"/>
      <c r="D15" s="158"/>
      <c r="E15" s="159"/>
      <c r="F15" s="166" t="s">
        <v>43</v>
      </c>
      <c r="G15" s="156">
        <v>0</v>
      </c>
      <c r="H15" s="157">
        <v>0</v>
      </c>
    </row>
    <row r="16" spans="2:10 16314:16314" s="143" customFormat="1">
      <c r="B16" s="146"/>
      <c r="C16" s="164"/>
      <c r="D16" s="158"/>
      <c r="E16" s="159"/>
      <c r="F16" s="155"/>
      <c r="G16" s="165">
        <f>SUM(G11:G15)</f>
        <v>1150572125</v>
      </c>
      <c r="H16" s="167">
        <v>209339367</v>
      </c>
      <c r="J16" s="162"/>
    </row>
    <row r="17" spans="2:11" s="143" customFormat="1" ht="15">
      <c r="B17" s="146" t="s">
        <v>44</v>
      </c>
      <c r="C17" s="152" t="s">
        <v>591</v>
      </c>
      <c r="D17" s="158">
        <v>0</v>
      </c>
      <c r="E17" s="159">
        <v>0</v>
      </c>
      <c r="F17" s="168" t="s">
        <v>45</v>
      </c>
      <c r="G17" s="156"/>
      <c r="H17" s="157"/>
    </row>
    <row r="18" spans="2:11" s="143" customFormat="1" ht="15">
      <c r="B18" s="146" t="s">
        <v>46</v>
      </c>
      <c r="C18" s="164" t="s">
        <v>47</v>
      </c>
      <c r="D18" s="158">
        <f>+'[4]EEFF '!$B$33</f>
        <v>195400000</v>
      </c>
      <c r="E18" s="159">
        <v>2738180000</v>
      </c>
      <c r="F18" s="166" t="s">
        <v>48</v>
      </c>
      <c r="G18" s="156">
        <v>22695743494.4744</v>
      </c>
      <c r="H18" s="157">
        <v>40902003661</v>
      </c>
    </row>
    <row r="19" spans="2:11" s="143" customFormat="1">
      <c r="B19" s="146"/>
      <c r="C19" s="164" t="s">
        <v>49</v>
      </c>
      <c r="D19" s="158">
        <f>+'[4]EEFF '!$B$26+'[4]EEFF '!$B$31+'[4]EEFF '!$B$36+'[4]EEFF '!$B$37+'[4]EEFF '!$B$38+'[4]EEFF '!$B$39</f>
        <v>67266404446</v>
      </c>
      <c r="E19" s="159">
        <v>119806398959</v>
      </c>
      <c r="F19" s="166" t="s">
        <v>50</v>
      </c>
      <c r="G19" s="156">
        <f>+'[4]EEFF '!$B$112</f>
        <v>26173849803</v>
      </c>
      <c r="H19" s="157">
        <v>26488261643</v>
      </c>
    </row>
    <row r="20" spans="2:11" s="143" customFormat="1">
      <c r="B20" s="146"/>
      <c r="C20" s="164" t="s">
        <v>722</v>
      </c>
      <c r="D20" s="158">
        <f>+'[4]EEFF '!$B$40</f>
        <v>1631348872</v>
      </c>
      <c r="E20" s="159">
        <v>7007598923</v>
      </c>
      <c r="F20" s="166" t="s">
        <v>52</v>
      </c>
      <c r="G20" s="156">
        <f>+'[4]EEFF '!$B$115</f>
        <v>1494191343</v>
      </c>
      <c r="H20" s="157">
        <v>1538424132</v>
      </c>
    </row>
    <row r="21" spans="2:11" s="143" customFormat="1">
      <c r="B21" s="146"/>
      <c r="C21" s="169" t="s">
        <v>51</v>
      </c>
      <c r="D21" s="158">
        <v>0</v>
      </c>
      <c r="E21" s="159">
        <v>0</v>
      </c>
      <c r="F21" s="166" t="s">
        <v>723</v>
      </c>
      <c r="G21" s="156">
        <f>+'[4]EEFF '!$B$120</f>
        <v>49363157600</v>
      </c>
      <c r="H21" s="157">
        <v>101374762277</v>
      </c>
    </row>
    <row r="22" spans="2:11" s="143" customFormat="1">
      <c r="B22" s="146"/>
      <c r="C22" s="164"/>
      <c r="D22" s="170">
        <f>SUM(D17:D21)</f>
        <v>69093153318</v>
      </c>
      <c r="E22" s="170">
        <v>129552177882</v>
      </c>
      <c r="F22" s="171"/>
      <c r="G22" s="170">
        <f>SUM(G17:G21)</f>
        <v>99726942240.474396</v>
      </c>
      <c r="H22" s="172">
        <v>170303451713</v>
      </c>
      <c r="J22" s="173"/>
      <c r="K22" s="173"/>
    </row>
    <row r="23" spans="2:11" s="143" customFormat="1">
      <c r="B23" s="146"/>
      <c r="C23" s="152" t="s">
        <v>53</v>
      </c>
      <c r="D23" s="158"/>
      <c r="E23" s="159"/>
      <c r="F23" s="168" t="s">
        <v>513</v>
      </c>
      <c r="G23" s="156"/>
      <c r="H23" s="157"/>
    </row>
    <row r="24" spans="2:11" s="143" customFormat="1">
      <c r="B24" s="146"/>
      <c r="C24" s="160" t="s">
        <v>55</v>
      </c>
      <c r="D24" s="158">
        <f>11170667151+'[4]EEFF '!$B$46+4283336909</f>
        <v>15521264341</v>
      </c>
      <c r="E24" s="174">
        <v>5812238997</v>
      </c>
      <c r="F24" s="166" t="s">
        <v>56</v>
      </c>
      <c r="G24" s="156">
        <v>0</v>
      </c>
      <c r="H24" s="157">
        <v>0</v>
      </c>
    </row>
    <row r="25" spans="2:11" s="143" customFormat="1">
      <c r="B25" s="146"/>
      <c r="C25" s="160" t="s">
        <v>57</v>
      </c>
      <c r="D25" s="158">
        <f>+'[4]EEFF '!$B$49</f>
        <v>2525586204</v>
      </c>
      <c r="E25" s="159">
        <v>2549383190</v>
      </c>
      <c r="F25" s="166" t="s">
        <v>58</v>
      </c>
      <c r="G25" s="156">
        <v>0</v>
      </c>
      <c r="H25" s="157">
        <v>0</v>
      </c>
    </row>
    <row r="26" spans="2:11" s="143" customFormat="1">
      <c r="B26" s="146"/>
      <c r="C26" s="160" t="s">
        <v>59</v>
      </c>
      <c r="D26" s="158">
        <f>'[4]EEFF '!$B$57</f>
        <v>3200000</v>
      </c>
      <c r="E26" s="159">
        <v>3200000</v>
      </c>
      <c r="F26" s="166" t="s">
        <v>60</v>
      </c>
      <c r="G26" s="156">
        <v>0</v>
      </c>
      <c r="H26" s="157">
        <v>0</v>
      </c>
    </row>
    <row r="27" spans="2:11" s="143" customFormat="1">
      <c r="B27" s="146"/>
      <c r="C27" s="169" t="s">
        <v>61</v>
      </c>
      <c r="D27" s="158">
        <v>0</v>
      </c>
      <c r="E27" s="159">
        <v>0</v>
      </c>
      <c r="F27" s="166" t="s">
        <v>62</v>
      </c>
      <c r="G27" s="156">
        <f>+'[4]EEFF '!$B$136</f>
        <v>58201896</v>
      </c>
      <c r="H27" s="157">
        <v>61831475</v>
      </c>
    </row>
    <row r="28" spans="2:11" s="143" customFormat="1">
      <c r="B28" s="146"/>
      <c r="C28" s="160" t="s">
        <v>63</v>
      </c>
      <c r="D28" s="158">
        <f>+'[4]EEFF '!$B$60</f>
        <v>3090732760</v>
      </c>
      <c r="E28" s="159">
        <v>3260934025</v>
      </c>
      <c r="F28" s="166" t="s">
        <v>64</v>
      </c>
      <c r="G28" s="156">
        <v>0</v>
      </c>
      <c r="H28" s="157">
        <v>0</v>
      </c>
    </row>
    <row r="29" spans="2:11" s="143" customFormat="1" ht="15">
      <c r="B29" s="146" t="s">
        <v>65</v>
      </c>
      <c r="C29" s="169" t="s">
        <v>66</v>
      </c>
      <c r="D29" s="158">
        <v>0</v>
      </c>
      <c r="E29" s="159">
        <v>0</v>
      </c>
      <c r="F29" s="166"/>
      <c r="G29" s="156"/>
      <c r="H29" s="157"/>
    </row>
    <row r="30" spans="2:11" s="143" customFormat="1" ht="15">
      <c r="B30" s="146" t="s">
        <v>67</v>
      </c>
      <c r="C30" s="160" t="s">
        <v>68</v>
      </c>
      <c r="D30" s="158">
        <v>0</v>
      </c>
      <c r="E30" s="159">
        <v>0</v>
      </c>
      <c r="F30" s="166"/>
      <c r="G30" s="156"/>
      <c r="H30" s="157"/>
      <c r="J30" s="173"/>
      <c r="K30" s="173"/>
    </row>
    <row r="31" spans="2:11" s="143" customFormat="1" ht="15">
      <c r="B31" s="146" t="s">
        <v>69</v>
      </c>
      <c r="C31" s="160"/>
      <c r="D31" s="165">
        <f>SUM(D24:D30)</f>
        <v>21140783305</v>
      </c>
      <c r="E31" s="165">
        <v>11625756212</v>
      </c>
      <c r="F31" s="166"/>
      <c r="G31" s="165">
        <f>SUM(G24:G30)</f>
        <v>58201896</v>
      </c>
      <c r="H31" s="167">
        <v>61831475</v>
      </c>
      <c r="I31" s="173"/>
      <c r="J31" s="173"/>
      <c r="K31" s="173"/>
    </row>
    <row r="32" spans="2:11" s="143" customFormat="1">
      <c r="B32" s="146"/>
      <c r="C32" s="175" t="s">
        <v>70</v>
      </c>
      <c r="D32" s="158"/>
      <c r="E32" s="159"/>
      <c r="F32" s="168" t="s">
        <v>667</v>
      </c>
      <c r="G32" s="156"/>
      <c r="H32" s="157"/>
      <c r="I32" s="176"/>
    </row>
    <row r="33" spans="2:12" s="143" customFormat="1" ht="15">
      <c r="B33" s="146" t="s">
        <v>72</v>
      </c>
      <c r="C33" s="177" t="s">
        <v>640</v>
      </c>
      <c r="D33" s="153"/>
      <c r="E33" s="154"/>
      <c r="F33" s="178" t="s">
        <v>725</v>
      </c>
      <c r="G33" s="179"/>
      <c r="H33" s="180"/>
    </row>
    <row r="34" spans="2:12" s="143" customFormat="1" ht="15">
      <c r="B34" s="146" t="s">
        <v>73</v>
      </c>
      <c r="C34" s="160" t="s">
        <v>639</v>
      </c>
      <c r="D34" s="158">
        <f>+'[4]EEFF '!$B$66+'[4]EEFF '!$B$67</f>
        <v>781887252</v>
      </c>
      <c r="E34" s="159">
        <v>1248041865</v>
      </c>
      <c r="F34" s="166" t="s">
        <v>666</v>
      </c>
      <c r="G34" s="156">
        <f>+'[4]EEFF '!$B$139+1</f>
        <v>17923004</v>
      </c>
      <c r="H34" s="157">
        <v>14334429</v>
      </c>
    </row>
    <row r="35" spans="2:12" s="143" customFormat="1" ht="15">
      <c r="B35" s="297" t="s">
        <v>74</v>
      </c>
      <c r="C35" s="160" t="s">
        <v>641</v>
      </c>
      <c r="D35" s="158">
        <f>+'[4]EEFF '!$B$65-1</f>
        <v>17482026</v>
      </c>
      <c r="E35" s="159">
        <v>7548944</v>
      </c>
      <c r="F35" s="166" t="s">
        <v>75</v>
      </c>
      <c r="G35" s="156">
        <v>0</v>
      </c>
      <c r="H35" s="157">
        <v>0</v>
      </c>
      <c r="I35" s="176"/>
    </row>
    <row r="36" spans="2:12" s="143" customFormat="1" ht="15">
      <c r="B36" s="146" t="s">
        <v>76</v>
      </c>
      <c r="C36" s="160" t="s">
        <v>552</v>
      </c>
      <c r="D36" s="158">
        <v>0</v>
      </c>
      <c r="E36" s="159">
        <v>0</v>
      </c>
      <c r="F36" s="166" t="s">
        <v>77</v>
      </c>
      <c r="G36" s="156">
        <f>+'[4]EEFF '!$B$138</f>
        <v>10682000000</v>
      </c>
      <c r="H36" s="157">
        <v>2560193030</v>
      </c>
    </row>
    <row r="37" spans="2:12" s="143" customFormat="1">
      <c r="B37" s="146"/>
      <c r="C37" s="160"/>
      <c r="D37" s="158"/>
      <c r="E37" s="159"/>
      <c r="F37" s="166"/>
      <c r="G37" s="156"/>
      <c r="H37" s="181"/>
      <c r="J37" s="162"/>
    </row>
    <row r="38" spans="2:12" s="143" customFormat="1">
      <c r="B38" s="146"/>
      <c r="C38" s="175"/>
      <c r="D38" s="165">
        <f>SUM(D34:D37)</f>
        <v>799369278</v>
      </c>
      <c r="E38" s="165">
        <v>1255590809</v>
      </c>
      <c r="F38" s="166"/>
      <c r="G38" s="165">
        <f>SUM(G34:G37)</f>
        <v>10699923004</v>
      </c>
      <c r="H38" s="182">
        <v>2574527459</v>
      </c>
      <c r="J38" s="173"/>
      <c r="K38" s="176"/>
    </row>
    <row r="39" spans="2:12" s="143" customFormat="1" ht="16" thickBot="1">
      <c r="B39" s="146" t="s">
        <v>78</v>
      </c>
      <c r="C39" s="183" t="s">
        <v>79</v>
      </c>
      <c r="D39" s="184">
        <f>+D14+D22+D31+D38</f>
        <v>97965666079.416</v>
      </c>
      <c r="E39" s="184">
        <v>143777363271</v>
      </c>
      <c r="F39" s="185" t="s">
        <v>80</v>
      </c>
      <c r="G39" s="184">
        <f>+G16+G22+G31+G38</f>
        <v>111635639265.4744</v>
      </c>
      <c r="H39" s="186">
        <v>173149150014</v>
      </c>
      <c r="J39" s="173"/>
      <c r="K39" s="162"/>
      <c r="L39" s="162"/>
    </row>
    <row r="40" spans="2:12" s="143" customFormat="1" ht="15" thickTop="1">
      <c r="B40" s="146"/>
      <c r="C40" s="160"/>
      <c r="D40" s="187"/>
      <c r="E40" s="159"/>
      <c r="F40" s="171"/>
      <c r="G40" s="156"/>
      <c r="H40" s="157"/>
    </row>
    <row r="41" spans="2:12" s="143" customFormat="1" ht="15">
      <c r="B41" s="146" t="s">
        <v>81</v>
      </c>
      <c r="C41" s="175" t="s">
        <v>82</v>
      </c>
      <c r="D41" s="158"/>
      <c r="E41" s="159"/>
      <c r="F41" s="155" t="s">
        <v>83</v>
      </c>
      <c r="G41" s="156"/>
      <c r="H41" s="157"/>
    </row>
    <row r="42" spans="2:12" s="143" customFormat="1" ht="15">
      <c r="B42" s="146" t="s">
        <v>84</v>
      </c>
      <c r="C42" s="152" t="s">
        <v>85</v>
      </c>
      <c r="D42" s="158"/>
      <c r="E42" s="159"/>
      <c r="F42" s="155" t="s">
        <v>590</v>
      </c>
      <c r="G42" s="156"/>
      <c r="H42" s="157"/>
    </row>
    <row r="43" spans="2:12" s="143" customFormat="1">
      <c r="B43" s="146"/>
      <c r="C43" s="160" t="s">
        <v>47</v>
      </c>
      <c r="D43" s="158">
        <f>+'[4]EEFF '!$B$70</f>
        <v>56062500000</v>
      </c>
      <c r="E43" s="159">
        <v>56087500000</v>
      </c>
      <c r="F43" s="166" t="s">
        <v>511</v>
      </c>
      <c r="G43" s="156">
        <v>0</v>
      </c>
      <c r="H43" s="157">
        <v>0</v>
      </c>
    </row>
    <row r="44" spans="2:12" s="143" customFormat="1">
      <c r="B44" s="146"/>
      <c r="C44" s="160" t="s">
        <v>88</v>
      </c>
      <c r="D44" s="158">
        <v>0</v>
      </c>
      <c r="E44" s="159">
        <v>0</v>
      </c>
      <c r="F44" s="166" t="s">
        <v>41</v>
      </c>
      <c r="G44" s="156">
        <v>0</v>
      </c>
      <c r="H44" s="157">
        <v>0</v>
      </c>
    </row>
    <row r="45" spans="2:12" s="143" customFormat="1">
      <c r="B45" s="146"/>
      <c r="C45" s="160" t="s">
        <v>89</v>
      </c>
      <c r="D45" s="158">
        <f>+'[4]EEFF '!$B$79</f>
        <v>1003000000</v>
      </c>
      <c r="E45" s="159">
        <v>1002000000</v>
      </c>
      <c r="F45" s="166" t="s">
        <v>512</v>
      </c>
      <c r="G45" s="159">
        <v>0</v>
      </c>
      <c r="H45" s="163">
        <v>0</v>
      </c>
    </row>
    <row r="46" spans="2:12" s="143" customFormat="1">
      <c r="B46" s="146"/>
      <c r="C46" s="160" t="s">
        <v>90</v>
      </c>
      <c r="D46" s="158">
        <f>+'[4]EEFF '!$B$80</f>
        <v>4000000000</v>
      </c>
      <c r="E46" s="159">
        <v>4000000000</v>
      </c>
      <c r="F46" s="166" t="s">
        <v>504</v>
      </c>
      <c r="G46" s="156">
        <v>0</v>
      </c>
      <c r="H46" s="157">
        <v>0</v>
      </c>
    </row>
    <row r="47" spans="2:12" s="143" customFormat="1" ht="15">
      <c r="B47" s="188" t="s">
        <v>92</v>
      </c>
      <c r="C47" s="160" t="s">
        <v>93</v>
      </c>
      <c r="D47" s="158">
        <v>0</v>
      </c>
      <c r="E47" s="159">
        <v>0</v>
      </c>
      <c r="F47" s="166" t="s">
        <v>43</v>
      </c>
      <c r="G47" s="156">
        <v>0</v>
      </c>
      <c r="H47" s="157">
        <v>0</v>
      </c>
    </row>
    <row r="48" spans="2:12" s="143" customFormat="1" ht="15">
      <c r="B48" s="146" t="s">
        <v>94</v>
      </c>
      <c r="C48" s="160" t="s">
        <v>724</v>
      </c>
      <c r="D48" s="158">
        <f>'[5]EEFF '!$B$76</f>
        <v>47451703</v>
      </c>
      <c r="E48" s="159">
        <v>47451703</v>
      </c>
      <c r="F48" s="166"/>
      <c r="G48" s="156"/>
      <c r="H48" s="157"/>
    </row>
    <row r="49" spans="2:8" s="143" customFormat="1" ht="15">
      <c r="B49" s="146" t="s">
        <v>96</v>
      </c>
      <c r="C49" s="169" t="s">
        <v>51</v>
      </c>
      <c r="D49" s="158">
        <v>0</v>
      </c>
      <c r="E49" s="159">
        <v>0</v>
      </c>
      <c r="F49" s="155"/>
      <c r="G49" s="156"/>
      <c r="H49" s="157"/>
    </row>
    <row r="50" spans="2:8" s="143" customFormat="1">
      <c r="B50" s="146"/>
      <c r="C50" s="164"/>
      <c r="D50" s="165">
        <f>SUM(D43:D49)</f>
        <v>61112951703</v>
      </c>
      <c r="E50" s="165">
        <v>61136951703</v>
      </c>
      <c r="F50" s="155"/>
      <c r="G50" s="165">
        <f>SUM(G43:G49)</f>
        <v>0</v>
      </c>
      <c r="H50" s="167">
        <v>0</v>
      </c>
    </row>
    <row r="51" spans="2:8" s="143" customFormat="1">
      <c r="B51" s="146"/>
      <c r="C51" s="152" t="s">
        <v>53</v>
      </c>
      <c r="D51" s="158"/>
      <c r="E51" s="159"/>
      <c r="F51" s="155" t="s">
        <v>45</v>
      </c>
      <c r="G51" s="156"/>
      <c r="H51" s="157"/>
    </row>
    <row r="52" spans="2:8" s="143" customFormat="1" ht="15">
      <c r="B52" s="146" t="s">
        <v>100</v>
      </c>
      <c r="C52" s="160" t="s">
        <v>55</v>
      </c>
      <c r="D52" s="158">
        <v>0</v>
      </c>
      <c r="E52" s="158">
        <v>0</v>
      </c>
      <c r="F52" s="166" t="s">
        <v>87</v>
      </c>
      <c r="G52" s="156">
        <v>0</v>
      </c>
      <c r="H52" s="157">
        <v>0</v>
      </c>
    </row>
    <row r="53" spans="2:8" s="143" customFormat="1" ht="15">
      <c r="B53" s="146" t="s">
        <v>101</v>
      </c>
      <c r="C53" s="160" t="s">
        <v>59</v>
      </c>
      <c r="D53" s="158">
        <v>0</v>
      </c>
      <c r="E53" s="158">
        <v>0</v>
      </c>
      <c r="F53" s="166" t="s">
        <v>52</v>
      </c>
      <c r="G53" s="156">
        <v>0</v>
      </c>
      <c r="H53" s="157">
        <v>0</v>
      </c>
    </row>
    <row r="54" spans="2:8" s="143" customFormat="1" ht="15">
      <c r="B54" s="146" t="s">
        <v>104</v>
      </c>
      <c r="C54" s="160" t="s">
        <v>102</v>
      </c>
      <c r="D54" s="158"/>
      <c r="E54" s="158"/>
      <c r="F54" s="189"/>
      <c r="G54" s="165">
        <v>0</v>
      </c>
      <c r="H54" s="172">
        <v>0</v>
      </c>
    </row>
    <row r="55" spans="2:8" s="143" customFormat="1" ht="15">
      <c r="B55" s="146" t="s">
        <v>106</v>
      </c>
      <c r="C55" s="169" t="s">
        <v>61</v>
      </c>
      <c r="D55" s="158"/>
      <c r="E55" s="158"/>
      <c r="F55" s="155" t="s">
        <v>91</v>
      </c>
      <c r="G55" s="156"/>
      <c r="H55" s="157"/>
    </row>
    <row r="56" spans="2:8" s="143" customFormat="1">
      <c r="B56" s="146"/>
      <c r="C56" s="160" t="s">
        <v>63</v>
      </c>
      <c r="D56" s="158"/>
      <c r="E56" s="158"/>
      <c r="F56" s="166" t="s">
        <v>95</v>
      </c>
      <c r="G56" s="156">
        <v>0</v>
      </c>
      <c r="H56" s="157">
        <v>0</v>
      </c>
    </row>
    <row r="57" spans="2:8" s="143" customFormat="1">
      <c r="B57" s="146"/>
      <c r="C57" s="169" t="s">
        <v>66</v>
      </c>
      <c r="D57" s="158"/>
      <c r="E57" s="158"/>
      <c r="F57" s="166" t="s">
        <v>97</v>
      </c>
      <c r="G57" s="156">
        <v>0</v>
      </c>
      <c r="H57" s="157">
        <v>0</v>
      </c>
    </row>
    <row r="58" spans="2:8" s="143" customFormat="1">
      <c r="B58" s="146"/>
      <c r="C58" s="160" t="s">
        <v>68</v>
      </c>
      <c r="D58" s="158"/>
      <c r="E58" s="158"/>
      <c r="F58" s="166" t="s">
        <v>99</v>
      </c>
      <c r="G58" s="156"/>
      <c r="H58" s="157"/>
    </row>
    <row r="59" spans="2:8" s="143" customFormat="1" ht="15">
      <c r="B59" s="146" t="s">
        <v>109</v>
      </c>
      <c r="C59" s="160"/>
      <c r="D59" s="158"/>
      <c r="E59" s="159"/>
      <c r="F59" s="171"/>
      <c r="G59" s="165">
        <v>0</v>
      </c>
      <c r="H59" s="172">
        <v>0</v>
      </c>
    </row>
    <row r="60" spans="2:8" s="143" customFormat="1" ht="15" thickBot="1">
      <c r="B60" s="146"/>
      <c r="C60" s="164"/>
      <c r="D60" s="165">
        <f>SUM(D52:D59)</f>
        <v>0</v>
      </c>
      <c r="E60" s="165">
        <v>0</v>
      </c>
      <c r="F60" s="185" t="s">
        <v>103</v>
      </c>
      <c r="G60" s="165">
        <f>+G50+G54+G59</f>
        <v>0</v>
      </c>
      <c r="H60" s="190">
        <v>0</v>
      </c>
    </row>
    <row r="61" spans="2:8" s="143" customFormat="1" ht="15" thickTop="1">
      <c r="B61" s="146"/>
      <c r="C61" s="152" t="s">
        <v>110</v>
      </c>
      <c r="D61" s="158"/>
      <c r="E61" s="159"/>
      <c r="F61" s="191" t="s">
        <v>105</v>
      </c>
      <c r="G61" s="192">
        <f>+G39+G60</f>
        <v>111635639265.4744</v>
      </c>
      <c r="H61" s="193">
        <v>173149150014</v>
      </c>
    </row>
    <row r="62" spans="2:8" s="143" customFormat="1">
      <c r="B62" s="146"/>
      <c r="C62" s="160" t="s">
        <v>112</v>
      </c>
      <c r="D62" s="158">
        <f>+'[4]EEFF '!$B$81-D63-1</f>
        <v>1350102269</v>
      </c>
      <c r="E62" s="159">
        <v>13448989072</v>
      </c>
      <c r="F62" s="168" t="s">
        <v>107</v>
      </c>
      <c r="G62" s="156"/>
      <c r="H62" s="157"/>
    </row>
    <row r="63" spans="2:8" s="143" customFormat="1">
      <c r="B63" s="146"/>
      <c r="C63" s="160" t="s">
        <v>114</v>
      </c>
      <c r="D63" s="158">
        <f>+'[4]EEFF '!$B$88*-1</f>
        <v>-699841823</v>
      </c>
      <c r="E63" s="159">
        <v>-1330105128</v>
      </c>
      <c r="F63" s="155" t="s">
        <v>249</v>
      </c>
      <c r="G63" s="156"/>
      <c r="H63" s="157"/>
    </row>
    <row r="64" spans="2:8" s="143" customFormat="1">
      <c r="B64" s="146"/>
      <c r="C64" s="160"/>
      <c r="D64" s="165">
        <f>SUM(D62:D63)</f>
        <v>650260446</v>
      </c>
      <c r="E64" s="165">
        <v>12118883944</v>
      </c>
      <c r="F64" s="166" t="s">
        <v>108</v>
      </c>
      <c r="G64" s="156">
        <f>42764000001-1</f>
        <v>42764000000</v>
      </c>
      <c r="H64" s="157">
        <v>42764000001</v>
      </c>
    </row>
    <row r="65" spans="2:11" s="143" customFormat="1">
      <c r="B65" s="146"/>
      <c r="C65" s="152" t="s">
        <v>117</v>
      </c>
      <c r="D65" s="158"/>
      <c r="E65" s="159"/>
      <c r="F65" s="166"/>
      <c r="G65" s="165">
        <f>SUM(G64)</f>
        <v>42764000000</v>
      </c>
      <c r="H65" s="167">
        <v>42764000001</v>
      </c>
    </row>
    <row r="66" spans="2:11" s="143" customFormat="1">
      <c r="B66" s="146"/>
      <c r="C66" s="160" t="s">
        <v>118</v>
      </c>
      <c r="D66" s="158">
        <f>+'[5]EEFF '!$B$91+'[5]EEFF '!$B$94</f>
        <v>183259591</v>
      </c>
      <c r="E66" s="159">
        <v>183259591</v>
      </c>
      <c r="F66" s="155" t="s">
        <v>250</v>
      </c>
      <c r="G66" s="156"/>
      <c r="H66" s="157"/>
    </row>
    <row r="67" spans="2:11" s="143" customFormat="1">
      <c r="B67" s="146"/>
      <c r="C67" s="160" t="s">
        <v>119</v>
      </c>
      <c r="D67" s="158">
        <f>+'[5]EEFF '!$B$95</f>
        <v>76495056</v>
      </c>
      <c r="E67" s="159">
        <v>76495056</v>
      </c>
      <c r="F67" s="166" t="s">
        <v>113</v>
      </c>
      <c r="G67" s="156">
        <f>+'[4]EEFF '!$B$151</f>
        <v>1714654982</v>
      </c>
      <c r="H67" s="156">
        <f>+'[4]EEFF '!$B$151</f>
        <v>1714654982</v>
      </c>
    </row>
    <row r="68" spans="2:11" s="143" customFormat="1">
      <c r="B68" s="146"/>
      <c r="C68" s="160" t="s">
        <v>120</v>
      </c>
      <c r="D68" s="158">
        <f>'[5]EEFF '!$B$93</f>
        <v>27866433</v>
      </c>
      <c r="E68" s="159">
        <v>27866433</v>
      </c>
      <c r="F68" s="166" t="s">
        <v>115</v>
      </c>
      <c r="G68" s="156">
        <v>0</v>
      </c>
      <c r="H68" s="194">
        <v>0</v>
      </c>
    </row>
    <row r="69" spans="2:11" s="143" customFormat="1">
      <c r="B69" s="146"/>
      <c r="C69" s="160" t="s">
        <v>121</v>
      </c>
      <c r="D69" s="158">
        <f>+'[5]EEFF '!$B$92+'[5]EEFF '!$B$96</f>
        <v>3388870450</v>
      </c>
      <c r="E69" s="159">
        <v>3388870450</v>
      </c>
      <c r="F69" s="166" t="s">
        <v>116</v>
      </c>
      <c r="G69" s="156">
        <v>152000000</v>
      </c>
      <c r="H69" s="157">
        <v>151000000</v>
      </c>
    </row>
    <row r="70" spans="2:11" s="143" customFormat="1">
      <c r="B70" s="146"/>
      <c r="C70" s="160" t="s">
        <v>593</v>
      </c>
      <c r="D70" s="158">
        <f>+'[5]EEFF '!$B$97</f>
        <v>4448595000</v>
      </c>
      <c r="E70" s="159">
        <v>4448595000</v>
      </c>
      <c r="G70" s="165">
        <f>SUM(G67:G69)</f>
        <v>1866654982</v>
      </c>
      <c r="H70" s="167">
        <v>1865654982</v>
      </c>
    </row>
    <row r="71" spans="2:11" s="143" customFormat="1">
      <c r="B71" s="146"/>
      <c r="C71" s="160" t="s">
        <v>123</v>
      </c>
      <c r="D71" s="195">
        <f>'[5]EEFF '!$B$98</f>
        <v>-3935238148</v>
      </c>
      <c r="E71" s="196">
        <v>-3935238148</v>
      </c>
      <c r="F71" s="178" t="s">
        <v>726</v>
      </c>
      <c r="G71" s="156"/>
      <c r="H71" s="194"/>
    </row>
    <row r="72" spans="2:11" s="143" customFormat="1" ht="15">
      <c r="B72" s="146" t="s">
        <v>125</v>
      </c>
      <c r="C72" s="164"/>
      <c r="D72" s="165">
        <f>SUM(D66:D71)</f>
        <v>4189848382</v>
      </c>
      <c r="E72" s="165">
        <v>4189848382</v>
      </c>
      <c r="F72" s="166" t="s">
        <v>727</v>
      </c>
      <c r="G72" s="156">
        <v>0</v>
      </c>
      <c r="H72" s="157">
        <v>0</v>
      </c>
      <c r="J72" s="173"/>
      <c r="K72" s="162"/>
    </row>
    <row r="73" spans="2:11" s="143" customFormat="1" ht="15">
      <c r="B73" s="146" t="s">
        <v>127</v>
      </c>
      <c r="C73" s="175" t="s">
        <v>70</v>
      </c>
      <c r="D73" s="158"/>
      <c r="E73" s="159"/>
      <c r="F73" s="143" t="s">
        <v>728</v>
      </c>
      <c r="G73" s="156">
        <v>8933184</v>
      </c>
      <c r="H73" s="157">
        <v>8933184</v>
      </c>
    </row>
    <row r="74" spans="2:11" s="143" customFormat="1">
      <c r="B74" s="146"/>
      <c r="C74" s="152" t="s">
        <v>643</v>
      </c>
      <c r="D74" s="158"/>
      <c r="E74" s="159"/>
      <c r="F74" s="155"/>
      <c r="G74" s="165">
        <f>SUM(G72:G73)</f>
        <v>8933184</v>
      </c>
      <c r="H74" s="167">
        <v>8933184</v>
      </c>
    </row>
    <row r="75" spans="2:11" s="143" customFormat="1" ht="15">
      <c r="B75" s="146" t="s">
        <v>129</v>
      </c>
      <c r="C75" s="160" t="s">
        <v>642</v>
      </c>
      <c r="D75" s="158">
        <v>0</v>
      </c>
      <c r="E75" s="159">
        <v>0</v>
      </c>
      <c r="F75" s="155" t="s">
        <v>592</v>
      </c>
      <c r="G75" s="179"/>
      <c r="H75" s="180"/>
    </row>
    <row r="76" spans="2:11">
      <c r="B76" s="197" t="s">
        <v>131</v>
      </c>
      <c r="C76" s="160" t="s">
        <v>130</v>
      </c>
      <c r="D76" s="158">
        <v>0</v>
      </c>
      <c r="E76" s="159">
        <v>0</v>
      </c>
      <c r="F76" s="171" t="s">
        <v>122</v>
      </c>
      <c r="G76" s="156">
        <v>2584693844</v>
      </c>
      <c r="H76" s="157">
        <v>241757977</v>
      </c>
    </row>
    <row r="77" spans="2:11">
      <c r="B77" s="197" t="s">
        <v>133</v>
      </c>
      <c r="C77" s="160" t="s">
        <v>132</v>
      </c>
      <c r="D77" s="158">
        <v>0</v>
      </c>
      <c r="E77" s="159">
        <v>0</v>
      </c>
      <c r="F77" s="171" t="s">
        <v>124</v>
      </c>
      <c r="G77" s="198">
        <v>5058805334.5900002</v>
      </c>
      <c r="H77" s="199">
        <v>3193551142</v>
      </c>
    </row>
    <row r="78" spans="2:11">
      <c r="B78" s="197" t="s">
        <v>134</v>
      </c>
      <c r="C78" s="164"/>
      <c r="D78" s="200">
        <v>0</v>
      </c>
      <c r="E78" s="200">
        <v>0</v>
      </c>
      <c r="F78" s="171"/>
      <c r="G78" s="201">
        <f>SUM(G76:G77)</f>
        <v>7643499178.5900002</v>
      </c>
      <c r="H78" s="202">
        <v>3435309119</v>
      </c>
    </row>
    <row r="79" spans="2:11">
      <c r="B79" s="197" t="s">
        <v>136</v>
      </c>
      <c r="C79" s="203" t="s">
        <v>135</v>
      </c>
      <c r="D79" s="204">
        <f>+D50+D60+D64+D72+D78</f>
        <v>65953060531</v>
      </c>
      <c r="E79" s="205">
        <v>77445684029</v>
      </c>
      <c r="F79" s="206" t="s">
        <v>126</v>
      </c>
      <c r="G79" s="205">
        <f>+G65+G70+G74+G78</f>
        <v>52283087344.589996</v>
      </c>
      <c r="H79" s="207">
        <v>48073897286</v>
      </c>
    </row>
    <row r="80" spans="2:11" ht="15" thickBot="1">
      <c r="B80" s="197"/>
      <c r="C80" s="208" t="s">
        <v>137</v>
      </c>
      <c r="D80" s="209">
        <f>+D79+D39</f>
        <v>163918726610.41602</v>
      </c>
      <c r="E80" s="209">
        <f>+E79+E39</f>
        <v>221223047300</v>
      </c>
      <c r="F80" s="210" t="s">
        <v>128</v>
      </c>
      <c r="G80" s="209">
        <f>+G79+G61</f>
        <v>163918726610.06439</v>
      </c>
      <c r="H80" s="209">
        <f>+H79+H61</f>
        <v>221223047300</v>
      </c>
    </row>
    <row r="81" spans="2:8">
      <c r="B81" s="197" t="s">
        <v>138</v>
      </c>
      <c r="C81" s="822" t="s">
        <v>668</v>
      </c>
      <c r="D81" s="822"/>
      <c r="E81" s="822"/>
      <c r="F81" s="822"/>
      <c r="G81" s="822"/>
      <c r="H81" s="822"/>
    </row>
    <row r="82" spans="2:8">
      <c r="B82" s="197" t="s">
        <v>139</v>
      </c>
      <c r="C82" s="679"/>
      <c r="D82" s="694"/>
      <c r="E82" s="679"/>
      <c r="F82" s="679"/>
      <c r="G82" s="694"/>
      <c r="H82" s="679"/>
    </row>
    <row r="83" spans="2:8" ht="11.25" customHeight="1">
      <c r="B83" s="197" t="s">
        <v>140</v>
      </c>
      <c r="C83" s="679"/>
      <c r="D83" s="767">
        <f>D80-G80</f>
        <v>0.35162353515625</v>
      </c>
      <c r="E83" s="679"/>
      <c r="F83" s="679"/>
      <c r="G83" s="695"/>
      <c r="H83" s="679"/>
    </row>
    <row r="84" spans="2:8" ht="11.25" customHeight="1">
      <c r="B84" s="197"/>
      <c r="D84" s="212"/>
      <c r="G84" s="212"/>
    </row>
    <row r="85" spans="2:8" ht="11.25" customHeight="1">
      <c r="B85" s="197" t="s">
        <v>141</v>
      </c>
    </row>
    <row r="86" spans="2:8" ht="11.25" customHeight="1">
      <c r="B86" s="197"/>
    </row>
    <row r="87" spans="2:8" ht="11.25" customHeight="1">
      <c r="B87" s="197"/>
      <c r="F87" s="4"/>
      <c r="G87" s="4"/>
      <c r="H87" s="4"/>
    </row>
    <row r="88" spans="2:8" ht="11.25" customHeight="1">
      <c r="B88" s="197"/>
    </row>
    <row r="89" spans="2:8" ht="11.25" customHeight="1">
      <c r="B89" s="197"/>
    </row>
    <row r="90" spans="2:8" ht="11.25" customHeight="1">
      <c r="B90" s="213">
        <v>2</v>
      </c>
    </row>
    <row r="91" spans="2:8" ht="11.25" customHeight="1">
      <c r="B91" s="214" t="s">
        <v>142</v>
      </c>
    </row>
    <row r="92" spans="2:8" ht="11.25" customHeight="1">
      <c r="B92" s="197" t="s">
        <v>143</v>
      </c>
      <c r="C92" s="215"/>
      <c r="D92" s="216"/>
      <c r="E92" s="216"/>
    </row>
    <row r="93" spans="2:8" ht="11.25" customHeight="1">
      <c r="B93" s="197" t="s">
        <v>144</v>
      </c>
    </row>
    <row r="94" spans="2:8" ht="11.25" customHeight="1">
      <c r="B94" s="197" t="s">
        <v>145</v>
      </c>
    </row>
    <row r="95" spans="2:8" ht="11.25" customHeight="1">
      <c r="B95" s="197"/>
    </row>
    <row r="96" spans="2:8" ht="11.25" customHeight="1">
      <c r="B96" s="197" t="s">
        <v>146</v>
      </c>
    </row>
    <row r="97" spans="2:7" ht="11.25" customHeight="1">
      <c r="B97" s="197" t="s">
        <v>147</v>
      </c>
    </row>
    <row r="98" spans="2:7" ht="11.25" customHeight="1">
      <c r="B98" s="197" t="s">
        <v>148</v>
      </c>
      <c r="G98" s="217"/>
    </row>
    <row r="99" spans="2:7" ht="11.25" customHeight="1">
      <c r="B99" s="197" t="s">
        <v>149</v>
      </c>
    </row>
    <row r="100" spans="2:7" ht="11.25" customHeight="1">
      <c r="B100" s="197"/>
    </row>
    <row r="101" spans="2:7" ht="11.25" customHeight="1">
      <c r="B101" s="197" t="s">
        <v>150</v>
      </c>
    </row>
    <row r="102" spans="2:7" ht="11.25" customHeight="1">
      <c r="B102" s="197" t="s">
        <v>151</v>
      </c>
    </row>
    <row r="103" spans="2:7" ht="11.25" customHeight="1">
      <c r="B103" s="197" t="s">
        <v>152</v>
      </c>
    </row>
    <row r="104" spans="2:7" ht="11.25" customHeight="1">
      <c r="B104" s="197" t="s">
        <v>153</v>
      </c>
    </row>
    <row r="105" spans="2:7" ht="11.25" customHeight="1">
      <c r="B105" s="197"/>
    </row>
    <row r="106" spans="2:7" ht="11.25" customHeight="1">
      <c r="B106" s="197" t="s">
        <v>154</v>
      </c>
    </row>
    <row r="107" spans="2:7" ht="11.25" customHeight="1">
      <c r="B107" s="197" t="s">
        <v>155</v>
      </c>
    </row>
    <row r="108" spans="2:7" ht="11.25" customHeight="1">
      <c r="B108" s="197"/>
    </row>
    <row r="109" spans="2:7" ht="11.25" customHeight="1">
      <c r="B109" s="197"/>
    </row>
    <row r="110" spans="2:7" ht="11.25" customHeight="1">
      <c r="B110" s="197"/>
    </row>
    <row r="111" spans="2:7" ht="11.25" customHeight="1">
      <c r="B111" s="197" t="s">
        <v>156</v>
      </c>
    </row>
    <row r="112" spans="2:7" ht="11.25" customHeight="1">
      <c r="B112" s="197"/>
    </row>
    <row r="113" spans="2:2" ht="11.25" customHeight="1">
      <c r="B113" s="197" t="s">
        <v>157</v>
      </c>
    </row>
    <row r="114" spans="2:2" ht="11.25" customHeight="1">
      <c r="B114" s="197" t="s">
        <v>158</v>
      </c>
    </row>
    <row r="115" spans="2:2" ht="11.25" customHeight="1">
      <c r="B115" s="197" t="s">
        <v>159</v>
      </c>
    </row>
    <row r="116" spans="2:2" ht="11.25" customHeight="1">
      <c r="B116" s="197"/>
    </row>
    <row r="117" spans="2:2" ht="11.25" customHeight="1">
      <c r="B117" s="197" t="s">
        <v>160</v>
      </c>
    </row>
    <row r="118" spans="2:2" ht="11.25" customHeight="1">
      <c r="B118" s="197" t="s">
        <v>161</v>
      </c>
    </row>
    <row r="119" spans="2:2" ht="11.25" customHeight="1">
      <c r="B119" s="197" t="s">
        <v>162</v>
      </c>
    </row>
    <row r="120" spans="2:2" ht="11.25" customHeight="1">
      <c r="B120" s="197"/>
    </row>
    <row r="121" spans="2:2" ht="11.25" customHeight="1">
      <c r="B121" s="197"/>
    </row>
    <row r="122" spans="2:2" ht="11.25" customHeight="1">
      <c r="B122" s="197"/>
    </row>
    <row r="123" spans="2:2" ht="11.25" customHeight="1">
      <c r="B123" s="197"/>
    </row>
    <row r="124" spans="2:2" ht="11.25" customHeight="1">
      <c r="B124" s="197"/>
    </row>
    <row r="125" spans="2:2" ht="11.25" customHeight="1">
      <c r="B125" s="197" t="s">
        <v>163</v>
      </c>
    </row>
    <row r="126" spans="2:2" ht="11.25" customHeight="1">
      <c r="B126" s="197" t="s">
        <v>164</v>
      </c>
    </row>
    <row r="127" spans="2:2" ht="11.25" customHeight="1">
      <c r="B127" s="197" t="s">
        <v>165</v>
      </c>
    </row>
    <row r="128" spans="2:2" ht="11.25" customHeight="1">
      <c r="B128" s="197" t="s">
        <v>166</v>
      </c>
    </row>
    <row r="129" spans="2:2" ht="11.25" customHeight="1">
      <c r="B129" s="197"/>
    </row>
    <row r="130" spans="2:2" ht="11.25" customHeight="1">
      <c r="B130" s="197" t="s">
        <v>167</v>
      </c>
    </row>
    <row r="131" spans="2:2" ht="11.25" customHeight="1">
      <c r="B131" s="197" t="s">
        <v>168</v>
      </c>
    </row>
    <row r="132" spans="2:2" ht="11.25" customHeight="1">
      <c r="B132" s="197" t="s">
        <v>169</v>
      </c>
    </row>
    <row r="133" spans="2:2" ht="11.25" customHeight="1">
      <c r="B133" s="197" t="s">
        <v>170</v>
      </c>
    </row>
    <row r="134" spans="2:2" ht="11.25" customHeight="1">
      <c r="B134" s="197" t="s">
        <v>171</v>
      </c>
    </row>
    <row r="135" spans="2:2" ht="11.25" customHeight="1">
      <c r="B135" s="197"/>
    </row>
    <row r="136" spans="2:2" ht="11.25" customHeight="1">
      <c r="B136" s="197" t="s">
        <v>172</v>
      </c>
    </row>
    <row r="137" spans="2:2" ht="11.25" customHeight="1">
      <c r="B137" s="197" t="s">
        <v>173</v>
      </c>
    </row>
    <row r="138" spans="2:2" ht="11.25" customHeight="1">
      <c r="B138" s="197" t="s">
        <v>174</v>
      </c>
    </row>
    <row r="139" spans="2:2" ht="11.25" customHeight="1">
      <c r="B139" s="197"/>
    </row>
    <row r="140" spans="2:2" ht="11.25" customHeight="1">
      <c r="B140" s="197"/>
    </row>
    <row r="141" spans="2:2" ht="11.25" customHeight="1">
      <c r="B141" s="197"/>
    </row>
    <row r="144" spans="2:2" ht="11.25" customHeight="1"/>
    <row r="145" spans="4:5" ht="11.25" customHeight="1">
      <c r="D145" s="218"/>
      <c r="E145" s="218"/>
    </row>
    <row r="146" spans="4:5">
      <c r="D146" s="219">
        <v>0</v>
      </c>
      <c r="E146" s="218">
        <v>0</v>
      </c>
    </row>
    <row r="148" spans="4:5" ht="11.25" customHeight="1"/>
    <row r="149" spans="4:5">
      <c r="D149" s="220"/>
    </row>
  </sheetData>
  <mergeCells count="5">
    <mergeCell ref="C4:H4"/>
    <mergeCell ref="C5:H5"/>
    <mergeCell ref="C6:H6"/>
    <mergeCell ref="C7:H7"/>
    <mergeCell ref="C81:H81"/>
  </mergeCells>
  <hyperlinks>
    <hyperlink ref="C10" location="'NOTA D - DISPONIBILIDADES'!A1" display="DISPONIBILIDADES Nota 5 d" xr:uid="{00000000-0004-0000-0200-000000000000}"/>
    <hyperlink ref="C9" location="'NOTA 5 A-C CRITERIOS ESPECIF.'!A1" display="ACTIVO CORRIENTE Nota 5 a" xr:uid="{00000000-0004-0000-0200-000001000000}"/>
    <hyperlink ref="C17" location="'NOTA E - INVERSIONES'!A1" display="INVERSIONES TEMPORARIAS  NOTA 5 E" xr:uid="{00000000-0004-0000-0200-000002000000}"/>
    <hyperlink ref="C23" location="'NOTA F - CREDITOS'!A1" display="CREDITOS Nota 5 f" xr:uid="{00000000-0004-0000-0200-000003000000}"/>
    <hyperlink ref="C33" location="'NOTA H CARGOS DIFERIDOS'!A1" display="GASTOS NO DEVENGADOS - Nota 5 h" xr:uid="{00000000-0004-0000-0200-000004000000}"/>
    <hyperlink ref="C42" location="'NOTA E - INVERSIONES'!A1" display="INVERSIONES PERMANENTES Nota 5 e" xr:uid="{00000000-0004-0000-0200-000005000000}"/>
    <hyperlink ref="C51" location="'NOTA F - CREDITOS'!A1" display="CREDITOS Nota 5 f" xr:uid="{00000000-0004-0000-0200-000006000000}"/>
    <hyperlink ref="C61" location="'NOTA G BIENES DE USO'!A1" display="BIENES DE USO Nota 5 g" xr:uid="{00000000-0004-0000-0200-000007000000}"/>
    <hyperlink ref="C65" location="' NOTA I INTANGIBLES'!A1" display="ACTIVOS INTANGIBLES  Nota 5 i" xr:uid="{00000000-0004-0000-0200-000008000000}"/>
    <hyperlink ref="C74" location="'NOTA J OTROS ACTIVOS CTES y NO '!A1" display="GASTOS NO DEVENGADOS  - Nota 5 j" xr:uid="{00000000-0004-0000-0200-000009000000}"/>
    <hyperlink ref="F11" location="'NOTAS M-Q ACREED y CTAS A PAG'!A1" display="Acreedores por Intermediación. Nota 5 m" xr:uid="{00000000-0004-0000-0200-00000A000000}"/>
    <hyperlink ref="F12" location="'NOTA L DOCUM y CTAS A PAG'!A1" display="Acreedores Varios  - Nota 5 l" xr:uid="{00000000-0004-0000-0200-00000B000000}"/>
    <hyperlink ref="F13" location="'NOTAS M-Q ACREED y CTAS A PAG'!A1" display="Cuentas por Pagar a Personas y Emp. Relacionadas. Nota o" xr:uid="{00000000-0004-0000-0200-00000C000000}"/>
    <hyperlink ref="F17" location="'NOTA K PRESTAMOS'!A1" display="PRESTAMOS FINANCIEROS - Nota 5 k" xr:uid="{00000000-0004-0000-0200-00000D000000}"/>
    <hyperlink ref="F23" location="'NOTAS M-Q ACREED y CTAS A PAG'!A1" display="PROVISIONES. Nota q" xr:uid="{00000000-0004-0000-0200-00000E000000}"/>
    <hyperlink ref="F62" location="' NOTA T PATRIMONIO Y PREVIS'!A1" display="PATRIMONIO NETO  Nota 5 t" xr:uid="{00000000-0004-0000-0200-00000F000000}"/>
    <hyperlink ref="F32" location="'NOTAS M-Q ACREED y CTAS A PAG'!A1" display="OTROS PASIVOS - Nota q" xr:uid="{00000000-0004-0000-0200-000010000000}"/>
  </hyperlinks>
  <pageMargins left="0.25" right="0.25"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2060"/>
    <pageSetUpPr fitToPage="1"/>
  </sheetPr>
  <dimension ref="B3:K115"/>
  <sheetViews>
    <sheetView showGridLines="0" topLeftCell="A101" zoomScale="130" zoomScaleNormal="130" workbookViewId="0">
      <selection activeCell="D110" sqref="D110"/>
    </sheetView>
  </sheetViews>
  <sheetFormatPr baseColWidth="10" defaultColWidth="11.5" defaultRowHeight="14"/>
  <cols>
    <col min="1" max="1" width="5.6640625" style="140" customWidth="1"/>
    <col min="2" max="2" width="55.83203125" style="140" customWidth="1"/>
    <col min="3" max="3" width="3.5" style="140" hidden="1" customWidth="1"/>
    <col min="4" max="5" width="25.83203125" style="140" customWidth="1"/>
    <col min="6" max="6" width="14.1640625" style="140" bestFit="1" customWidth="1"/>
    <col min="7" max="7" width="16.83203125" style="218" hidden="1" customWidth="1"/>
    <col min="8" max="8" width="17.5" style="140" hidden="1" customWidth="1"/>
    <col min="9" max="10" width="13.6640625" style="140" hidden="1" customWidth="1"/>
    <col min="11" max="12" width="0" style="140" hidden="1" customWidth="1"/>
    <col min="13" max="16384" width="11.5" style="140"/>
  </cols>
  <sheetData>
    <row r="3" spans="2:10" ht="15" customHeight="1">
      <c r="B3" s="777"/>
      <c r="C3" s="777"/>
      <c r="D3" s="777"/>
      <c r="E3" s="777"/>
    </row>
    <row r="4" spans="2:10" ht="15" customHeight="1">
      <c r="B4" s="777"/>
      <c r="C4" s="777"/>
      <c r="D4" s="777"/>
      <c r="E4" s="777"/>
    </row>
    <row r="5" spans="2:10">
      <c r="B5" s="777" t="s">
        <v>0</v>
      </c>
      <c r="C5" s="777"/>
      <c r="D5" s="777"/>
      <c r="E5" s="777"/>
    </row>
    <row r="6" spans="2:10">
      <c r="B6" s="777" t="s">
        <v>175</v>
      </c>
      <c r="C6" s="777"/>
      <c r="D6" s="777"/>
      <c r="E6" s="777"/>
    </row>
    <row r="7" spans="2:10" ht="26.25" customHeight="1">
      <c r="B7" s="786" t="s">
        <v>1023</v>
      </c>
      <c r="C7" s="786"/>
      <c r="D7" s="786"/>
      <c r="E7" s="786"/>
    </row>
    <row r="8" spans="2:10">
      <c r="B8" s="820" t="s">
        <v>176</v>
      </c>
      <c r="C8" s="820"/>
      <c r="D8" s="820"/>
      <c r="E8" s="820"/>
    </row>
    <row r="9" spans="2:10" ht="15" thickBot="1">
      <c r="B9" s="824"/>
      <c r="C9" s="824"/>
      <c r="D9" s="824"/>
      <c r="E9" s="824"/>
    </row>
    <row r="10" spans="2:10" ht="15" thickBot="1">
      <c r="B10" s="226"/>
      <c r="C10" s="227"/>
      <c r="D10" s="228">
        <f>+Indice!G7</f>
        <v>45016</v>
      </c>
      <c r="E10" s="228">
        <f>+Indice!H7</f>
        <v>44651</v>
      </c>
    </row>
    <row r="11" spans="2:10">
      <c r="B11" s="229" t="s">
        <v>660</v>
      </c>
      <c r="C11" s="230"/>
      <c r="D11" s="231"/>
      <c r="E11" s="232"/>
      <c r="H11" s="218"/>
    </row>
    <row r="12" spans="2:10">
      <c r="B12" s="233" t="s">
        <v>177</v>
      </c>
      <c r="C12" s="234"/>
      <c r="D12" s="235">
        <f>SUM(D13:D14)</f>
        <v>446307580</v>
      </c>
      <c r="E12" s="236">
        <v>227719857</v>
      </c>
      <c r="G12" s="237">
        <f>+D12+D26+D27+D28+D29+D34+D89+D95+D102</f>
        <v>24147664530</v>
      </c>
      <c r="H12" s="237"/>
    </row>
    <row r="13" spans="2:10">
      <c r="B13" s="238" t="s">
        <v>178</v>
      </c>
      <c r="C13" s="234"/>
      <c r="D13" s="239">
        <v>0</v>
      </c>
      <c r="E13" s="240">
        <v>0</v>
      </c>
    </row>
    <row r="14" spans="2:10">
      <c r="B14" s="238" t="s">
        <v>179</v>
      </c>
      <c r="C14" s="234"/>
      <c r="D14" s="239">
        <f>+'[4]EERR '!$B$6</f>
        <v>446307580</v>
      </c>
      <c r="E14" s="240">
        <v>227719857</v>
      </c>
      <c r="H14" s="212"/>
      <c r="I14" s="212">
        <f>H14-G14</f>
        <v>0</v>
      </c>
      <c r="J14" s="212"/>
    </row>
    <row r="15" spans="2:10">
      <c r="B15" s="238"/>
      <c r="C15" s="234"/>
      <c r="D15" s="239"/>
      <c r="E15" s="240"/>
      <c r="H15" s="212"/>
    </row>
    <row r="16" spans="2:10">
      <c r="B16" s="233" t="s">
        <v>180</v>
      </c>
      <c r="C16" s="234"/>
      <c r="D16" s="239"/>
      <c r="E16" s="240"/>
      <c r="H16" s="217"/>
    </row>
    <row r="17" spans="2:8">
      <c r="B17" s="238" t="s">
        <v>181</v>
      </c>
      <c r="C17" s="234"/>
      <c r="D17" s="239">
        <v>0</v>
      </c>
      <c r="E17" s="240">
        <v>0</v>
      </c>
    </row>
    <row r="18" spans="2:8">
      <c r="B18" s="238" t="s">
        <v>182</v>
      </c>
      <c r="C18" s="234"/>
      <c r="D18" s="239">
        <v>0</v>
      </c>
      <c r="E18" s="240">
        <v>0</v>
      </c>
    </row>
    <row r="19" spans="2:8">
      <c r="B19" s="238"/>
      <c r="C19" s="234"/>
      <c r="D19" s="239"/>
      <c r="E19" s="240"/>
    </row>
    <row r="20" spans="2:8">
      <c r="B20" s="233" t="s">
        <v>183</v>
      </c>
      <c r="C20" s="234"/>
      <c r="D20" s="239"/>
      <c r="E20" s="240"/>
    </row>
    <row r="21" spans="2:8">
      <c r="B21" s="238" t="s">
        <v>184</v>
      </c>
      <c r="C21" s="234"/>
      <c r="D21" s="239">
        <v>0</v>
      </c>
      <c r="E21" s="240">
        <v>0</v>
      </c>
    </row>
    <row r="22" spans="2:8">
      <c r="B22" s="238" t="s">
        <v>185</v>
      </c>
      <c r="C22" s="234"/>
      <c r="D22" s="239">
        <v>0</v>
      </c>
      <c r="E22" s="240">
        <v>0</v>
      </c>
    </row>
    <row r="23" spans="2:8">
      <c r="B23" s="238"/>
      <c r="C23" s="234"/>
      <c r="D23" s="239"/>
      <c r="E23" s="240"/>
    </row>
    <row r="24" spans="2:8">
      <c r="B24" s="233" t="s">
        <v>506</v>
      </c>
      <c r="C24" s="234"/>
      <c r="D24" s="239">
        <v>0</v>
      </c>
      <c r="E24" s="240">
        <v>0</v>
      </c>
    </row>
    <row r="25" spans="2:8">
      <c r="B25" s="233" t="s">
        <v>507</v>
      </c>
      <c r="C25" s="234"/>
      <c r="D25" s="235">
        <v>0</v>
      </c>
      <c r="E25" s="240">
        <v>0</v>
      </c>
    </row>
    <row r="26" spans="2:8">
      <c r="B26" s="233" t="s">
        <v>186</v>
      </c>
      <c r="C26" s="234"/>
      <c r="D26" s="235">
        <f>+'[4]EERR '!$B$12</f>
        <v>39574400</v>
      </c>
      <c r="E26" s="236">
        <v>199471028</v>
      </c>
    </row>
    <row r="27" spans="2:8">
      <c r="B27" s="233" t="s">
        <v>187</v>
      </c>
      <c r="C27" s="234"/>
      <c r="D27" s="241">
        <f>+'[4]EERR '!$B$24</f>
        <v>2983900800</v>
      </c>
      <c r="E27" s="236">
        <v>3740000000</v>
      </c>
    </row>
    <row r="28" spans="2:8">
      <c r="B28" s="233" t="s">
        <v>188</v>
      </c>
      <c r="C28" s="234"/>
      <c r="D28" s="235">
        <f>+'[4]EERR '!$B$16+'[4]EERR '!$B$27-'[4]EERR '!$B$42-'[4]EERR '!$B$43-'[4]EERR '!$B$44-'[4]EERR '!$B$46</f>
        <v>248874643</v>
      </c>
      <c r="E28" s="236">
        <v>5653179542</v>
      </c>
      <c r="F28" s="217"/>
      <c r="H28" s="217"/>
    </row>
    <row r="29" spans="2:8">
      <c r="B29" s="233" t="s">
        <v>189</v>
      </c>
      <c r="C29" s="234"/>
      <c r="D29" s="235">
        <v>0</v>
      </c>
      <c r="E29" s="240">
        <v>0</v>
      </c>
    </row>
    <row r="30" spans="2:8">
      <c r="B30" s="233" t="s">
        <v>190</v>
      </c>
      <c r="C30" s="234"/>
      <c r="D30" s="235">
        <v>0</v>
      </c>
      <c r="E30" s="240">
        <v>126655922</v>
      </c>
    </row>
    <row r="31" spans="2:8">
      <c r="B31" s="238"/>
      <c r="D31" s="239"/>
      <c r="E31" s="240"/>
      <c r="F31" s="218"/>
    </row>
    <row r="32" spans="2:8">
      <c r="B32" s="233" t="s">
        <v>493</v>
      </c>
      <c r="C32" s="234"/>
      <c r="D32" s="239">
        <v>0</v>
      </c>
      <c r="E32" s="240">
        <v>0</v>
      </c>
      <c r="H32" s="218"/>
    </row>
    <row r="33" spans="2:10">
      <c r="B33" s="233"/>
      <c r="C33" s="234"/>
      <c r="E33" s="240"/>
      <c r="H33" s="218"/>
    </row>
    <row r="34" spans="2:10">
      <c r="B34" s="233" t="s">
        <v>191</v>
      </c>
      <c r="C34" s="234"/>
      <c r="D34" s="235">
        <f>SUM(D35:D37)</f>
        <v>707990619</v>
      </c>
      <c r="E34" s="236">
        <v>130918279</v>
      </c>
    </row>
    <row r="35" spans="2:10">
      <c r="B35" s="599" t="s">
        <v>192</v>
      </c>
      <c r="C35" s="234"/>
      <c r="D35" s="235">
        <v>0</v>
      </c>
      <c r="E35" s="236">
        <v>0</v>
      </c>
    </row>
    <row r="36" spans="2:10">
      <c r="B36" s="242" t="s">
        <v>594</v>
      </c>
      <c r="C36" s="220"/>
      <c r="D36" s="239">
        <v>0</v>
      </c>
      <c r="E36" s="240">
        <v>0</v>
      </c>
    </row>
    <row r="37" spans="2:10">
      <c r="B37" s="242" t="s">
        <v>191</v>
      </c>
      <c r="C37" s="220"/>
      <c r="D37" s="239">
        <f>+'[4]EERR '!$B$28+'[4]EERR '!$B$23</f>
        <v>707990619</v>
      </c>
      <c r="E37" s="240">
        <v>130918279</v>
      </c>
      <c r="H37" s="211"/>
      <c r="I37" s="217"/>
      <c r="J37" s="217"/>
    </row>
    <row r="38" spans="2:10">
      <c r="B38" s="238"/>
      <c r="C38" s="220"/>
      <c r="D38" s="239"/>
      <c r="E38" s="240"/>
      <c r="H38" s="211"/>
      <c r="I38" s="217"/>
      <c r="J38" s="217"/>
    </row>
    <row r="39" spans="2:10">
      <c r="B39" s="243" t="s">
        <v>662</v>
      </c>
      <c r="C39" s="220"/>
      <c r="D39" s="235">
        <f>SUM(D40:D42)</f>
        <v>844840039</v>
      </c>
      <c r="E39" s="236">
        <v>2475603522</v>
      </c>
      <c r="H39" s="244"/>
      <c r="I39" s="217"/>
      <c r="J39" s="217"/>
    </row>
    <row r="40" spans="2:10">
      <c r="B40" s="238" t="s">
        <v>193</v>
      </c>
      <c r="C40" s="220"/>
      <c r="D40" s="239">
        <v>0</v>
      </c>
      <c r="E40" s="240">
        <v>0</v>
      </c>
    </row>
    <row r="41" spans="2:10">
      <c r="B41" s="238" t="s">
        <v>194</v>
      </c>
      <c r="C41" s="220"/>
      <c r="D41" s="239">
        <v>0</v>
      </c>
      <c r="E41" s="240">
        <v>156706212</v>
      </c>
    </row>
    <row r="42" spans="2:10">
      <c r="B42" s="238" t="s">
        <v>553</v>
      </c>
      <c r="C42" s="220"/>
      <c r="D42" s="239">
        <f>+'[4]EERR '!$B$37-[4]!Tabla22[[#This Row],[31/3/23]]-'[4]EERR '!$B$43-'[4]EERR '!$B$44-'[4]EERR '!$B$46</f>
        <v>844840039</v>
      </c>
      <c r="E42" s="245">
        <v>2318897310</v>
      </c>
      <c r="H42" s="212"/>
    </row>
    <row r="43" spans="2:10" ht="15" thickBot="1">
      <c r="B43" s="246" t="s">
        <v>195</v>
      </c>
      <c r="C43" s="247"/>
      <c r="D43" s="248">
        <f>+D12+D26+D28+D34-D39+D29+D30+D27</f>
        <v>3581808003</v>
      </c>
      <c r="E43" s="249">
        <v>7602341106</v>
      </c>
    </row>
    <row r="44" spans="2:10">
      <c r="B44" s="250"/>
      <c r="C44" s="251"/>
      <c r="D44" s="252"/>
      <c r="E44" s="232"/>
      <c r="F44" s="220"/>
      <c r="H44" s="217"/>
      <c r="I44" s="237"/>
      <c r="J44" s="237"/>
    </row>
    <row r="45" spans="2:10">
      <c r="B45" s="253" t="s">
        <v>661</v>
      </c>
      <c r="C45" s="234"/>
      <c r="D45" s="235">
        <f>SUM(D46:D48)</f>
        <v>38853575</v>
      </c>
      <c r="E45" s="254">
        <v>64743937</v>
      </c>
      <c r="F45" s="220"/>
    </row>
    <row r="46" spans="2:10">
      <c r="B46" s="242" t="s">
        <v>754</v>
      </c>
      <c r="C46" s="234"/>
      <c r="D46" s="239">
        <v>0</v>
      </c>
      <c r="E46" s="163">
        <v>0</v>
      </c>
      <c r="F46" s="220"/>
    </row>
    <row r="47" spans="2:10">
      <c r="B47" s="242" t="s">
        <v>755</v>
      </c>
      <c r="C47" s="234"/>
      <c r="D47" s="239">
        <v>0</v>
      </c>
      <c r="E47" s="163">
        <v>0</v>
      </c>
      <c r="F47" s="255"/>
    </row>
    <row r="48" spans="2:10">
      <c r="B48" s="242" t="s">
        <v>756</v>
      </c>
      <c r="C48" s="234"/>
      <c r="D48" s="239">
        <f>+'[4]EERR '!$B$49</f>
        <v>38853575</v>
      </c>
      <c r="E48" s="163">
        <v>64743937</v>
      </c>
      <c r="F48" s="220"/>
    </row>
    <row r="49" spans="2:10">
      <c r="B49" s="242"/>
      <c r="C49" s="220"/>
      <c r="D49" s="239"/>
      <c r="E49" s="163"/>
      <c r="F49" s="220"/>
    </row>
    <row r="50" spans="2:10" ht="15">
      <c r="B50" s="253" t="s">
        <v>910</v>
      </c>
      <c r="C50" s="220" t="s">
        <v>910</v>
      </c>
      <c r="D50" s="235">
        <v>1900645486</v>
      </c>
      <c r="E50" s="254">
        <v>2164356180</v>
      </c>
      <c r="F50" s="220"/>
      <c r="H50" s="696" t="s">
        <v>910</v>
      </c>
      <c r="I50" s="697">
        <v>1900645486</v>
      </c>
      <c r="J50" s="697">
        <v>2164356180</v>
      </c>
    </row>
    <row r="51" spans="2:10" s="258" customFormat="1" ht="15">
      <c r="B51" s="256" t="s">
        <v>729</v>
      </c>
      <c r="C51" s="234" t="s">
        <v>729</v>
      </c>
      <c r="D51" s="235">
        <v>860550302</v>
      </c>
      <c r="E51" s="254">
        <v>738976803</v>
      </c>
      <c r="F51" s="234"/>
      <c r="G51" s="257"/>
      <c r="H51" s="698" t="s">
        <v>729</v>
      </c>
      <c r="I51" s="699">
        <v>860550302</v>
      </c>
      <c r="J51" s="699">
        <v>738976803</v>
      </c>
    </row>
    <row r="52" spans="2:10" s="260" customFormat="1" ht="15">
      <c r="B52" s="242" t="s">
        <v>730</v>
      </c>
      <c r="C52" s="220" t="s">
        <v>730</v>
      </c>
      <c r="D52" s="239">
        <v>703706503</v>
      </c>
      <c r="E52" s="163">
        <v>612150889</v>
      </c>
      <c r="F52" s="255"/>
      <c r="G52" s="259"/>
      <c r="H52" s="700" t="s">
        <v>730</v>
      </c>
      <c r="I52" s="701">
        <v>703706503</v>
      </c>
      <c r="J52" s="701">
        <v>612150889</v>
      </c>
    </row>
    <row r="53" spans="2:10" ht="15">
      <c r="B53" s="242" t="s">
        <v>201</v>
      </c>
      <c r="C53" s="220" t="s">
        <v>201</v>
      </c>
      <c r="D53" s="239">
        <v>120753524</v>
      </c>
      <c r="E53" s="163">
        <v>101004898</v>
      </c>
      <c r="F53" s="220"/>
      <c r="H53" s="702" t="s">
        <v>201</v>
      </c>
      <c r="I53" s="703">
        <v>120753524</v>
      </c>
      <c r="J53" s="703">
        <v>101004898</v>
      </c>
    </row>
    <row r="54" spans="2:10" ht="15">
      <c r="B54" s="242" t="s">
        <v>731</v>
      </c>
      <c r="C54" s="220" t="s">
        <v>731</v>
      </c>
      <c r="D54" s="239">
        <v>28635816</v>
      </c>
      <c r="E54" s="163">
        <v>4657318</v>
      </c>
      <c r="F54" s="220"/>
      <c r="H54" s="700" t="s">
        <v>731</v>
      </c>
      <c r="I54" s="701">
        <v>28635816</v>
      </c>
      <c r="J54" s="701">
        <v>4657318</v>
      </c>
    </row>
    <row r="55" spans="2:10" ht="15">
      <c r="B55" s="242" t="s">
        <v>925</v>
      </c>
      <c r="C55" s="220" t="s">
        <v>732</v>
      </c>
      <c r="D55" s="239">
        <v>2476638</v>
      </c>
      <c r="E55" s="163">
        <v>0</v>
      </c>
      <c r="F55" s="220"/>
      <c r="H55" s="702" t="s">
        <v>925</v>
      </c>
      <c r="I55" s="703">
        <v>2476638</v>
      </c>
      <c r="J55" s="703">
        <v>0</v>
      </c>
    </row>
    <row r="56" spans="2:10" ht="15">
      <c r="B56" s="242" t="s">
        <v>732</v>
      </c>
      <c r="C56" s="220" t="s">
        <v>733</v>
      </c>
      <c r="D56" s="239">
        <v>2300000</v>
      </c>
      <c r="E56" s="163">
        <v>18874375</v>
      </c>
      <c r="F56" s="220"/>
      <c r="H56" s="700" t="s">
        <v>732</v>
      </c>
      <c r="I56" s="701">
        <v>2300000</v>
      </c>
      <c r="J56" s="701">
        <v>18874375</v>
      </c>
    </row>
    <row r="57" spans="2:10" ht="15">
      <c r="B57" s="242" t="s">
        <v>733</v>
      </c>
      <c r="C57" s="220" t="s">
        <v>911</v>
      </c>
      <c r="D57" s="239">
        <v>2677821</v>
      </c>
      <c r="E57" s="163">
        <v>2289323</v>
      </c>
      <c r="F57" s="220"/>
      <c r="H57" s="702" t="s">
        <v>733</v>
      </c>
      <c r="I57" s="703">
        <v>2677821</v>
      </c>
      <c r="J57" s="703">
        <v>2289323</v>
      </c>
    </row>
    <row r="58" spans="2:10" s="258" customFormat="1" ht="15">
      <c r="B58" s="256" t="s">
        <v>911</v>
      </c>
      <c r="C58" s="234" t="s">
        <v>912</v>
      </c>
      <c r="D58" s="235">
        <v>310854707</v>
      </c>
      <c r="E58" s="254">
        <v>356875856</v>
      </c>
      <c r="F58" s="234"/>
      <c r="G58" s="257"/>
      <c r="H58" s="704" t="s">
        <v>911</v>
      </c>
      <c r="I58" s="705">
        <v>310854707</v>
      </c>
      <c r="J58" s="705">
        <v>356875856</v>
      </c>
    </row>
    <row r="59" spans="2:10" ht="15">
      <c r="B59" s="242" t="s">
        <v>912</v>
      </c>
      <c r="C59" s="220" t="s">
        <v>734</v>
      </c>
      <c r="D59" s="239">
        <v>302841272</v>
      </c>
      <c r="E59" s="163">
        <v>306454546</v>
      </c>
      <c r="F59" s="220"/>
      <c r="H59" s="702" t="s">
        <v>912</v>
      </c>
      <c r="I59" s="703">
        <v>302841272</v>
      </c>
      <c r="J59" s="703">
        <v>306454546</v>
      </c>
    </row>
    <row r="60" spans="2:10" s="258" customFormat="1" ht="15">
      <c r="B60" s="242" t="s">
        <v>734</v>
      </c>
      <c r="C60" s="220" t="s">
        <v>735</v>
      </c>
      <c r="D60" s="239">
        <v>8013435</v>
      </c>
      <c r="E60" s="163">
        <v>50421310</v>
      </c>
      <c r="F60" s="234"/>
      <c r="G60" s="257"/>
      <c r="H60" s="700" t="s">
        <v>734</v>
      </c>
      <c r="I60" s="701">
        <v>8013435</v>
      </c>
      <c r="J60" s="701">
        <v>50421310</v>
      </c>
    </row>
    <row r="61" spans="2:10" s="258" customFormat="1" ht="15">
      <c r="B61" s="256" t="s">
        <v>735</v>
      </c>
      <c r="C61" s="234" t="s">
        <v>736</v>
      </c>
      <c r="D61" s="235">
        <v>729240477</v>
      </c>
      <c r="E61" s="254">
        <v>1068503521</v>
      </c>
      <c r="F61" s="234"/>
      <c r="G61" s="257"/>
      <c r="H61" s="698" t="s">
        <v>735</v>
      </c>
      <c r="I61" s="699">
        <v>729240477</v>
      </c>
      <c r="J61" s="699">
        <v>1068503521</v>
      </c>
    </row>
    <row r="62" spans="2:10" ht="15">
      <c r="B62" s="242" t="s">
        <v>736</v>
      </c>
      <c r="C62" s="220" t="s">
        <v>737</v>
      </c>
      <c r="D62" s="239">
        <v>204414186</v>
      </c>
      <c r="E62" s="163">
        <v>104879378</v>
      </c>
      <c r="F62" s="220"/>
      <c r="H62" s="700" t="s">
        <v>736</v>
      </c>
      <c r="I62" s="701">
        <v>204414186</v>
      </c>
      <c r="J62" s="701">
        <v>104879378</v>
      </c>
    </row>
    <row r="63" spans="2:10" s="258" customFormat="1" ht="15">
      <c r="B63" s="242" t="s">
        <v>737</v>
      </c>
      <c r="C63" s="220" t="s">
        <v>738</v>
      </c>
      <c r="D63" s="239">
        <v>166447647</v>
      </c>
      <c r="E63" s="163">
        <v>120828269</v>
      </c>
      <c r="F63" s="234"/>
      <c r="G63" s="257"/>
      <c r="H63" s="702" t="s">
        <v>737</v>
      </c>
      <c r="I63" s="703">
        <v>166447647</v>
      </c>
      <c r="J63" s="703">
        <v>120828269</v>
      </c>
    </row>
    <row r="64" spans="2:10" ht="15">
      <c r="B64" s="242" t="s">
        <v>738</v>
      </c>
      <c r="C64" s="220" t="s">
        <v>739</v>
      </c>
      <c r="D64" s="239">
        <v>73434770</v>
      </c>
      <c r="E64" s="163">
        <v>144157578</v>
      </c>
      <c r="F64" s="220"/>
      <c r="H64" s="700" t="s">
        <v>738</v>
      </c>
      <c r="I64" s="701">
        <v>73434770</v>
      </c>
      <c r="J64" s="701">
        <v>144157578</v>
      </c>
    </row>
    <row r="65" spans="2:10" ht="15">
      <c r="B65" s="242" t="s">
        <v>739</v>
      </c>
      <c r="C65" s="220" t="s">
        <v>740</v>
      </c>
      <c r="D65" s="239">
        <v>44427379</v>
      </c>
      <c r="E65" s="163">
        <v>43209858</v>
      </c>
      <c r="F65" s="220"/>
      <c r="H65" s="702" t="s">
        <v>739</v>
      </c>
      <c r="I65" s="703">
        <v>44427379</v>
      </c>
      <c r="J65" s="703">
        <v>43209858</v>
      </c>
    </row>
    <row r="66" spans="2:10" ht="15">
      <c r="B66" s="242" t="s">
        <v>740</v>
      </c>
      <c r="C66" s="220" t="s">
        <v>741</v>
      </c>
      <c r="D66" s="239">
        <v>203090</v>
      </c>
      <c r="E66" s="163">
        <v>360907</v>
      </c>
      <c r="F66" s="220"/>
      <c r="H66" s="700" t="s">
        <v>740</v>
      </c>
      <c r="I66" s="701">
        <v>203090</v>
      </c>
      <c r="J66" s="701">
        <v>360907</v>
      </c>
    </row>
    <row r="67" spans="2:10" ht="15">
      <c r="B67" s="242" t="s">
        <v>741</v>
      </c>
      <c r="C67" s="220" t="s">
        <v>742</v>
      </c>
      <c r="D67" s="239">
        <v>13945682</v>
      </c>
      <c r="E67" s="163">
        <v>9288615</v>
      </c>
      <c r="F67" s="220"/>
      <c r="H67" s="702" t="s">
        <v>741</v>
      </c>
      <c r="I67" s="703">
        <v>13945682</v>
      </c>
      <c r="J67" s="703">
        <v>9288615</v>
      </c>
    </row>
    <row r="68" spans="2:10" ht="15">
      <c r="B68" s="242" t="s">
        <v>742</v>
      </c>
      <c r="C68" s="220" t="s">
        <v>743</v>
      </c>
      <c r="D68" s="239">
        <v>16923522</v>
      </c>
      <c r="E68" s="163">
        <v>46343200</v>
      </c>
      <c r="F68" s="220"/>
      <c r="H68" s="700" t="s">
        <v>742</v>
      </c>
      <c r="I68" s="701">
        <v>16923522</v>
      </c>
      <c r="J68" s="701">
        <v>46343200</v>
      </c>
    </row>
    <row r="69" spans="2:10" ht="15">
      <c r="B69" s="242" t="s">
        <v>743</v>
      </c>
      <c r="C69" s="220" t="s">
        <v>913</v>
      </c>
      <c r="D69" s="239">
        <v>5230554</v>
      </c>
      <c r="E69" s="163">
        <v>5728189</v>
      </c>
      <c r="F69" s="234"/>
      <c r="H69" s="702" t="s">
        <v>743</v>
      </c>
      <c r="I69" s="703">
        <v>5230554</v>
      </c>
      <c r="J69" s="703">
        <v>5728189</v>
      </c>
    </row>
    <row r="70" spans="2:10" ht="15">
      <c r="B70" s="242" t="s">
        <v>913</v>
      </c>
      <c r="C70" s="220" t="s">
        <v>744</v>
      </c>
      <c r="D70" s="239">
        <v>2862864</v>
      </c>
      <c r="E70" s="163">
        <v>5380464</v>
      </c>
      <c r="F70" s="234"/>
      <c r="H70" s="700" t="s">
        <v>913</v>
      </c>
      <c r="I70" s="701">
        <v>2862864</v>
      </c>
      <c r="J70" s="701">
        <v>5380464</v>
      </c>
    </row>
    <row r="71" spans="2:10" ht="15">
      <c r="B71" s="242" t="s">
        <v>744</v>
      </c>
      <c r="C71" s="220" t="s">
        <v>745</v>
      </c>
      <c r="D71" s="239">
        <v>18374948</v>
      </c>
      <c r="E71" s="163">
        <v>16546280</v>
      </c>
      <c r="F71" s="234"/>
      <c r="H71" s="702" t="s">
        <v>744</v>
      </c>
      <c r="I71" s="703">
        <v>18374948</v>
      </c>
      <c r="J71" s="703">
        <v>16546280</v>
      </c>
    </row>
    <row r="72" spans="2:10" ht="15">
      <c r="B72" s="242" t="s">
        <v>745</v>
      </c>
      <c r="C72" s="220" t="s">
        <v>746</v>
      </c>
      <c r="D72" s="239">
        <v>327273</v>
      </c>
      <c r="E72" s="163">
        <v>472727</v>
      </c>
      <c r="H72" s="700" t="s">
        <v>745</v>
      </c>
      <c r="I72" s="701">
        <v>327273</v>
      </c>
      <c r="J72" s="701">
        <v>472727</v>
      </c>
    </row>
    <row r="73" spans="2:10" ht="15">
      <c r="B73" s="242" t="s">
        <v>746</v>
      </c>
      <c r="C73" s="220" t="s">
        <v>914</v>
      </c>
      <c r="D73" s="239">
        <v>2637273</v>
      </c>
      <c r="E73" s="163">
        <v>12995807</v>
      </c>
      <c r="H73" s="702" t="s">
        <v>746</v>
      </c>
      <c r="I73" s="703">
        <v>2637273</v>
      </c>
      <c r="J73" s="703">
        <v>12995807</v>
      </c>
    </row>
    <row r="74" spans="2:10" ht="15">
      <c r="B74" s="242" t="s">
        <v>914</v>
      </c>
      <c r="C74" s="220" t="s">
        <v>747</v>
      </c>
      <c r="D74" s="239">
        <v>6028162</v>
      </c>
      <c r="E74" s="163">
        <v>7490597</v>
      </c>
      <c r="H74" s="700" t="s">
        <v>914</v>
      </c>
      <c r="I74" s="701">
        <v>6028162</v>
      </c>
      <c r="J74" s="701">
        <v>7490597</v>
      </c>
    </row>
    <row r="75" spans="2:10" ht="15">
      <c r="B75" s="242" t="s">
        <v>747</v>
      </c>
      <c r="C75" s="220" t="s">
        <v>748</v>
      </c>
      <c r="D75" s="239">
        <v>24611078</v>
      </c>
      <c r="E75" s="163">
        <v>4062846</v>
      </c>
      <c r="H75" s="702" t="s">
        <v>747</v>
      </c>
      <c r="I75" s="703">
        <v>24611078</v>
      </c>
      <c r="J75" s="703">
        <v>4062846</v>
      </c>
    </row>
    <row r="76" spans="2:10" ht="15">
      <c r="B76" s="242" t="s">
        <v>748</v>
      </c>
      <c r="C76" s="220" t="s">
        <v>749</v>
      </c>
      <c r="D76" s="239">
        <v>166160</v>
      </c>
      <c r="E76" s="163">
        <v>166160</v>
      </c>
      <c r="H76" s="700" t="s">
        <v>748</v>
      </c>
      <c r="I76" s="701">
        <v>166160</v>
      </c>
      <c r="J76" s="701">
        <v>166160</v>
      </c>
    </row>
    <row r="77" spans="2:10" ht="15">
      <c r="B77" s="242" t="s">
        <v>1032</v>
      </c>
      <c r="C77" s="220" t="s">
        <v>750</v>
      </c>
      <c r="D77" s="239">
        <v>1818182</v>
      </c>
      <c r="E77" s="163">
        <v>0</v>
      </c>
      <c r="H77" s="702" t="s">
        <v>1032</v>
      </c>
      <c r="I77" s="703">
        <v>1818182</v>
      </c>
      <c r="J77" s="703">
        <v>0</v>
      </c>
    </row>
    <row r="78" spans="2:10" ht="15">
      <c r="B78" s="242" t="s">
        <v>750</v>
      </c>
      <c r="C78" s="220" t="s">
        <v>751</v>
      </c>
      <c r="D78" s="239">
        <v>18356436</v>
      </c>
      <c r="E78" s="163">
        <v>25659091</v>
      </c>
      <c r="H78" s="700" t="s">
        <v>750</v>
      </c>
      <c r="I78" s="701">
        <v>18356436</v>
      </c>
      <c r="J78" s="701">
        <v>25659091</v>
      </c>
    </row>
    <row r="79" spans="2:10" s="258" customFormat="1" ht="15">
      <c r="B79" s="256" t="s">
        <v>751</v>
      </c>
      <c r="C79" s="234" t="s">
        <v>752</v>
      </c>
      <c r="D79" s="235">
        <v>129031270</v>
      </c>
      <c r="E79" s="254">
        <v>520898555</v>
      </c>
      <c r="G79" s="257"/>
      <c r="H79" s="698" t="s">
        <v>751</v>
      </c>
      <c r="I79" s="699">
        <v>129031270</v>
      </c>
      <c r="J79" s="699">
        <v>520898555</v>
      </c>
    </row>
    <row r="80" spans="2:10" ht="15">
      <c r="B80" s="242" t="s">
        <v>752</v>
      </c>
      <c r="C80" s="220" t="s">
        <v>753</v>
      </c>
      <c r="D80" s="239">
        <v>17550</v>
      </c>
      <c r="E80" s="163">
        <v>121043807</v>
      </c>
      <c r="H80" s="700" t="s">
        <v>752</v>
      </c>
      <c r="I80" s="701">
        <v>17550</v>
      </c>
      <c r="J80" s="701">
        <v>121043807</v>
      </c>
    </row>
    <row r="81" spans="2:10" ht="15">
      <c r="B81" s="242" t="s">
        <v>1033</v>
      </c>
      <c r="C81" s="220"/>
      <c r="D81" s="239">
        <v>817012</v>
      </c>
      <c r="E81" s="163">
        <v>0</v>
      </c>
      <c r="H81" s="702" t="s">
        <v>1033</v>
      </c>
      <c r="I81" s="703">
        <v>817012</v>
      </c>
      <c r="J81" s="703">
        <v>0</v>
      </c>
    </row>
    <row r="82" spans="2:10" ht="15">
      <c r="B82" s="242" t="s">
        <v>753</v>
      </c>
      <c r="C82" s="220"/>
      <c r="D82" s="239">
        <v>71696900</v>
      </c>
      <c r="E82" s="163">
        <v>399854748</v>
      </c>
      <c r="H82" s="700" t="s">
        <v>753</v>
      </c>
      <c r="I82" s="701">
        <v>71696900</v>
      </c>
      <c r="J82" s="701">
        <v>399854748</v>
      </c>
    </row>
    <row r="83" spans="2:10" ht="15">
      <c r="B83" s="242" t="s">
        <v>936</v>
      </c>
      <c r="C83" s="220"/>
      <c r="D83" s="239">
        <v>56499808</v>
      </c>
      <c r="E83" s="163">
        <v>0</v>
      </c>
      <c r="H83" s="702" t="s">
        <v>936</v>
      </c>
      <c r="I83" s="703">
        <v>56499808</v>
      </c>
      <c r="J83" s="703">
        <v>0</v>
      </c>
    </row>
    <row r="84" spans="2:10" ht="15">
      <c r="B84" s="242"/>
      <c r="C84" s="220"/>
      <c r="D84" s="239"/>
      <c r="E84" s="163"/>
      <c r="H84" s="700"/>
      <c r="I84" s="701"/>
      <c r="J84" s="701"/>
    </row>
    <row r="85" spans="2:10" ht="15" thickBot="1">
      <c r="B85" s="261"/>
      <c r="C85" s="262"/>
      <c r="D85" s="263"/>
      <c r="E85" s="264"/>
    </row>
    <row r="86" spans="2:10">
      <c r="B86" s="265" t="s">
        <v>202</v>
      </c>
      <c r="C86" s="266"/>
      <c r="D86" s="267">
        <f>+D43-D45-D50</f>
        <v>1642308942</v>
      </c>
      <c r="E86" s="245">
        <v>5373240989</v>
      </c>
    </row>
    <row r="87" spans="2:10">
      <c r="B87" s="242"/>
      <c r="C87" s="220"/>
      <c r="D87" s="239"/>
      <c r="E87" s="254"/>
    </row>
    <row r="88" spans="2:10">
      <c r="B88" s="253" t="s">
        <v>664</v>
      </c>
      <c r="C88" s="234"/>
      <c r="D88" s="235">
        <f>+D89-D90</f>
        <v>191634133</v>
      </c>
      <c r="E88" s="254">
        <v>173870673</v>
      </c>
    </row>
    <row r="89" spans="2:10">
      <c r="B89" s="242" t="s">
        <v>203</v>
      </c>
      <c r="C89" s="234"/>
      <c r="D89" s="239">
        <f>+'[4]EERR '!$B$13+'[4]EERR '!$B$14</f>
        <v>191634133</v>
      </c>
      <c r="E89" s="163">
        <v>173870673</v>
      </c>
    </row>
    <row r="90" spans="2:10">
      <c r="B90" s="242" t="s">
        <v>204</v>
      </c>
      <c r="C90" s="234"/>
      <c r="D90" s="239">
        <v>0</v>
      </c>
      <c r="E90" s="163">
        <v>0</v>
      </c>
    </row>
    <row r="91" spans="2:10">
      <c r="B91" s="256"/>
      <c r="C91" s="220"/>
      <c r="D91" s="239"/>
      <c r="E91" s="254"/>
    </row>
    <row r="92" spans="2:10">
      <c r="B92" s="253" t="s">
        <v>663</v>
      </c>
      <c r="C92" s="220"/>
      <c r="D92" s="235">
        <f>+D94+D97</f>
        <v>-2579342139</v>
      </c>
      <c r="E92" s="254">
        <v>905339035</v>
      </c>
      <c r="F92" s="268"/>
      <c r="G92" s="269"/>
      <c r="H92" s="269"/>
    </row>
    <row r="93" spans="2:10">
      <c r="B93" s="256"/>
      <c r="C93" s="220"/>
      <c r="D93" s="235"/>
      <c r="E93" s="254"/>
    </row>
    <row r="94" spans="2:10">
      <c r="B94" s="256" t="s">
        <v>205</v>
      </c>
      <c r="C94" s="220"/>
      <c r="D94" s="235">
        <f>SUM(D95:D96)</f>
        <v>4145949535</v>
      </c>
      <c r="E94" s="254">
        <v>1678994634</v>
      </c>
      <c r="F94" s="217"/>
    </row>
    <row r="95" spans="2:10">
      <c r="B95" s="242" t="s">
        <v>206</v>
      </c>
      <c r="C95" s="220"/>
      <c r="D95" s="239">
        <f>+'[4]EERR '!$B$21+'[4]EERR '!$B$22+'[4]EERR '!$B$25</f>
        <v>2253228818</v>
      </c>
      <c r="E95" s="163">
        <v>1031043888</v>
      </c>
      <c r="F95" s="217"/>
    </row>
    <row r="96" spans="2:10">
      <c r="B96" s="242" t="s">
        <v>207</v>
      </c>
      <c r="C96" s="220"/>
      <c r="D96" s="239">
        <f>-'[4]EERR '!$B$94</f>
        <v>1892720717</v>
      </c>
      <c r="E96" s="163">
        <v>647950746</v>
      </c>
      <c r="F96" s="217"/>
    </row>
    <row r="97" spans="2:11">
      <c r="B97" s="256" t="s">
        <v>208</v>
      </c>
      <c r="C97" s="220"/>
      <c r="D97" s="235">
        <f>SUM(D98:D99)*-1</f>
        <v>-6725291674</v>
      </c>
      <c r="E97" s="254">
        <v>-773655599</v>
      </c>
    </row>
    <row r="98" spans="2:11">
      <c r="B98" s="242" t="s">
        <v>209</v>
      </c>
      <c r="C98" s="220"/>
      <c r="D98" s="239">
        <f>+'[4]EERR '!$B$86</f>
        <v>5646970053</v>
      </c>
      <c r="E98" s="163">
        <v>333074965</v>
      </c>
    </row>
    <row r="99" spans="2:11">
      <c r="B99" s="242" t="s">
        <v>207</v>
      </c>
      <c r="C99" s="220"/>
      <c r="D99" s="239">
        <f>+'[4]EERR '!$B$95</f>
        <v>1078321621</v>
      </c>
      <c r="E99" s="163">
        <v>440580634</v>
      </c>
    </row>
    <row r="100" spans="2:11">
      <c r="B100" s="242"/>
      <c r="C100" s="220"/>
      <c r="D100" s="239"/>
      <c r="E100" s="254"/>
      <c r="I100" s="212"/>
      <c r="J100" s="212"/>
    </row>
    <row r="101" spans="2:11">
      <c r="B101" s="243" t="s">
        <v>665</v>
      </c>
      <c r="C101" s="234"/>
      <c r="D101" s="235">
        <f>+D102-D103</f>
        <v>5804204399</v>
      </c>
      <c r="E101" s="254">
        <v>0</v>
      </c>
    </row>
    <row r="102" spans="2:11">
      <c r="B102" s="238" t="s">
        <v>210</v>
      </c>
      <c r="C102" s="220"/>
      <c r="D102" s="239">
        <f>+'[4]EERR '!$B$33</f>
        <v>17276153537</v>
      </c>
      <c r="E102" s="163">
        <v>0</v>
      </c>
    </row>
    <row r="103" spans="2:11">
      <c r="B103" s="238" t="s">
        <v>211</v>
      </c>
      <c r="C103" s="220"/>
      <c r="D103" s="239">
        <f>+'[4]EERR '!$B$96</f>
        <v>11471949138</v>
      </c>
      <c r="E103" s="163">
        <v>0</v>
      </c>
      <c r="F103" s="217"/>
    </row>
    <row r="104" spans="2:11">
      <c r="B104" s="238"/>
      <c r="C104" s="220"/>
      <c r="D104" s="239"/>
      <c r="E104" s="254"/>
    </row>
    <row r="105" spans="2:11">
      <c r="B105" s="233" t="s">
        <v>212</v>
      </c>
      <c r="C105" s="234"/>
      <c r="D105" s="235">
        <v>0</v>
      </c>
      <c r="E105" s="254">
        <v>0</v>
      </c>
    </row>
    <row r="106" spans="2:11">
      <c r="B106" s="238" t="s">
        <v>213</v>
      </c>
      <c r="C106" s="220"/>
      <c r="D106" s="239">
        <v>0</v>
      </c>
      <c r="E106" s="163">
        <v>0</v>
      </c>
      <c r="F106" s="217"/>
    </row>
    <row r="107" spans="2:11">
      <c r="B107" s="238" t="s">
        <v>214</v>
      </c>
      <c r="C107" s="220"/>
      <c r="D107" s="239">
        <v>0</v>
      </c>
      <c r="E107" s="163"/>
      <c r="F107" s="220"/>
    </row>
    <row r="108" spans="2:11">
      <c r="B108" s="238"/>
      <c r="C108" s="220"/>
      <c r="D108" s="239"/>
      <c r="E108" s="163"/>
    </row>
    <row r="109" spans="2:11">
      <c r="B109" s="270" t="s">
        <v>215</v>
      </c>
      <c r="C109" s="271"/>
      <c r="D109" s="272">
        <f>+D86+D92+D101+D105+D88</f>
        <v>5058805335</v>
      </c>
      <c r="E109" s="273">
        <v>6452450697</v>
      </c>
      <c r="F109" s="212"/>
      <c r="H109" s="217"/>
    </row>
    <row r="110" spans="2:11">
      <c r="B110" s="238"/>
      <c r="C110" s="220"/>
      <c r="D110" s="239"/>
      <c r="E110" s="163"/>
    </row>
    <row r="111" spans="2:11">
      <c r="B111" s="233" t="s">
        <v>216</v>
      </c>
      <c r="C111" s="234"/>
      <c r="D111" s="239">
        <v>0</v>
      </c>
      <c r="E111" s="163">
        <v>0</v>
      </c>
    </row>
    <row r="112" spans="2:11">
      <c r="B112" s="265" t="s">
        <v>113</v>
      </c>
      <c r="C112" s="266"/>
      <c r="D112" s="239">
        <v>0</v>
      </c>
      <c r="E112" s="163">
        <v>0</v>
      </c>
      <c r="K112" s="244"/>
    </row>
    <row r="113" spans="2:11" ht="15" thickBot="1">
      <c r="B113" s="274" t="s">
        <v>217</v>
      </c>
      <c r="C113" s="275"/>
      <c r="D113" s="276">
        <f>+D109-D111-D112</f>
        <v>5058805335</v>
      </c>
      <c r="E113" s="276">
        <f>+E109-E111-E112</f>
        <v>6452450697</v>
      </c>
      <c r="F113" s="211"/>
      <c r="G113" s="140"/>
      <c r="K113" s="244">
        <f>+F113-E113</f>
        <v>-6452450697</v>
      </c>
    </row>
    <row r="114" spans="2:11">
      <c r="B114" s="823" t="s">
        <v>668</v>
      </c>
      <c r="C114" s="823"/>
      <c r="D114" s="823"/>
      <c r="E114" s="823"/>
      <c r="G114" s="140"/>
    </row>
    <row r="115" spans="2:11">
      <c r="D115" s="768">
        <f>+D113-'Balance Gral. Resol. 30'!G77</f>
        <v>0.40999984741210938</v>
      </c>
      <c r="E115" s="769">
        <f>+E113-'[6]Estado de Resultado Resol. 30'!$D$111</f>
        <v>0</v>
      </c>
    </row>
  </sheetData>
  <sheetProtection algorithmName="SHA-512" hashValue="xVBfogq1+MOS3KarXkQw4ybduOAvnRMs+OMYxz8AevvJNcTpjAPxtOTF9S3Z9B5W/qolEvz6scL4C3ecRnXb7g==" saltValue="+ecu9c0HAAqQTPCIDYWinA==" spinCount="100000" sheet="1" objects="1" scenarios="1"/>
  <mergeCells count="7">
    <mergeCell ref="B114:E114"/>
    <mergeCell ref="B8:E9"/>
    <mergeCell ref="B4:E4"/>
    <mergeCell ref="B3:E3"/>
    <mergeCell ref="B5:E5"/>
    <mergeCell ref="B6:E6"/>
    <mergeCell ref="B7:E7"/>
  </mergeCells>
  <phoneticPr fontId="144" type="noConversion"/>
  <hyperlinks>
    <hyperlink ref="B11" location="'NOTA V INGRESOS OPERATIVOS'!A1" display="Ingresos Operativos - Nota v" xr:uid="{00000000-0004-0000-0300-000000000000}"/>
    <hyperlink ref="B45" location="'NOTA W OTROS GASTOS OPER'!A1" display="Gastos de Comercialización -Nota w" xr:uid="{00000000-0004-0000-0300-000001000000}"/>
    <hyperlink ref="B39" location="'NOTA W OTROS GASTOS OPER'!A1" display="Gastos Operativos - Nota W" xr:uid="{00000000-0004-0000-0300-000002000000}"/>
    <hyperlink ref="B50" location="'NOTA W OTROS GASTOS OPER'!A1" display="Gastos de administración - Nota w" xr:uid="{00000000-0004-0000-0300-000003000000}"/>
    <hyperlink ref="B88" location="'NOTA X OTROS INGRESOS Y EGR'!A1" display="Otros ingresos y Egresos" xr:uid="{00000000-0004-0000-0300-000004000000}"/>
    <hyperlink ref="B92" location="'NOTA Y RESULTADOS FINANC'!A1" display="Resultados financieros" xr:uid="{00000000-0004-0000-0300-000005000000}"/>
    <hyperlink ref="B101" location="'NOTA Z RESULT EXTRA'!A1" display="Resultados  extraordinarias -Nota z" xr:uid="{00000000-0004-0000-0300-000006000000}"/>
  </hyperlinks>
  <pageMargins left="0.25" right="0.25" top="0.75" bottom="0.75" header="0.3" footer="0.3"/>
  <pageSetup paperSize="9" scale="76"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2060"/>
  </sheetPr>
  <dimension ref="B1:F59"/>
  <sheetViews>
    <sheetView showGridLines="0" topLeftCell="A34" zoomScale="130" zoomScaleNormal="130" workbookViewId="0">
      <selection activeCell="D26" sqref="D26"/>
    </sheetView>
  </sheetViews>
  <sheetFormatPr baseColWidth="10" defaultColWidth="11.5" defaultRowHeight="14"/>
  <cols>
    <col min="1" max="1" width="11.5" style="140"/>
    <col min="2" max="2" width="5.6640625" style="140" customWidth="1"/>
    <col min="3" max="3" width="55.83203125" style="140" customWidth="1"/>
    <col min="4" max="5" width="25.83203125" style="140" customWidth="1"/>
    <col min="6" max="6" width="14.33203125" style="140" hidden="1" customWidth="1"/>
    <col min="7" max="8" width="0" style="140" hidden="1" customWidth="1"/>
    <col min="9" max="16384" width="11.5" style="140"/>
  </cols>
  <sheetData>
    <row r="1" spans="3:6">
      <c r="C1" s="777"/>
      <c r="D1" s="777"/>
      <c r="E1" s="777"/>
    </row>
    <row r="2" spans="3:6" ht="35.25" customHeight="1">
      <c r="C2" s="777"/>
      <c r="D2" s="777"/>
      <c r="E2" s="777"/>
    </row>
    <row r="3" spans="3:6">
      <c r="C3" s="777" t="s">
        <v>0</v>
      </c>
      <c r="D3" s="777"/>
      <c r="E3" s="777"/>
    </row>
    <row r="4" spans="3:6">
      <c r="C4" s="777" t="s">
        <v>218</v>
      </c>
      <c r="D4" s="777"/>
      <c r="E4" s="777"/>
    </row>
    <row r="5" spans="3:6" ht="19.5" customHeight="1">
      <c r="C5" s="786" t="s">
        <v>1023</v>
      </c>
      <c r="D5" s="786"/>
      <c r="E5" s="827"/>
      <c r="F5" s="786"/>
    </row>
    <row r="6" spans="3:6" ht="19.5" customHeight="1">
      <c r="C6" s="145"/>
      <c r="D6" s="145"/>
      <c r="E6" s="308"/>
      <c r="F6" s="145"/>
    </row>
    <row r="7" spans="3:6">
      <c r="C7" s="826" t="s">
        <v>31</v>
      </c>
      <c r="D7" s="826"/>
      <c r="E7" s="826"/>
    </row>
    <row r="8" spans="3:6" ht="38.25" customHeight="1">
      <c r="C8" s="277"/>
      <c r="D8" s="601">
        <f>+Indice!G5</f>
        <v>45016</v>
      </c>
      <c r="E8" s="278">
        <f>+Indice!H7</f>
        <v>44651</v>
      </c>
    </row>
    <row r="9" spans="3:6">
      <c r="C9" s="279" t="s">
        <v>219</v>
      </c>
      <c r="D9" s="280"/>
      <c r="E9" s="281"/>
    </row>
    <row r="10" spans="3:6" ht="12" customHeight="1">
      <c r="C10" s="282"/>
      <c r="D10" s="283"/>
      <c r="E10" s="284"/>
      <c r="F10" s="220"/>
    </row>
    <row r="11" spans="3:6">
      <c r="C11" s="282" t="s">
        <v>220</v>
      </c>
      <c r="D11" s="284">
        <f>+' Flujo de Fondos Calculo INVEST'!B61</f>
        <v>-6858634454</v>
      </c>
      <c r="E11" s="284">
        <v>12125764035</v>
      </c>
      <c r="F11" s="220"/>
    </row>
    <row r="12" spans="3:6" ht="12.5" customHeight="1">
      <c r="C12" s="282" t="s">
        <v>221</v>
      </c>
      <c r="D12" s="284">
        <f>+' Flujo de Fondos Calculo INVEST'!B64</f>
        <v>-860550302</v>
      </c>
      <c r="E12" s="284">
        <v>-612150889</v>
      </c>
    </row>
    <row r="13" spans="3:6">
      <c r="C13" s="282" t="s">
        <v>222</v>
      </c>
      <c r="D13" s="284">
        <f>+' Flujo de Fondos Calculo INVEST'!B62</f>
        <v>227153491</v>
      </c>
      <c r="E13" s="284">
        <v>173870673</v>
      </c>
    </row>
    <row r="14" spans="3:6">
      <c r="C14" s="282"/>
      <c r="D14" s="284"/>
      <c r="E14" s="284"/>
    </row>
    <row r="15" spans="3:6">
      <c r="C15" s="285" t="s">
        <v>223</v>
      </c>
      <c r="D15" s="286"/>
      <c r="E15" s="286"/>
    </row>
    <row r="16" spans="3:6">
      <c r="C16" s="285" t="s">
        <v>224</v>
      </c>
      <c r="D16" s="287">
        <f>SUM(D11:D14)</f>
        <v>-7492031265</v>
      </c>
      <c r="E16" s="287">
        <v>11687483819</v>
      </c>
    </row>
    <row r="17" spans="3:5">
      <c r="C17" s="288"/>
      <c r="D17" s="286"/>
      <c r="E17" s="286"/>
    </row>
    <row r="18" spans="3:5">
      <c r="C18" s="285" t="s">
        <v>225</v>
      </c>
      <c r="D18" s="286"/>
      <c r="E18" s="286"/>
    </row>
    <row r="19" spans="3:5">
      <c r="C19" s="288"/>
      <c r="D19" s="286"/>
      <c r="E19" s="286"/>
    </row>
    <row r="20" spans="3:5">
      <c r="C20" s="288" t="s">
        <v>226</v>
      </c>
      <c r="D20" s="286">
        <v>0</v>
      </c>
      <c r="E20" s="286">
        <v>0</v>
      </c>
    </row>
    <row r="21" spans="3:5">
      <c r="C21" s="288"/>
      <c r="D21" s="289">
        <f>SUM(D19:D20)</f>
        <v>0</v>
      </c>
      <c r="E21" s="287">
        <v>0</v>
      </c>
    </row>
    <row r="22" spans="3:5">
      <c r="C22" s="285" t="s">
        <v>227</v>
      </c>
      <c r="D22" s="286"/>
      <c r="E22" s="286"/>
    </row>
    <row r="23" spans="3:5">
      <c r="C23" s="288" t="s">
        <v>846</v>
      </c>
      <c r="D23" s="286">
        <f>+' Flujo de Fondos Calculo INVEST'!B65</f>
        <v>4911340727</v>
      </c>
      <c r="E23" s="286">
        <v>-107949240</v>
      </c>
    </row>
    <row r="24" spans="3:5">
      <c r="C24" s="288"/>
      <c r="D24" s="286"/>
      <c r="E24" s="286"/>
    </row>
    <row r="25" spans="3:5">
      <c r="C25" s="285" t="s">
        <v>228</v>
      </c>
      <c r="D25" s="289">
        <f>D16+D21+D23</f>
        <v>-2580690538</v>
      </c>
      <c r="E25" s="287">
        <v>11579534579</v>
      </c>
    </row>
    <row r="26" spans="3:5">
      <c r="C26" s="288"/>
      <c r="D26" s="286"/>
      <c r="E26" s="286"/>
    </row>
    <row r="27" spans="3:5">
      <c r="C27" s="288" t="s">
        <v>216</v>
      </c>
      <c r="D27" s="286">
        <f>+' Flujo de Fondos Calculo INVEST'!B66</f>
        <v>-1031859867</v>
      </c>
      <c r="E27" s="286">
        <v>0</v>
      </c>
    </row>
    <row r="28" spans="3:5">
      <c r="C28" s="288"/>
      <c r="D28" s="286"/>
      <c r="E28" s="286"/>
    </row>
    <row r="29" spans="3:5">
      <c r="C29" s="285" t="s">
        <v>229</v>
      </c>
      <c r="D29" s="287">
        <f>+D25+D27</f>
        <v>-3612550405</v>
      </c>
      <c r="E29" s="287">
        <v>11579534579</v>
      </c>
    </row>
    <row r="30" spans="3:5">
      <c r="C30" s="285"/>
      <c r="D30" s="290"/>
      <c r="E30" s="290"/>
    </row>
    <row r="31" spans="3:5">
      <c r="C31" s="285" t="s">
        <v>230</v>
      </c>
      <c r="D31" s="286"/>
      <c r="E31" s="286"/>
    </row>
    <row r="32" spans="3:5">
      <c r="C32" s="285"/>
      <c r="D32" s="286"/>
      <c r="E32" s="286"/>
    </row>
    <row r="33" spans="2:5">
      <c r="C33" s="288" t="s">
        <v>231</v>
      </c>
      <c r="D33" s="286">
        <f>+' Flujo de Fondos Calculo INVEST'!B70</f>
        <v>25000000</v>
      </c>
      <c r="E33" s="286">
        <v>-3300000000</v>
      </c>
    </row>
    <row r="34" spans="2:5">
      <c r="C34" s="288" t="s">
        <v>232</v>
      </c>
      <c r="D34" s="286">
        <v>0</v>
      </c>
      <c r="E34" s="286">
        <v>0</v>
      </c>
    </row>
    <row r="35" spans="2:5">
      <c r="C35" s="288" t="s">
        <v>233</v>
      </c>
      <c r="D35" s="286">
        <v>0</v>
      </c>
      <c r="E35" s="286">
        <v>0</v>
      </c>
    </row>
    <row r="36" spans="2:5">
      <c r="B36" s="4"/>
      <c r="C36" s="288" t="s">
        <v>234</v>
      </c>
      <c r="D36" s="286">
        <f>+' Flujo de Fondos Calculo INVEST'!B71-1</f>
        <v>17238053669</v>
      </c>
      <c r="E36" s="286">
        <v>-47200668</v>
      </c>
    </row>
    <row r="37" spans="2:5">
      <c r="C37" s="288" t="s">
        <v>235</v>
      </c>
      <c r="D37" s="286">
        <f>+' Flujo de Fondos Calculo INVEST'!B72</f>
        <v>60459024564</v>
      </c>
      <c r="E37" s="286">
        <v>-9569746656</v>
      </c>
    </row>
    <row r="38" spans="2:5">
      <c r="C38" s="288" t="s">
        <v>236</v>
      </c>
      <c r="D38" s="286" t="s">
        <v>509</v>
      </c>
      <c r="E38" s="286" t="s">
        <v>509</v>
      </c>
    </row>
    <row r="39" spans="2:5">
      <c r="C39" s="288" t="s">
        <v>237</v>
      </c>
      <c r="D39" s="286">
        <f>+' Flujo de Fondos Calculo INVEST'!B74</f>
        <v>2983900800</v>
      </c>
      <c r="E39" s="286" t="s">
        <v>509</v>
      </c>
    </row>
    <row r="40" spans="2:5">
      <c r="C40" s="288"/>
      <c r="D40" s="286"/>
      <c r="E40" s="286"/>
    </row>
    <row r="41" spans="2:5">
      <c r="C41" s="285" t="s">
        <v>238</v>
      </c>
      <c r="D41" s="287">
        <f>SUM(D33:D39)</f>
        <v>80705979033</v>
      </c>
      <c r="E41" s="287">
        <v>-12916947324</v>
      </c>
    </row>
    <row r="42" spans="2:5">
      <c r="C42" s="285"/>
      <c r="D42" s="290"/>
      <c r="E42" s="290"/>
    </row>
    <row r="43" spans="2:5">
      <c r="C43" s="285" t="s">
        <v>239</v>
      </c>
      <c r="D43" s="286"/>
      <c r="E43" s="286"/>
    </row>
    <row r="44" spans="2:5">
      <c r="C44" s="285"/>
      <c r="D44" s="286"/>
      <c r="E44" s="286"/>
    </row>
    <row r="45" spans="2:5">
      <c r="C45" s="288" t="s">
        <v>240</v>
      </c>
      <c r="D45" s="286">
        <f>+' Flujo de Fondos Calculo INVEST'!B84</f>
        <v>0</v>
      </c>
      <c r="E45" s="286">
        <v>0</v>
      </c>
    </row>
    <row r="46" spans="2:5">
      <c r="C46" s="288" t="s">
        <v>241</v>
      </c>
      <c r="D46" s="286">
        <f>+' Flujo de Fondos Calculo INVEST'!B82+1</f>
        <v>-70654291540.525604</v>
      </c>
      <c r="E46" s="286">
        <v>4117966713</v>
      </c>
    </row>
    <row r="47" spans="2:5">
      <c r="C47" s="288" t="s">
        <v>242</v>
      </c>
      <c r="D47" s="286">
        <f>+' Flujo de Fondos Calculo INVEST'!B83</f>
        <v>-850615277</v>
      </c>
      <c r="E47" s="286">
        <v>-7500000000</v>
      </c>
    </row>
    <row r="48" spans="2:5" ht="12.75" customHeight="1">
      <c r="C48" s="288" t="s">
        <v>209</v>
      </c>
      <c r="D48" s="286" t="s">
        <v>509</v>
      </c>
      <c r="E48" s="286" t="s">
        <v>509</v>
      </c>
    </row>
    <row r="49" spans="3:6" ht="12.75" customHeight="1">
      <c r="C49" s="288"/>
      <c r="D49" s="286"/>
      <c r="E49" s="286"/>
    </row>
    <row r="50" spans="3:6" ht="12.75" customHeight="1">
      <c r="C50" s="285" t="s">
        <v>243</v>
      </c>
      <c r="D50" s="287">
        <f>SUM(D45:D49)</f>
        <v>-71504906817.525604</v>
      </c>
      <c r="E50" s="287">
        <v>-3382033287</v>
      </c>
    </row>
    <row r="51" spans="3:6">
      <c r="C51" s="288"/>
      <c r="D51" s="286"/>
      <c r="E51" s="286"/>
    </row>
    <row r="52" spans="3:6">
      <c r="C52" s="285" t="s">
        <v>244</v>
      </c>
      <c r="D52" s="286"/>
      <c r="E52" s="286"/>
    </row>
    <row r="53" spans="3:6">
      <c r="C53" s="285"/>
      <c r="D53" s="286"/>
      <c r="E53" s="286"/>
    </row>
    <row r="54" spans="3:6" ht="16.5" customHeight="1">
      <c r="C54" s="288" t="s">
        <v>245</v>
      </c>
      <c r="D54" s="290">
        <f>+D25+D27+D41+D50</f>
        <v>5588521810.4743958</v>
      </c>
      <c r="E54" s="290">
        <v>-4719446032</v>
      </c>
      <c r="F54" s="291"/>
    </row>
    <row r="55" spans="3:6">
      <c r="C55" s="292" t="s">
        <v>246</v>
      </c>
      <c r="D55" s="293">
        <f>+'Balance Gral. Resol. 30'!E14</f>
        <v>1343838368</v>
      </c>
      <c r="E55" s="293">
        <v>6045862180</v>
      </c>
    </row>
    <row r="56" spans="3:6" ht="15" thickBot="1">
      <c r="C56" s="294" t="s">
        <v>247</v>
      </c>
      <c r="D56" s="295">
        <f>D54+D55</f>
        <v>6932360178.4743958</v>
      </c>
      <c r="E56" s="295">
        <v>1326416148</v>
      </c>
    </row>
    <row r="57" spans="3:6" ht="15" thickTop="1">
      <c r="C57" s="825" t="s">
        <v>668</v>
      </c>
      <c r="D57" s="825"/>
      <c r="E57" s="825"/>
    </row>
    <row r="58" spans="3:6" hidden="1">
      <c r="D58" s="244">
        <f>+D56-'Balance Gral. Resol. 30'!D14</f>
        <v>5.8399200439453125E-2</v>
      </c>
    </row>
    <row r="59" spans="3:6">
      <c r="D59" s="768">
        <f>+D56-'Balance Gral. Resol. 30'!D14</f>
        <v>5.8399200439453125E-2</v>
      </c>
      <c r="E59" s="768">
        <f>+E56-'[6]Balance Gral. Resol. 30'!$D$14</f>
        <v>0</v>
      </c>
    </row>
  </sheetData>
  <sheetProtection algorithmName="SHA-512" hashValue="DRmTUb0Oq2EF6FYhj3Gs9xsp81wsG9K6aTpIj47nKxPFtIPr2e0xyw6b1jwIsYxaEjz1VsILSst2OKkenLaJ+w==" saltValue="Pa5zv7tjpf1L+v+u2rj2ew==" spinCount="100000" sheet="1" objects="1" scenarios="1"/>
  <mergeCells count="7">
    <mergeCell ref="C57:E57"/>
    <mergeCell ref="C7:E7"/>
    <mergeCell ref="C1:E1"/>
    <mergeCell ref="C2:E2"/>
    <mergeCell ref="C3:E3"/>
    <mergeCell ref="C4:E4"/>
    <mergeCell ref="C5:F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2060"/>
  </sheetPr>
  <dimension ref="B1:M34"/>
  <sheetViews>
    <sheetView showGridLines="0" topLeftCell="C11" zoomScale="130" zoomScaleNormal="130" workbookViewId="0">
      <selection activeCell="D26" sqref="D26"/>
    </sheetView>
  </sheetViews>
  <sheetFormatPr baseColWidth="10" defaultColWidth="11.5" defaultRowHeight="15"/>
  <cols>
    <col min="1" max="1" width="5.33203125" customWidth="1"/>
    <col min="2" max="2" width="40.33203125" customWidth="1"/>
    <col min="3" max="4" width="15.6640625" style="136" customWidth="1"/>
    <col min="5" max="8" width="21" style="136" customWidth="1"/>
    <col min="9" max="9" width="21" customWidth="1"/>
    <col min="10" max="11" width="15.6640625" customWidth="1"/>
    <col min="12" max="12" width="15.33203125" customWidth="1"/>
    <col min="13" max="13" width="12.83203125" bestFit="1" customWidth="1"/>
  </cols>
  <sheetData>
    <row r="1" spans="2:11" ht="79.25" customHeight="1"/>
    <row r="2" spans="2:11">
      <c r="B2" s="829" t="s">
        <v>0</v>
      </c>
      <c r="C2" s="829"/>
      <c r="D2" s="829"/>
      <c r="E2" s="829"/>
      <c r="F2" s="829"/>
      <c r="G2" s="829"/>
      <c r="H2" s="829"/>
      <c r="I2" s="829"/>
      <c r="J2" s="829"/>
      <c r="K2" s="829"/>
    </row>
    <row r="3" spans="2:11">
      <c r="B3" s="829" t="s">
        <v>248</v>
      </c>
      <c r="C3" s="829"/>
      <c r="D3" s="829"/>
      <c r="E3" s="829"/>
      <c r="F3" s="829"/>
      <c r="G3" s="829"/>
      <c r="H3" s="829"/>
      <c r="I3" s="829"/>
      <c r="J3" s="829"/>
      <c r="K3" s="829"/>
    </row>
    <row r="4" spans="2:11">
      <c r="B4" s="829" t="s">
        <v>1052</v>
      </c>
      <c r="C4" s="829"/>
      <c r="D4" s="829"/>
      <c r="E4" s="829"/>
      <c r="F4" s="829"/>
      <c r="G4" s="829"/>
      <c r="H4" s="829"/>
      <c r="I4" s="829"/>
      <c r="J4" s="829"/>
      <c r="K4" s="829"/>
    </row>
    <row r="5" spans="2:11" ht="15" customHeight="1">
      <c r="B5" s="836" t="s">
        <v>31</v>
      </c>
      <c r="C5" s="836"/>
      <c r="D5" s="836"/>
      <c r="E5" s="836"/>
      <c r="F5" s="836"/>
      <c r="G5" s="836"/>
      <c r="H5" s="836"/>
      <c r="I5" s="836"/>
      <c r="J5" s="836"/>
      <c r="K5" s="836"/>
    </row>
    <row r="6" spans="2:11" ht="15" customHeight="1" thickBot="1">
      <c r="B6" s="225"/>
      <c r="C6" s="225"/>
      <c r="D6"/>
      <c r="E6"/>
      <c r="F6"/>
      <c r="G6"/>
      <c r="H6"/>
    </row>
    <row r="7" spans="2:11" s="420" customFormat="1" ht="13.5" customHeight="1" thickBot="1">
      <c r="B7" s="225"/>
      <c r="C7" s="830" t="s">
        <v>249</v>
      </c>
      <c r="D7" s="831"/>
      <c r="E7" s="830" t="s">
        <v>250</v>
      </c>
      <c r="F7" s="832"/>
      <c r="G7" s="833"/>
      <c r="H7" s="832" t="s">
        <v>251</v>
      </c>
      <c r="I7" s="834"/>
      <c r="J7" s="835" t="s">
        <v>252</v>
      </c>
      <c r="K7" s="833"/>
    </row>
    <row r="8" spans="2:11" s="420" customFormat="1" ht="33" thickBot="1">
      <c r="B8" s="602" t="s">
        <v>253</v>
      </c>
      <c r="C8" s="603" t="s">
        <v>254</v>
      </c>
      <c r="D8" s="604" t="s">
        <v>255</v>
      </c>
      <c r="E8" s="605" t="s">
        <v>256</v>
      </c>
      <c r="F8" s="606" t="s">
        <v>1053</v>
      </c>
      <c r="G8" s="604" t="s">
        <v>257</v>
      </c>
      <c r="H8" s="605" t="s">
        <v>258</v>
      </c>
      <c r="I8" s="607" t="s">
        <v>259</v>
      </c>
      <c r="J8" s="608">
        <f>+'Estado de Resultado Resol. 30'!D10</f>
        <v>45016</v>
      </c>
      <c r="K8" s="609">
        <f>+'Flujo de Efectivo Resol. Res 30'!E8</f>
        <v>44651</v>
      </c>
    </row>
    <row r="9" spans="2:11" s="353" customFormat="1">
      <c r="B9" s="610"/>
      <c r="C9" s="611"/>
      <c r="D9" s="612"/>
      <c r="E9" s="611"/>
      <c r="F9" s="613"/>
      <c r="G9" s="612"/>
      <c r="H9" s="611"/>
      <c r="I9" s="612"/>
      <c r="J9" s="611"/>
      <c r="K9" s="612"/>
    </row>
    <row r="10" spans="2:11" s="353" customFormat="1" ht="24" customHeight="1">
      <c r="B10" s="610" t="s">
        <v>260</v>
      </c>
      <c r="C10" s="611">
        <f>+'Balance Gral. Resol. 30'!H74</f>
        <v>8933184</v>
      </c>
      <c r="D10" s="612">
        <f>+'Balance Gral. Resol. 30'!H64</f>
        <v>42764000001</v>
      </c>
      <c r="E10" s="611">
        <f>+'Balance Gral. Resol. 30'!H67</f>
        <v>1714654982</v>
      </c>
      <c r="F10" s="613">
        <f>+'Balance Gral. Resol. 30'!H69</f>
        <v>151000000</v>
      </c>
      <c r="G10" s="612">
        <f>+'Balance Gral. Resol. 30'!H68</f>
        <v>0</v>
      </c>
      <c r="H10" s="614">
        <f>+'Balance Gral. Resol. 30'!H76</f>
        <v>241757977</v>
      </c>
      <c r="I10" s="612">
        <f>+'Balance Gral. Resol. 30'!H77</f>
        <v>3193551142</v>
      </c>
      <c r="J10" s="615">
        <f>SUM(C10:I10)</f>
        <v>48073897286</v>
      </c>
      <c r="K10" s="616">
        <v>52110264505.369995</v>
      </c>
    </row>
    <row r="11" spans="2:11" s="353" customFormat="1" ht="24" customHeight="1">
      <c r="B11" s="610"/>
      <c r="C11" s="611"/>
      <c r="D11" s="612"/>
      <c r="E11" s="611"/>
      <c r="F11" s="613"/>
      <c r="G11" s="612"/>
      <c r="H11" s="614"/>
      <c r="I11" s="612"/>
      <c r="J11" s="615">
        <f t="shared" ref="J11:J25" si="0">SUM(C11:I11)</f>
        <v>0</v>
      </c>
      <c r="K11" s="616">
        <v>0</v>
      </c>
    </row>
    <row r="12" spans="2:11" s="353" customFormat="1" ht="24" customHeight="1">
      <c r="B12" s="617" t="s">
        <v>261</v>
      </c>
      <c r="C12" s="611"/>
      <c r="D12" s="612"/>
      <c r="E12" s="611"/>
      <c r="F12" s="618"/>
      <c r="G12" s="619"/>
      <c r="H12" s="614"/>
      <c r="I12" s="612"/>
      <c r="J12" s="615">
        <f t="shared" si="0"/>
        <v>0</v>
      </c>
      <c r="K12" s="616">
        <v>0</v>
      </c>
    </row>
    <row r="13" spans="2:11" s="353" customFormat="1" ht="24" customHeight="1">
      <c r="B13" s="610"/>
      <c r="C13" s="611"/>
      <c r="D13" s="612"/>
      <c r="E13" s="611"/>
      <c r="F13" s="618"/>
      <c r="G13" s="619"/>
      <c r="H13" s="614"/>
      <c r="I13" s="612"/>
      <c r="J13" s="615">
        <f t="shared" si="0"/>
        <v>0</v>
      </c>
      <c r="K13" s="616">
        <v>0</v>
      </c>
    </row>
    <row r="14" spans="2:11" s="353" customFormat="1" ht="24" customHeight="1">
      <c r="B14" s="610" t="s">
        <v>262</v>
      </c>
      <c r="C14" s="611" t="s">
        <v>263</v>
      </c>
      <c r="D14" s="612" t="s">
        <v>263</v>
      </c>
      <c r="E14" s="614">
        <f>+E26-E10</f>
        <v>0</v>
      </c>
      <c r="F14" s="618">
        <v>0</v>
      </c>
      <c r="G14" s="619" t="s">
        <v>263</v>
      </c>
      <c r="H14" s="614" t="s">
        <v>263</v>
      </c>
      <c r="I14" s="612" t="s">
        <v>263</v>
      </c>
      <c r="J14" s="615">
        <f t="shared" si="0"/>
        <v>0</v>
      </c>
      <c r="K14" s="616">
        <v>0</v>
      </c>
    </row>
    <row r="15" spans="2:11" s="353" customFormat="1" ht="24" customHeight="1">
      <c r="B15" s="610"/>
      <c r="C15" s="611"/>
      <c r="D15" s="612"/>
      <c r="E15" s="614"/>
      <c r="F15" s="618"/>
      <c r="G15" s="619"/>
      <c r="H15" s="614"/>
      <c r="I15" s="612"/>
      <c r="J15" s="615">
        <f t="shared" si="0"/>
        <v>0</v>
      </c>
      <c r="K15" s="616">
        <v>0</v>
      </c>
    </row>
    <row r="16" spans="2:11" s="353" customFormat="1" ht="24" customHeight="1">
      <c r="B16" s="610" t="s">
        <v>264</v>
      </c>
      <c r="C16" s="611" t="s">
        <v>263</v>
      </c>
      <c r="D16" s="612" t="s">
        <v>263</v>
      </c>
      <c r="E16" s="614" t="s">
        <v>263</v>
      </c>
      <c r="F16" s="600">
        <f>F26-F10</f>
        <v>1000000</v>
      </c>
      <c r="G16" s="619">
        <f>+G26-G10-G24</f>
        <v>0</v>
      </c>
      <c r="H16" s="614" t="s">
        <v>263</v>
      </c>
      <c r="I16" s="612" t="s">
        <v>263</v>
      </c>
      <c r="J16" s="615">
        <f t="shared" si="0"/>
        <v>1000000</v>
      </c>
      <c r="K16" s="616">
        <v>0</v>
      </c>
    </row>
    <row r="17" spans="2:13" s="353" customFormat="1" ht="24" customHeight="1">
      <c r="B17" s="610"/>
      <c r="C17" s="611"/>
      <c r="D17" s="612"/>
      <c r="E17" s="614"/>
      <c r="F17" s="618"/>
      <c r="G17" s="619"/>
      <c r="H17" s="614"/>
      <c r="I17" s="612"/>
      <c r="J17" s="615">
        <f t="shared" si="0"/>
        <v>0</v>
      </c>
      <c r="K17" s="616">
        <v>0</v>
      </c>
    </row>
    <row r="18" spans="2:13" s="353" customFormat="1" ht="24" customHeight="1">
      <c r="B18" s="610" t="s">
        <v>122</v>
      </c>
      <c r="C18" s="611" t="s">
        <v>263</v>
      </c>
      <c r="D18" s="612" t="s">
        <v>263</v>
      </c>
      <c r="E18" s="614" t="s">
        <v>263</v>
      </c>
      <c r="F18" s="600" t="s">
        <v>263</v>
      </c>
      <c r="G18" s="619" t="s">
        <v>263</v>
      </c>
      <c r="H18" s="614" t="s">
        <v>263</v>
      </c>
      <c r="I18" s="612" t="s">
        <v>263</v>
      </c>
      <c r="J18" s="615">
        <f t="shared" si="0"/>
        <v>0</v>
      </c>
      <c r="K18" s="616">
        <v>241757977</v>
      </c>
    </row>
    <row r="19" spans="2:13" s="353" customFormat="1" ht="24" customHeight="1">
      <c r="B19" s="610"/>
      <c r="C19" s="611"/>
      <c r="D19" s="612"/>
      <c r="E19" s="614"/>
      <c r="F19" s="600"/>
      <c r="G19" s="619"/>
      <c r="H19" s="614"/>
      <c r="I19" s="612"/>
      <c r="J19" s="615">
        <f t="shared" si="0"/>
        <v>0</v>
      </c>
      <c r="K19" s="616">
        <v>0</v>
      </c>
    </row>
    <row r="20" spans="2:13" s="353" customFormat="1" ht="24" customHeight="1">
      <c r="B20" s="610" t="s">
        <v>265</v>
      </c>
      <c r="C20" s="611">
        <f>+C26-C10</f>
        <v>0</v>
      </c>
      <c r="E20" s="614">
        <v>0</v>
      </c>
      <c r="F20" s="600" t="s">
        <v>263</v>
      </c>
      <c r="G20" s="619" t="s">
        <v>263</v>
      </c>
      <c r="H20" s="614"/>
      <c r="I20" s="612" t="s">
        <v>263</v>
      </c>
      <c r="J20" s="615">
        <f t="shared" si="0"/>
        <v>0</v>
      </c>
      <c r="K20" s="616">
        <v>0</v>
      </c>
    </row>
    <row r="21" spans="2:13" s="353" customFormat="1" ht="24" customHeight="1">
      <c r="B21" s="610"/>
      <c r="C21" s="611"/>
      <c r="D21" s="612"/>
      <c r="E21" s="614"/>
      <c r="F21" s="600"/>
      <c r="G21" s="619"/>
      <c r="H21" s="614"/>
      <c r="I21" s="612"/>
      <c r="J21" s="615">
        <f t="shared" si="0"/>
        <v>0</v>
      </c>
      <c r="K21" s="616">
        <v>0</v>
      </c>
    </row>
    <row r="22" spans="2:13" s="353" customFormat="1" ht="24" customHeight="1">
      <c r="B22" s="610" t="s">
        <v>266</v>
      </c>
      <c r="C22" s="611" t="s">
        <v>263</v>
      </c>
      <c r="D22" s="612">
        <v>0</v>
      </c>
      <c r="E22" s="614" t="s">
        <v>263</v>
      </c>
      <c r="F22" s="600" t="s">
        <v>263</v>
      </c>
      <c r="G22" s="619" t="s">
        <v>263</v>
      </c>
      <c r="H22" s="614">
        <v>0</v>
      </c>
      <c r="I22" s="612">
        <v>-7500000000</v>
      </c>
      <c r="J22" s="615">
        <f t="shared" si="0"/>
        <v>-7500000000</v>
      </c>
      <c r="K22" s="616">
        <v>-23341757977.369999</v>
      </c>
    </row>
    <row r="23" spans="2:13" s="353" customFormat="1" ht="24" customHeight="1">
      <c r="B23" s="610"/>
      <c r="C23" s="611"/>
      <c r="D23" s="612"/>
      <c r="E23" s="614"/>
      <c r="F23" s="618"/>
      <c r="G23" s="619"/>
      <c r="H23" s="614"/>
      <c r="I23" s="612"/>
      <c r="J23" s="615">
        <f t="shared" si="0"/>
        <v>0</v>
      </c>
      <c r="K23" s="616">
        <v>0</v>
      </c>
    </row>
    <row r="24" spans="2:13" s="353" customFormat="1" ht="24" customHeight="1">
      <c r="B24" s="610" t="s">
        <v>267</v>
      </c>
      <c r="C24" s="611">
        <v>0</v>
      </c>
      <c r="D24" s="612">
        <f>+D26-D27</f>
        <v>-1</v>
      </c>
      <c r="E24" s="614">
        <v>0</v>
      </c>
      <c r="F24" s="600">
        <v>0</v>
      </c>
      <c r="G24" s="619">
        <f>+G26-G10</f>
        <v>0</v>
      </c>
      <c r="H24" s="614">
        <f>+H26-H10</f>
        <v>2342935867</v>
      </c>
      <c r="I24" s="612">
        <f>-I10+7500000000-156000000</f>
        <v>4150448858</v>
      </c>
      <c r="J24" s="615">
        <f t="shared" si="0"/>
        <v>6493384724</v>
      </c>
      <c r="K24" s="616">
        <v>15600000000</v>
      </c>
    </row>
    <row r="25" spans="2:13" s="353" customFormat="1" ht="24" customHeight="1" thickBot="1">
      <c r="B25" s="610" t="s">
        <v>124</v>
      </c>
      <c r="C25" s="620" t="s">
        <v>263</v>
      </c>
      <c r="D25" s="621" t="s">
        <v>263</v>
      </c>
      <c r="E25" s="620" t="s">
        <v>263</v>
      </c>
      <c r="F25" s="622">
        <v>0</v>
      </c>
      <c r="G25" s="621" t="s">
        <v>263</v>
      </c>
      <c r="H25" s="623"/>
      <c r="I25" s="621">
        <f>+I26</f>
        <v>5058805334.5900002</v>
      </c>
      <c r="J25" s="615">
        <f t="shared" si="0"/>
        <v>5058805334.5900002</v>
      </c>
      <c r="K25" s="624">
        <v>6452450696.6400003</v>
      </c>
    </row>
    <row r="26" spans="2:13" s="353" customFormat="1" ht="24" customHeight="1" thickBot="1">
      <c r="B26" s="625" t="s">
        <v>1024</v>
      </c>
      <c r="C26" s="626">
        <f>+'Balance Gral. Resol. 30'!G74</f>
        <v>8933184</v>
      </c>
      <c r="D26" s="627">
        <f>+'Balance Gral. Resol. 30'!G64</f>
        <v>42764000000</v>
      </c>
      <c r="E26" s="628">
        <f>'Balance Gral. Resol. 30'!G67</f>
        <v>1714654982</v>
      </c>
      <c r="F26" s="627">
        <f>+'Balance Gral. Resol. 30'!G69</f>
        <v>152000000</v>
      </c>
      <c r="G26" s="629">
        <f>+'Balance Gral. Resol. 30'!G68</f>
        <v>0</v>
      </c>
      <c r="H26" s="626">
        <f>+'Balance Gral. Resol. 30'!G76</f>
        <v>2584693844</v>
      </c>
      <c r="I26" s="627">
        <f>+'Balance Gral. Resol. 30'!G77</f>
        <v>5058805334.5900002</v>
      </c>
      <c r="J26" s="630">
        <f>SUM(C26:I26)</f>
        <v>52283087344.589996</v>
      </c>
      <c r="K26" s="631">
        <f>SUM(K10:K25)</f>
        <v>51062715201.639999</v>
      </c>
      <c r="L26" s="387"/>
      <c r="M26" s="387"/>
    </row>
    <row r="27" spans="2:13" s="353" customFormat="1" ht="24" customHeight="1" thickBot="1">
      <c r="B27" s="632" t="s">
        <v>1022</v>
      </c>
      <c r="C27" s="633">
        <v>8933184</v>
      </c>
      <c r="D27" s="633">
        <v>42764000001</v>
      </c>
      <c r="E27" s="633">
        <v>1546573343</v>
      </c>
      <c r="F27" s="633">
        <v>49000000</v>
      </c>
      <c r="G27" s="633">
        <v>0</v>
      </c>
      <c r="H27" s="633">
        <v>241757977</v>
      </c>
      <c r="I27" s="633">
        <v>6452450696.6400003</v>
      </c>
      <c r="J27" s="630"/>
      <c r="K27" s="634">
        <f>SUM(C27:I27)</f>
        <v>51062715201.639999</v>
      </c>
      <c r="L27" s="387"/>
    </row>
    <row r="28" spans="2:13">
      <c r="B28" s="828" t="s">
        <v>668</v>
      </c>
      <c r="C28" s="828"/>
      <c r="D28" s="828"/>
      <c r="E28" s="828"/>
      <c r="F28" s="828"/>
      <c r="G28" s="828"/>
      <c r="H28" s="828"/>
      <c r="I28" s="828"/>
      <c r="J28" s="828"/>
      <c r="K28" s="828"/>
    </row>
    <row r="29" spans="2:13" hidden="1">
      <c r="D29" s="136">
        <f>SUM(D10:D25)</f>
        <v>42764000000</v>
      </c>
      <c r="E29" s="136">
        <f t="shared" ref="E29:J29" si="1">SUM(E10:E25)</f>
        <v>1714654982</v>
      </c>
      <c r="F29" s="136">
        <f t="shared" si="1"/>
        <v>152000000</v>
      </c>
      <c r="G29" s="136">
        <f t="shared" si="1"/>
        <v>0</v>
      </c>
      <c r="H29" s="136">
        <f t="shared" si="1"/>
        <v>2584693844</v>
      </c>
      <c r="I29" s="136">
        <f t="shared" si="1"/>
        <v>4902805334.5900002</v>
      </c>
      <c r="J29" s="136">
        <f t="shared" si="1"/>
        <v>52127087344.589996</v>
      </c>
      <c r="K29" s="362">
        <f>+J26-'Balance Gral. Resol. 30'!G79</f>
        <v>0</v>
      </c>
    </row>
    <row r="30" spans="2:13" hidden="1"/>
    <row r="31" spans="2:13" hidden="1">
      <c r="C31" s="362">
        <f t="shared" ref="C31:I31" si="2">+C29-C26</f>
        <v>-8933184</v>
      </c>
      <c r="D31" s="362">
        <f t="shared" si="2"/>
        <v>0</v>
      </c>
      <c r="E31" s="362">
        <f t="shared" si="2"/>
        <v>0</v>
      </c>
      <c r="F31" s="362">
        <f t="shared" si="2"/>
        <v>0</v>
      </c>
      <c r="G31" s="362">
        <f t="shared" si="2"/>
        <v>0</v>
      </c>
      <c r="H31" s="362">
        <f t="shared" si="2"/>
        <v>0</v>
      </c>
      <c r="I31" s="362">
        <f t="shared" si="2"/>
        <v>-156000000</v>
      </c>
      <c r="J31" s="362">
        <f>+J29-J26</f>
        <v>-156000000</v>
      </c>
    </row>
    <row r="32" spans="2:13">
      <c r="J32" s="362">
        <f>+J26-'Balance Gral. Resol. 30'!G79</f>
        <v>0</v>
      </c>
      <c r="K32" s="362">
        <f>+K27-'[6]Estado de Variacion PN '!$J$26</f>
        <v>0</v>
      </c>
    </row>
    <row r="34" spans="10:11">
      <c r="J34" s="362"/>
      <c r="K34" s="362"/>
    </row>
  </sheetData>
  <sheetProtection algorithmName="SHA-512" hashValue="3pZMglyM61A+Dzu167pnRH1jIeD4EPpJAre/RMsnELhZPtTdvlBIGsfr2v0mVHNa6yZl9/4Xet+UIJGLxsAzWw==" saltValue="U9gVhqXKP06cBR1OqDqDoQ==" spinCount="100000" sheet="1" objects="1" scenarios="1"/>
  <mergeCells count="9">
    <mergeCell ref="B28:K28"/>
    <mergeCell ref="B2:K2"/>
    <mergeCell ref="C7:D7"/>
    <mergeCell ref="E7:G7"/>
    <mergeCell ref="H7:I7"/>
    <mergeCell ref="J7:K7"/>
    <mergeCell ref="B3:K3"/>
    <mergeCell ref="B4:K4"/>
    <mergeCell ref="B5:K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32794"/>
  </sheetPr>
  <dimension ref="A1:DG99"/>
  <sheetViews>
    <sheetView zoomScale="98" zoomScaleNormal="98" workbookViewId="0">
      <pane xSplit="1" ySplit="7" topLeftCell="B74" activePane="bottomRight" state="frozen"/>
      <selection pane="topRight" activeCell="B1" sqref="B1"/>
      <selection pane="bottomLeft" activeCell="A8" sqref="A8"/>
      <selection pane="bottomRight" activeCell="E83" sqref="E83"/>
    </sheetView>
  </sheetViews>
  <sheetFormatPr baseColWidth="10" defaultColWidth="11.5" defaultRowHeight="13"/>
  <cols>
    <col min="1" max="1" width="45.6640625" style="22" customWidth="1"/>
    <col min="2" max="2" width="28.33203125" style="22" bestFit="1" customWidth="1"/>
    <col min="3" max="3" width="22.5" style="22" customWidth="1"/>
    <col min="4" max="4" width="19.33203125" style="22" bestFit="1" customWidth="1"/>
    <col min="5" max="5" width="17.33203125" style="22" bestFit="1" customWidth="1"/>
    <col min="6" max="6" width="16" style="22" customWidth="1"/>
    <col min="7" max="7" width="18.5" style="22" bestFit="1" customWidth="1"/>
    <col min="8" max="8" width="14.5" style="22" bestFit="1" customWidth="1"/>
    <col min="9" max="9" width="15.33203125" style="22" customWidth="1"/>
    <col min="10" max="10" width="17.1640625" style="22" customWidth="1"/>
    <col min="11" max="11" width="15.33203125" style="22" customWidth="1"/>
    <col min="12" max="13" width="18.5" style="22" customWidth="1"/>
    <col min="14" max="14" width="20.1640625" style="22" bestFit="1" customWidth="1"/>
    <col min="15" max="15" width="17.5" style="22" customWidth="1"/>
    <col min="16" max="16384" width="11.5" style="22"/>
  </cols>
  <sheetData>
    <row r="1" spans="1:15" ht="18">
      <c r="A1" s="20" t="s">
        <v>757</v>
      </c>
      <c r="B1" s="21"/>
      <c r="C1" s="21"/>
      <c r="D1" s="21"/>
      <c r="E1" s="21"/>
      <c r="F1" s="21"/>
      <c r="G1" s="21"/>
      <c r="H1" s="21"/>
      <c r="I1" s="21"/>
      <c r="J1" s="21"/>
      <c r="K1" s="21"/>
      <c r="L1" s="21"/>
      <c r="M1" s="21"/>
      <c r="N1" s="21"/>
      <c r="O1" s="21"/>
    </row>
    <row r="2" spans="1:15" ht="18">
      <c r="A2" s="20"/>
      <c r="B2" s="21"/>
      <c r="C2" s="21"/>
      <c r="D2" s="21"/>
      <c r="E2" s="21"/>
      <c r="F2" s="21" t="s">
        <v>758</v>
      </c>
      <c r="G2" s="21" t="s">
        <v>759</v>
      </c>
      <c r="H2" s="21"/>
      <c r="I2" s="21"/>
      <c r="J2" s="21"/>
      <c r="K2" s="21"/>
      <c r="L2" s="21"/>
      <c r="M2" s="21"/>
      <c r="N2" s="21"/>
      <c r="O2" s="21"/>
    </row>
    <row r="3" spans="1:15" ht="19" thickBot="1">
      <c r="A3" s="20"/>
      <c r="B3" s="21"/>
      <c r="C3" s="21"/>
      <c r="D3" s="21"/>
      <c r="E3" s="21"/>
      <c r="F3" s="21" t="s">
        <v>760</v>
      </c>
      <c r="G3" s="21" t="s">
        <v>761</v>
      </c>
      <c r="H3" s="21"/>
      <c r="I3" s="21"/>
      <c r="J3" s="21"/>
      <c r="K3" s="21"/>
      <c r="L3" s="21"/>
      <c r="M3" s="21"/>
      <c r="N3" s="21"/>
      <c r="O3" s="21"/>
    </row>
    <row r="4" spans="1:15">
      <c r="A4" s="23"/>
      <c r="B4" s="24"/>
      <c r="C4" s="25"/>
      <c r="D4" s="26"/>
      <c r="E4" s="24"/>
      <c r="F4" s="24"/>
      <c r="G4" s="23"/>
      <c r="H4" s="27"/>
      <c r="I4" s="27"/>
      <c r="J4" s="27"/>
      <c r="K4" s="27"/>
      <c r="L4" s="27"/>
      <c r="M4" s="28" t="s">
        <v>762</v>
      </c>
      <c r="N4" s="28" t="s">
        <v>763</v>
      </c>
      <c r="O4" s="29"/>
    </row>
    <row r="5" spans="1:15" ht="14" thickBot="1">
      <c r="A5" s="30" t="s">
        <v>253</v>
      </c>
      <c r="B5" s="31" t="s">
        <v>764</v>
      </c>
      <c r="C5" s="32" t="s">
        <v>765</v>
      </c>
      <c r="D5" s="33"/>
      <c r="E5" s="31" t="s">
        <v>764</v>
      </c>
      <c r="F5" s="31" t="s">
        <v>766</v>
      </c>
      <c r="G5" s="34" t="s">
        <v>767</v>
      </c>
      <c r="H5" s="35"/>
      <c r="I5" s="35"/>
      <c r="J5" s="35"/>
      <c r="K5" s="35"/>
      <c r="L5" s="35"/>
      <c r="M5" s="31" t="s">
        <v>768</v>
      </c>
      <c r="N5" s="36" t="s">
        <v>769</v>
      </c>
      <c r="O5" s="37" t="s">
        <v>770</v>
      </c>
    </row>
    <row r="6" spans="1:15">
      <c r="A6" s="38"/>
      <c r="B6" s="31" t="s">
        <v>251</v>
      </c>
      <c r="C6" s="24"/>
      <c r="D6" s="39"/>
      <c r="E6" s="31" t="s">
        <v>251</v>
      </c>
      <c r="F6" s="28" t="s">
        <v>771</v>
      </c>
      <c r="G6" s="40" t="s">
        <v>772</v>
      </c>
      <c r="H6" s="28" t="s">
        <v>773</v>
      </c>
      <c r="I6" s="41" t="s">
        <v>774</v>
      </c>
      <c r="J6" s="41" t="s">
        <v>775</v>
      </c>
      <c r="K6" s="42" t="s">
        <v>776</v>
      </c>
      <c r="L6" s="43" t="s">
        <v>777</v>
      </c>
      <c r="M6" s="41" t="s">
        <v>778</v>
      </c>
      <c r="N6" s="41" t="s">
        <v>778</v>
      </c>
      <c r="O6" s="37"/>
    </row>
    <row r="7" spans="1:15" ht="15" thickBot="1">
      <c r="A7" s="44"/>
      <c r="B7" s="138">
        <f>+Indice!G5</f>
        <v>45016</v>
      </c>
      <c r="C7" s="46" t="s">
        <v>771</v>
      </c>
      <c r="D7" s="47" t="s">
        <v>98</v>
      </c>
      <c r="E7" s="45" t="s">
        <v>1034</v>
      </c>
      <c r="F7" s="46" t="s">
        <v>779</v>
      </c>
      <c r="G7" s="48" t="s">
        <v>780</v>
      </c>
      <c r="H7" s="46" t="s">
        <v>781</v>
      </c>
      <c r="I7" s="49" t="s">
        <v>782</v>
      </c>
      <c r="J7" s="50" t="s">
        <v>783</v>
      </c>
      <c r="K7" s="50" t="s">
        <v>784</v>
      </c>
      <c r="L7" s="51" t="s">
        <v>785</v>
      </c>
      <c r="M7" s="49" t="s">
        <v>786</v>
      </c>
      <c r="N7" s="49" t="s">
        <v>786</v>
      </c>
      <c r="O7" s="52"/>
    </row>
    <row r="8" spans="1:15">
      <c r="A8" s="53" t="s">
        <v>787</v>
      </c>
      <c r="B8" s="54"/>
      <c r="C8" s="54"/>
      <c r="D8" s="55"/>
      <c r="E8" s="54"/>
      <c r="F8" s="54"/>
      <c r="G8" s="54"/>
      <c r="H8" s="54"/>
      <c r="I8" s="54"/>
      <c r="J8" s="54"/>
      <c r="K8" s="54"/>
      <c r="L8" s="54"/>
      <c r="M8" s="54"/>
      <c r="N8" s="54"/>
      <c r="O8" s="56"/>
    </row>
    <row r="9" spans="1:15">
      <c r="A9" s="57" t="s">
        <v>303</v>
      </c>
      <c r="B9" s="58">
        <f>+'Balance Gral. Resol. 30'!D14</f>
        <v>6932360178.4159966</v>
      </c>
      <c r="C9" s="58"/>
      <c r="D9" s="59"/>
      <c r="E9" s="58">
        <f>+'Balance Gral. Resol. 30'!E14</f>
        <v>1343838368</v>
      </c>
      <c r="F9" s="58">
        <f t="shared" ref="F9:F21" si="0">B9-E9+C9-D9</f>
        <v>5588521810.4159966</v>
      </c>
      <c r="G9" s="58"/>
      <c r="H9" s="58"/>
      <c r="I9" s="58"/>
      <c r="J9" s="58"/>
      <c r="K9" s="58"/>
      <c r="L9" s="58"/>
      <c r="M9" s="137"/>
      <c r="N9" s="58"/>
      <c r="O9" s="60">
        <f>F9</f>
        <v>5588521810.4159966</v>
      </c>
    </row>
    <row r="10" spans="1:15">
      <c r="A10" s="57" t="s">
        <v>788</v>
      </c>
      <c r="B10" s="58">
        <f>2271667608-B11</f>
        <v>1239807741</v>
      </c>
      <c r="C10" s="58"/>
      <c r="D10" s="59"/>
      <c r="E10" s="58">
        <v>517257872</v>
      </c>
      <c r="F10" s="58">
        <f t="shared" si="0"/>
        <v>722549869</v>
      </c>
      <c r="G10" s="58"/>
      <c r="H10" s="58"/>
      <c r="I10" s="58"/>
      <c r="J10" s="58"/>
      <c r="K10" s="58"/>
      <c r="L10" s="58">
        <f>-F10</f>
        <v>-722549869</v>
      </c>
      <c r="M10" s="137"/>
      <c r="N10" s="58"/>
      <c r="O10" s="60"/>
    </row>
    <row r="11" spans="1:15">
      <c r="A11" s="61" t="s">
        <v>789</v>
      </c>
      <c r="B11" s="62">
        <f>2056310212-1024450345</f>
        <v>1031859867</v>
      </c>
      <c r="C11" s="62">
        <f>D53</f>
        <v>0</v>
      </c>
      <c r="D11" s="63"/>
      <c r="E11" s="62">
        <v>0</v>
      </c>
      <c r="F11" s="58">
        <f t="shared" si="0"/>
        <v>1031859867</v>
      </c>
      <c r="G11" s="58"/>
      <c r="H11" s="58"/>
      <c r="I11" s="58"/>
      <c r="J11" s="58">
        <f>-F11</f>
        <v>-1031859867</v>
      </c>
      <c r="K11" s="58"/>
      <c r="L11" s="58"/>
      <c r="M11" s="137"/>
      <c r="N11" s="58"/>
      <c r="O11" s="60"/>
    </row>
    <row r="12" spans="1:15">
      <c r="A12" s="64" t="s">
        <v>390</v>
      </c>
      <c r="B12" s="65">
        <f>+'Balance Gral. Resol. 30'!D24</f>
        <v>15521264341</v>
      </c>
      <c r="C12" s="65"/>
      <c r="D12" s="66"/>
      <c r="E12" s="65">
        <f>+'Balance Gral. Resol. 30'!E24</f>
        <v>5812238997</v>
      </c>
      <c r="F12" s="58">
        <f t="shared" si="0"/>
        <v>9709025344</v>
      </c>
      <c r="G12" s="65">
        <f>-F12</f>
        <v>-9709025344</v>
      </c>
      <c r="H12" s="65"/>
      <c r="I12" s="65"/>
      <c r="J12" s="65"/>
      <c r="K12" s="65"/>
      <c r="L12" s="65"/>
      <c r="M12" s="65"/>
      <c r="N12" s="65"/>
      <c r="O12" s="67"/>
    </row>
    <row r="13" spans="1:15">
      <c r="A13" s="64" t="s">
        <v>790</v>
      </c>
      <c r="B13" s="65">
        <f>+'Balance Gral. Resol. 30'!D31-B12-B11-B10</f>
        <v>3347851356</v>
      </c>
      <c r="C13" s="65"/>
      <c r="D13" s="65"/>
      <c r="E13" s="65">
        <f>+'Balance Gral. Resol. 30'!E31-E12-E11-E10</f>
        <v>5296259343</v>
      </c>
      <c r="F13" s="58">
        <f t="shared" si="0"/>
        <v>-1948407987</v>
      </c>
      <c r="H13" s="65"/>
      <c r="I13" s="65"/>
      <c r="J13" s="65"/>
      <c r="K13" s="65"/>
      <c r="L13" s="65">
        <f>-F13</f>
        <v>1948407987</v>
      </c>
      <c r="M13" s="65"/>
      <c r="N13" s="65"/>
      <c r="O13" s="67"/>
    </row>
    <row r="14" spans="1:15">
      <c r="A14" s="68" t="s">
        <v>791</v>
      </c>
      <c r="B14" s="69">
        <v>0</v>
      </c>
      <c r="C14" s="69"/>
      <c r="D14" s="69"/>
      <c r="E14" s="69">
        <v>0</v>
      </c>
      <c r="F14" s="58">
        <f t="shared" si="0"/>
        <v>0</v>
      </c>
      <c r="G14" s="70"/>
      <c r="H14" s="70"/>
      <c r="I14" s="70"/>
      <c r="J14" s="70"/>
      <c r="K14" s="70"/>
      <c r="L14" s="70"/>
      <c r="M14" s="70"/>
      <c r="N14" s="70"/>
      <c r="O14" s="71"/>
    </row>
    <row r="15" spans="1:15">
      <c r="A15" s="64" t="s">
        <v>792</v>
      </c>
      <c r="B15" s="65">
        <f>+'Balance Gral. Resol. 30'!D22</f>
        <v>69093153318</v>
      </c>
      <c r="C15" s="65"/>
      <c r="D15" s="65">
        <f>+C40</f>
        <v>0</v>
      </c>
      <c r="E15" s="65">
        <f>+'Balance Gral. Resol. 30'!E22</f>
        <v>129552177882</v>
      </c>
      <c r="F15" s="58">
        <f t="shared" si="0"/>
        <v>-60459024564</v>
      </c>
      <c r="G15" s="65"/>
      <c r="H15" s="65"/>
      <c r="I15" s="65"/>
      <c r="J15" s="65"/>
      <c r="K15" s="65"/>
      <c r="L15" s="65"/>
      <c r="M15" s="65">
        <f>-F15</f>
        <v>60459024564</v>
      </c>
      <c r="N15" s="65"/>
      <c r="O15" s="67"/>
    </row>
    <row r="16" spans="1:15">
      <c r="A16" s="64" t="s">
        <v>793</v>
      </c>
      <c r="B16" s="65">
        <f>+'Balance Gral. Resol. 30'!D50</f>
        <v>61112951703</v>
      </c>
      <c r="C16" s="65"/>
      <c r="D16" s="65">
        <f>+C34</f>
        <v>1000000</v>
      </c>
      <c r="E16" s="65">
        <f>+'Balance Gral. Resol. 30'!E50</f>
        <v>61136951703</v>
      </c>
      <c r="F16" s="58">
        <f t="shared" si="0"/>
        <v>-25000000</v>
      </c>
      <c r="G16" s="65"/>
      <c r="H16" s="65"/>
      <c r="I16" s="65"/>
      <c r="J16" s="65"/>
      <c r="K16" s="65"/>
      <c r="L16" s="65"/>
      <c r="M16" s="65">
        <f>-F16</f>
        <v>25000000</v>
      </c>
      <c r="N16" s="65"/>
      <c r="O16" s="67"/>
    </row>
    <row r="17" spans="1:18">
      <c r="A17" s="68" t="s">
        <v>794</v>
      </c>
      <c r="B17" s="69">
        <f>+'Balance Gral. Resol. 30'!D62</f>
        <v>1350102269</v>
      </c>
      <c r="C17" s="72"/>
      <c r="D17" s="69"/>
      <c r="E17" s="69">
        <f>+'Balance Gral. Resol. 30'!E62</f>
        <v>13448989072</v>
      </c>
      <c r="F17" s="58">
        <f t="shared" si="0"/>
        <v>-12098886803</v>
      </c>
      <c r="G17" s="65"/>
      <c r="H17" s="65"/>
      <c r="I17" s="65"/>
      <c r="J17" s="65"/>
      <c r="K17" s="65"/>
      <c r="L17" s="65"/>
      <c r="M17" s="65">
        <f>-F17</f>
        <v>12098886803</v>
      </c>
      <c r="N17" s="65"/>
      <c r="O17" s="67"/>
    </row>
    <row r="18" spans="1:18">
      <c r="A18" s="73" t="s">
        <v>795</v>
      </c>
      <c r="B18" s="74">
        <f>+'Balance Gral. Resol. 30'!D63</f>
        <v>-699841823</v>
      </c>
      <c r="C18" s="74"/>
      <c r="D18" s="75">
        <v>630263305</v>
      </c>
      <c r="E18" s="74">
        <f>+'Balance Gral. Resol. 30'!E63</f>
        <v>-1330105128</v>
      </c>
      <c r="F18" s="76">
        <f t="shared" si="0"/>
        <v>0</v>
      </c>
      <c r="G18" s="70"/>
      <c r="H18" s="70"/>
      <c r="I18" s="70"/>
      <c r="J18" s="70"/>
      <c r="K18" s="70"/>
      <c r="L18" s="70"/>
      <c r="M18" s="70"/>
      <c r="N18" s="70"/>
      <c r="O18" s="71"/>
    </row>
    <row r="19" spans="1:18">
      <c r="A19" s="68" t="s">
        <v>796</v>
      </c>
      <c r="B19" s="69">
        <f>+'Balance Gral. Resol. 30'!D72-B20</f>
        <v>8125086530</v>
      </c>
      <c r="C19" s="72"/>
      <c r="D19" s="69"/>
      <c r="E19" s="69">
        <f>+'Balance Gral. Resol. 30'!E72-E20</f>
        <v>8125086530</v>
      </c>
      <c r="F19" s="58">
        <f t="shared" si="0"/>
        <v>0</v>
      </c>
      <c r="G19" s="65"/>
      <c r="H19" s="65"/>
      <c r="I19" s="65"/>
      <c r="J19" s="65"/>
      <c r="K19" s="65"/>
      <c r="L19" s="65"/>
      <c r="M19" s="65">
        <f>-F19</f>
        <v>0</v>
      </c>
      <c r="N19" s="65"/>
      <c r="O19" s="67"/>
    </row>
    <row r="20" spans="1:18">
      <c r="A20" s="73" t="s">
        <v>797</v>
      </c>
      <c r="B20" s="74">
        <f>+'Balance Gral. Resol. 30'!D71</f>
        <v>-3935238148</v>
      </c>
      <c r="C20" s="74"/>
      <c r="D20" s="75"/>
      <c r="E20" s="74">
        <f>+'Balance Gral. Resol. 30'!E71</f>
        <v>-3935238148</v>
      </c>
      <c r="F20" s="76">
        <f t="shared" si="0"/>
        <v>0</v>
      </c>
      <c r="G20" s="70"/>
      <c r="H20" s="70"/>
      <c r="I20" s="70"/>
      <c r="J20" s="70"/>
      <c r="K20" s="70"/>
      <c r="L20" s="70"/>
      <c r="M20" s="70"/>
      <c r="N20" s="70"/>
      <c r="O20" s="71"/>
    </row>
    <row r="21" spans="1:18">
      <c r="A21" s="73" t="s">
        <v>798</v>
      </c>
      <c r="B21" s="74">
        <f>+'Balance Gral. Resol. 30'!D38</f>
        <v>799369278</v>
      </c>
      <c r="C21" s="74">
        <f>+D51+D50</f>
        <v>534003600</v>
      </c>
      <c r="D21" s="75">
        <v>77782069</v>
      </c>
      <c r="E21" s="74">
        <f>+'Balance Gral. Resol. 30'!E38</f>
        <v>1255590809</v>
      </c>
      <c r="F21" s="76">
        <f t="shared" si="0"/>
        <v>0</v>
      </c>
      <c r="G21" s="70"/>
      <c r="H21" s="70"/>
      <c r="I21" s="70"/>
      <c r="J21" s="70"/>
      <c r="K21" s="70"/>
      <c r="L21" s="70"/>
      <c r="M21" s="70">
        <f>-F21</f>
        <v>0</v>
      </c>
      <c r="N21" s="70"/>
      <c r="O21" s="71"/>
      <c r="P21" s="22">
        <v>8975342</v>
      </c>
      <c r="Q21" s="22">
        <v>105780824</v>
      </c>
      <c r="R21" s="22">
        <f>+Q21+P21</f>
        <v>114756166</v>
      </c>
    </row>
    <row r="22" spans="1:18" ht="14" thickBot="1">
      <c r="A22" s="80" t="s">
        <v>799</v>
      </c>
      <c r="B22" s="81">
        <f>SUM(B9:B21)</f>
        <v>163918726610.41602</v>
      </c>
      <c r="C22" s="65"/>
      <c r="D22" s="65"/>
      <c r="E22" s="81">
        <f>SUM(E9:E21)</f>
        <v>221223047300</v>
      </c>
      <c r="F22" s="58">
        <v>0</v>
      </c>
      <c r="G22" s="65"/>
      <c r="H22" s="65"/>
      <c r="I22" s="65"/>
      <c r="J22" s="65"/>
      <c r="K22" s="65"/>
      <c r="L22" s="65"/>
      <c r="M22" s="65"/>
      <c r="N22" s="65"/>
      <c r="O22" s="67"/>
      <c r="P22" s="78">
        <v>1599667</v>
      </c>
      <c r="Q22" s="78">
        <v>9474951</v>
      </c>
      <c r="R22" s="78">
        <f>+Q22+P22</f>
        <v>11074618</v>
      </c>
    </row>
    <row r="23" spans="1:18" ht="14" thickTop="1">
      <c r="A23" s="82" t="s">
        <v>800</v>
      </c>
      <c r="B23" s="83">
        <f>+B22-'Balance Gral. Resol. 30'!D80</f>
        <v>0</v>
      </c>
      <c r="C23" s="84"/>
      <c r="D23" s="84"/>
      <c r="E23" s="83">
        <f>+E22-'Balance Gral. Resol. 30'!E80</f>
        <v>0</v>
      </c>
      <c r="F23" s="85">
        <f t="shared" ref="F23:F37" si="1">B23-E23+C23-D23</f>
        <v>0</v>
      </c>
      <c r="G23" s="65"/>
      <c r="H23" s="65"/>
      <c r="I23" s="65"/>
      <c r="J23" s="65"/>
      <c r="K23" s="65"/>
      <c r="L23" s="65"/>
      <c r="M23" s="65"/>
      <c r="N23" s="65"/>
      <c r="O23" s="67"/>
      <c r="P23" s="78">
        <v>4727013</v>
      </c>
      <c r="Q23" s="78">
        <v>30725588</v>
      </c>
      <c r="R23" s="78">
        <f>+Q23+P23</f>
        <v>35452601</v>
      </c>
    </row>
    <row r="24" spans="1:18">
      <c r="A24" s="64" t="s">
        <v>801</v>
      </c>
      <c r="B24" s="86">
        <f>-'Balance Gral. Resol. 30'!G22</f>
        <v>-99726942240.474396</v>
      </c>
      <c r="C24" s="65">
        <v>0</v>
      </c>
      <c r="D24" s="65">
        <f>-D21</f>
        <v>-77782069</v>
      </c>
      <c r="E24" s="86">
        <f>-'Balance Gral. Resol. 30'!H22</f>
        <v>-170303451713</v>
      </c>
      <c r="F24" s="58">
        <f t="shared" si="1"/>
        <v>70654291541.525604</v>
      </c>
      <c r="G24" s="65"/>
      <c r="H24" s="65"/>
      <c r="I24" s="65"/>
      <c r="J24" s="65"/>
      <c r="K24" s="65"/>
      <c r="L24" s="65"/>
      <c r="M24" s="65"/>
      <c r="N24" s="65">
        <f>-F24</f>
        <v>-70654291541.525604</v>
      </c>
      <c r="O24" s="67"/>
      <c r="P24" s="78">
        <v>5522903</v>
      </c>
      <c r="Q24" s="78">
        <v>52954902</v>
      </c>
      <c r="R24" s="78">
        <f>+Q24+P24</f>
        <v>58477805</v>
      </c>
    </row>
    <row r="25" spans="1:18">
      <c r="A25" s="64" t="s">
        <v>802</v>
      </c>
      <c r="B25" s="65">
        <f>-'Balance Gral. Resol. 30'!G11</f>
        <v>0</v>
      </c>
      <c r="C25" s="65">
        <f>+D31</f>
        <v>0</v>
      </c>
      <c r="D25" s="65"/>
      <c r="E25" s="65">
        <f>-'Balance Gral. Resol. 30'!H11</f>
        <v>0</v>
      </c>
      <c r="F25" s="58">
        <f t="shared" si="1"/>
        <v>0</v>
      </c>
      <c r="G25" s="65">
        <f>-F25</f>
        <v>0</v>
      </c>
      <c r="H25" s="65"/>
      <c r="J25" s="65"/>
      <c r="K25" s="65"/>
      <c r="L25" s="65"/>
      <c r="M25" s="65"/>
      <c r="N25" s="65"/>
      <c r="O25" s="67"/>
      <c r="P25" s="78">
        <v>1172931</v>
      </c>
      <c r="Q25" s="78">
        <v>51608984</v>
      </c>
      <c r="R25" s="78">
        <f>+Q25+P25</f>
        <v>52781915</v>
      </c>
    </row>
    <row r="26" spans="1:18">
      <c r="A26" s="64" t="s">
        <v>803</v>
      </c>
      <c r="B26" s="65">
        <f>(+'Balance Gral. Resol. 30'!G12+'Balance Gral. Resol. 30'!G13+'Balance Gral. Resol. 30'!G31+'Balance Gral. Resol. 30'!G34+B28+'Balance Gral. Resol. 30'!G36)*-1</f>
        <v>-11908697025</v>
      </c>
      <c r="C26" s="65">
        <v>0</v>
      </c>
      <c r="D26" s="65"/>
      <c r="E26" s="65">
        <f>(+'Balance Gral. Resol. 30'!H12+'Balance Gral. Resol. 30'!H13+'Balance Gral. Resol. 30'!J31+'Balance Gral. Resol. 30'!H34+E28+'Balance Gral. Resol. 30'!H31)*-1-'Balance Gral. Resol. 30'!H36</f>
        <v>-2845698301</v>
      </c>
      <c r="F26" s="58">
        <f t="shared" si="1"/>
        <v>-9062998724</v>
      </c>
      <c r="G26" s="65"/>
      <c r="H26" s="65"/>
      <c r="I26" s="65"/>
      <c r="J26" s="65"/>
      <c r="K26" s="65"/>
      <c r="L26" s="65">
        <f>-F26</f>
        <v>9062998724</v>
      </c>
      <c r="M26" s="65"/>
      <c r="N26" s="65"/>
      <c r="O26" s="67"/>
      <c r="P26" s="83">
        <f>SUM(P21:P25)</f>
        <v>21997856</v>
      </c>
      <c r="Q26" s="83">
        <f>SUM(Q21:Q25)</f>
        <v>250545249</v>
      </c>
      <c r="R26" s="83">
        <f>SUM(R21:R25)</f>
        <v>272543105</v>
      </c>
    </row>
    <row r="27" spans="1:18">
      <c r="A27" s="64" t="s">
        <v>804</v>
      </c>
      <c r="B27" s="65">
        <v>0</v>
      </c>
      <c r="C27" s="65">
        <v>850615277</v>
      </c>
      <c r="D27" s="65"/>
      <c r="E27" s="65">
        <v>0</v>
      </c>
      <c r="F27" s="58">
        <f t="shared" si="1"/>
        <v>850615277</v>
      </c>
      <c r="G27" s="65"/>
      <c r="H27" s="65"/>
      <c r="I27" s="65"/>
      <c r="J27" s="65"/>
      <c r="K27" s="65"/>
      <c r="L27" s="65">
        <v>0</v>
      </c>
      <c r="M27" s="65"/>
      <c r="N27" s="65">
        <f>-F27</f>
        <v>-850615277</v>
      </c>
      <c r="O27" s="67"/>
      <c r="P27" s="78"/>
      <c r="Q27" s="78"/>
      <c r="R27" s="78"/>
    </row>
    <row r="28" spans="1:18">
      <c r="A28" s="64" t="s">
        <v>805</v>
      </c>
      <c r="B28" s="65">
        <v>0</v>
      </c>
      <c r="C28" s="65"/>
      <c r="D28" s="65"/>
      <c r="E28" s="65">
        <v>0</v>
      </c>
      <c r="F28" s="58">
        <f t="shared" si="1"/>
        <v>0</v>
      </c>
      <c r="G28" s="65"/>
      <c r="H28" s="65"/>
      <c r="I28" s="65"/>
      <c r="J28" s="65">
        <f>-F28</f>
        <v>0</v>
      </c>
      <c r="K28" s="21"/>
      <c r="M28" s="65"/>
      <c r="N28" s="65"/>
      <c r="O28" s="67"/>
      <c r="P28" s="78"/>
      <c r="Q28" s="78"/>
      <c r="R28" s="78"/>
    </row>
    <row r="29" spans="1:18">
      <c r="A29" s="64" t="s">
        <v>806</v>
      </c>
      <c r="B29" s="65">
        <v>0</v>
      </c>
      <c r="C29" s="87"/>
      <c r="D29" s="65"/>
      <c r="E29" s="65">
        <v>0</v>
      </c>
      <c r="F29" s="58">
        <f t="shared" si="1"/>
        <v>0</v>
      </c>
      <c r="G29" s="65"/>
      <c r="H29" s="65"/>
      <c r="I29" s="65"/>
      <c r="J29" s="65"/>
      <c r="K29" s="65"/>
      <c r="L29" s="65">
        <f>-F29</f>
        <v>0</v>
      </c>
      <c r="M29" s="65"/>
      <c r="N29" s="65"/>
      <c r="O29" s="67"/>
      <c r="P29" s="78"/>
      <c r="Q29" s="78"/>
      <c r="R29" s="78"/>
    </row>
    <row r="30" spans="1:18">
      <c r="A30" s="88" t="s">
        <v>807</v>
      </c>
      <c r="B30" s="89">
        <f>-'Balance Gral. Resol. 30'!G65</f>
        <v>-42764000000</v>
      </c>
      <c r="C30" s="90">
        <v>0</v>
      </c>
      <c r="D30" s="89">
        <v>1</v>
      </c>
      <c r="E30" s="89">
        <f>-'Balance Gral. Resol. 30'!H65</f>
        <v>-42764000001</v>
      </c>
      <c r="F30" s="76">
        <f t="shared" si="1"/>
        <v>0</v>
      </c>
      <c r="G30" s="65"/>
      <c r="H30" s="65"/>
      <c r="I30" s="65"/>
      <c r="J30" s="65"/>
      <c r="K30" s="65"/>
      <c r="L30" s="65"/>
      <c r="M30" s="65"/>
      <c r="N30" s="65">
        <f>-F30</f>
        <v>0</v>
      </c>
      <c r="O30" s="67"/>
      <c r="P30" s="78"/>
      <c r="Q30" s="78"/>
      <c r="R30" s="78"/>
    </row>
    <row r="31" spans="1:18">
      <c r="A31" s="64" t="s">
        <v>845</v>
      </c>
      <c r="B31" s="65">
        <f>-'Balance Gral. Resol. 30'!G73</f>
        <v>-8933184</v>
      </c>
      <c r="C31" s="21"/>
      <c r="D31" s="65">
        <v>0</v>
      </c>
      <c r="E31" s="65">
        <f>-'Balance Gral. Resol. 30'!H73</f>
        <v>-8933184</v>
      </c>
      <c r="F31" s="58">
        <f t="shared" si="1"/>
        <v>0</v>
      </c>
      <c r="G31" s="65"/>
      <c r="H31" s="65"/>
      <c r="I31" s="65"/>
      <c r="J31" s="65"/>
      <c r="K31" s="65"/>
      <c r="L31" s="65"/>
      <c r="M31" s="65"/>
      <c r="N31" s="65">
        <f>-F31</f>
        <v>0</v>
      </c>
      <c r="O31" s="67"/>
      <c r="P31" s="78"/>
      <c r="Q31" s="78"/>
      <c r="R31" s="78"/>
    </row>
    <row r="32" spans="1:18">
      <c r="A32" s="73" t="s">
        <v>808</v>
      </c>
      <c r="B32" s="74">
        <v>0</v>
      </c>
      <c r="C32" s="74">
        <v>0</v>
      </c>
      <c r="D32" s="74">
        <v>0</v>
      </c>
      <c r="E32" s="74">
        <v>0</v>
      </c>
      <c r="F32" s="76">
        <f t="shared" si="1"/>
        <v>0</v>
      </c>
      <c r="G32" s="70"/>
      <c r="H32" s="70"/>
      <c r="I32" s="70"/>
      <c r="J32" s="70"/>
      <c r="K32" s="70"/>
      <c r="L32" s="70"/>
      <c r="M32" s="70"/>
      <c r="N32" s="70"/>
      <c r="O32" s="71"/>
      <c r="P32" s="78"/>
      <c r="Q32" s="78"/>
      <c r="R32" s="78"/>
    </row>
    <row r="33" spans="1:111">
      <c r="A33" s="73" t="s">
        <v>809</v>
      </c>
      <c r="B33" s="74">
        <f>-'Balance Gral. Resol. 30'!G67</f>
        <v>-1714654982</v>
      </c>
      <c r="C33" s="74">
        <f>D49</f>
        <v>0</v>
      </c>
      <c r="D33" s="74"/>
      <c r="E33" s="74">
        <f>-'Balance Gral. Resol. 30'!H67</f>
        <v>-1714654982</v>
      </c>
      <c r="F33" s="76">
        <f t="shared" si="1"/>
        <v>0</v>
      </c>
      <c r="G33" s="70"/>
      <c r="H33" s="70"/>
      <c r="I33" s="70"/>
      <c r="J33" s="70"/>
      <c r="K33" s="70"/>
      <c r="L33" s="70"/>
      <c r="M33" s="70"/>
      <c r="N33" s="70"/>
      <c r="O33" s="71"/>
      <c r="P33" s="78"/>
      <c r="Q33" s="78"/>
      <c r="R33" s="78"/>
    </row>
    <row r="34" spans="1:111">
      <c r="A34" s="73" t="s">
        <v>810</v>
      </c>
      <c r="B34" s="74">
        <f>-'Balance Gral. Resol. 30'!G69</f>
        <v>-152000000</v>
      </c>
      <c r="C34" s="74">
        <v>1000000</v>
      </c>
      <c r="D34" s="74"/>
      <c r="E34" s="74">
        <f>-'Balance Gral. Resol. 30'!H69</f>
        <v>-151000000</v>
      </c>
      <c r="F34" s="76">
        <f t="shared" si="1"/>
        <v>0</v>
      </c>
      <c r="G34" s="70"/>
      <c r="H34" s="70"/>
      <c r="I34" s="70"/>
      <c r="J34" s="70"/>
      <c r="K34" s="70"/>
      <c r="L34" s="70"/>
      <c r="M34" s="70"/>
      <c r="N34" s="70"/>
      <c r="O34" s="71"/>
      <c r="P34" s="78"/>
      <c r="Q34" s="78"/>
      <c r="R34" s="78"/>
    </row>
    <row r="35" spans="1:111" s="79" customFormat="1">
      <c r="A35" s="73" t="s">
        <v>811</v>
      </c>
      <c r="B35" s="74">
        <f>-'Balance Gral. Resol. 30'!G76</f>
        <v>-2584693844</v>
      </c>
      <c r="C35" s="74">
        <f>+D37-850615277</f>
        <v>2342935865</v>
      </c>
      <c r="D35" s="74">
        <v>-2</v>
      </c>
      <c r="E35" s="74">
        <f>-'Balance Gral. Resol. 30'!H76</f>
        <v>-241757977</v>
      </c>
      <c r="F35" s="76">
        <f t="shared" si="1"/>
        <v>0</v>
      </c>
      <c r="G35" s="70"/>
      <c r="H35" s="70"/>
      <c r="I35" s="70"/>
      <c r="J35" s="70"/>
      <c r="K35" s="70"/>
      <c r="L35" s="70"/>
      <c r="M35" s="70"/>
      <c r="N35" s="70"/>
      <c r="O35" s="71"/>
      <c r="P35" s="78"/>
      <c r="Q35" s="78"/>
      <c r="R35" s="78"/>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row>
    <row r="36" spans="1:111" s="79" customFormat="1">
      <c r="A36" s="73" t="s">
        <v>812</v>
      </c>
      <c r="B36" s="91">
        <v>0</v>
      </c>
      <c r="C36" s="74"/>
      <c r="D36" s="74"/>
      <c r="E36" s="91">
        <v>0</v>
      </c>
      <c r="F36" s="76">
        <f t="shared" si="1"/>
        <v>0</v>
      </c>
      <c r="G36" s="70"/>
      <c r="H36" s="70"/>
      <c r="I36" s="70"/>
      <c r="J36" s="70"/>
      <c r="K36" s="70"/>
      <c r="L36" s="92"/>
      <c r="M36" s="70"/>
      <c r="N36" s="70"/>
      <c r="O36" s="71"/>
      <c r="P36" s="78"/>
      <c r="Q36" s="78"/>
      <c r="R36" s="78"/>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row>
    <row r="37" spans="1:111" s="79" customFormat="1" ht="14" thickBot="1">
      <c r="A37" s="73" t="s">
        <v>813</v>
      </c>
      <c r="B37" s="93">
        <f>-'Balance Gral. Resol. 30'!G77</f>
        <v>-5058805334.5900002</v>
      </c>
      <c r="C37" s="74">
        <f>+D54</f>
        <v>5058805335</v>
      </c>
      <c r="D37" s="94">
        <v>3193551142</v>
      </c>
      <c r="E37" s="93">
        <f>-'Balance Gral. Resol. 30'!H77</f>
        <v>-3193551142</v>
      </c>
      <c r="F37" s="76">
        <f t="shared" si="1"/>
        <v>0.40999984741210938</v>
      </c>
      <c r="G37" s="70"/>
      <c r="H37" s="70"/>
      <c r="I37" s="70"/>
      <c r="J37" s="70"/>
      <c r="K37" s="70"/>
      <c r="L37" s="70"/>
      <c r="M37" s="70"/>
      <c r="N37" s="70"/>
      <c r="O37" s="71"/>
      <c r="P37" s="78"/>
      <c r="Q37" s="78"/>
      <c r="R37" s="78"/>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row>
    <row r="38" spans="1:111" ht="14" thickBot="1">
      <c r="A38" s="95" t="s">
        <v>814</v>
      </c>
      <c r="B38" s="81">
        <f>SUM(B24:B37)</f>
        <v>-163918726610.06439</v>
      </c>
      <c r="C38" s="65"/>
      <c r="D38" s="65"/>
      <c r="E38" s="81">
        <f>SUM(E24:E37)</f>
        <v>-221223047300</v>
      </c>
      <c r="F38" s="58"/>
      <c r="G38" s="65"/>
      <c r="H38" s="65"/>
      <c r="I38" s="65"/>
      <c r="J38" s="65"/>
      <c r="K38" s="65"/>
      <c r="L38" s="65"/>
      <c r="M38" s="65"/>
      <c r="N38" s="65"/>
      <c r="O38" s="67"/>
      <c r="P38" s="78"/>
      <c r="Q38" s="78"/>
      <c r="R38" s="78"/>
    </row>
    <row r="39" spans="1:111" ht="14" thickTop="1">
      <c r="A39" s="82" t="s">
        <v>815</v>
      </c>
      <c r="B39" s="96">
        <f>+B38+B22</f>
        <v>0.35162353515625</v>
      </c>
      <c r="C39" s="65"/>
      <c r="D39" s="65"/>
      <c r="E39" s="96">
        <f>+E38+E22</f>
        <v>0</v>
      </c>
      <c r="F39" s="58">
        <v>0</v>
      </c>
      <c r="G39" s="65"/>
      <c r="H39" s="65"/>
      <c r="I39" s="65"/>
      <c r="J39" s="65"/>
      <c r="K39" s="65"/>
      <c r="L39" s="65"/>
      <c r="M39" s="65"/>
      <c r="N39" s="65"/>
      <c r="O39" s="67"/>
      <c r="P39" s="78"/>
      <c r="Q39" s="78"/>
      <c r="R39" s="78"/>
    </row>
    <row r="40" spans="1:111">
      <c r="A40" s="64" t="s">
        <v>816</v>
      </c>
      <c r="B40" s="65">
        <f>-'[4]EERR '!$B$5-B41-B43-34774227</f>
        <v>-88125366084</v>
      </c>
      <c r="C40" s="65">
        <v>0</v>
      </c>
      <c r="D40" s="65"/>
      <c r="E40" s="65"/>
      <c r="F40" s="58">
        <f t="shared" ref="F40:F52" si="2">B40-E40+C40-D40</f>
        <v>-88125366084</v>
      </c>
      <c r="G40" s="65">
        <f>-F40</f>
        <v>88125366084</v>
      </c>
      <c r="H40" s="65"/>
      <c r="I40" s="65"/>
      <c r="J40" s="65"/>
      <c r="K40" s="65"/>
      <c r="L40" s="65"/>
      <c r="M40" s="65"/>
      <c r="N40" s="65"/>
      <c r="O40" s="67"/>
    </row>
    <row r="41" spans="1:111">
      <c r="A41" s="64" t="s">
        <v>817</v>
      </c>
      <c r="B41" s="65">
        <f>-'[4]EERR '!$B$35-'[4]EERR '!$B$23-'[4]EERR '!$B$14-'[4]EERR '!$B$13</f>
        <v>-227153491</v>
      </c>
      <c r="C41" s="65"/>
      <c r="D41" s="65"/>
      <c r="E41" s="65"/>
      <c r="F41" s="58">
        <f t="shared" si="2"/>
        <v>-227153491</v>
      </c>
      <c r="G41" s="65"/>
      <c r="H41" s="65">
        <f>-F41</f>
        <v>227153491</v>
      </c>
      <c r="I41" s="65"/>
      <c r="J41" s="65"/>
      <c r="K41" s="65"/>
      <c r="L41" s="65"/>
      <c r="M41" s="65"/>
      <c r="N41" s="65"/>
      <c r="O41" s="67"/>
    </row>
    <row r="42" spans="1:111" s="751" customFormat="1">
      <c r="A42" s="747" t="s">
        <v>1036</v>
      </c>
      <c r="B42" s="748">
        <f>-'[4]EERR '!$B$34</f>
        <v>-17241379310</v>
      </c>
      <c r="C42" s="748">
        <f>+D18</f>
        <v>630263305</v>
      </c>
      <c r="D42" s="748"/>
      <c r="E42" s="748"/>
      <c r="F42" s="749">
        <f t="shared" si="2"/>
        <v>-16611116005</v>
      </c>
      <c r="G42" s="748"/>
      <c r="H42" s="748"/>
      <c r="I42" s="748"/>
      <c r="J42" s="748"/>
      <c r="K42" s="748"/>
      <c r="L42" s="748"/>
      <c r="M42" s="748">
        <f>-F42</f>
        <v>16611116005</v>
      </c>
      <c r="N42" s="748"/>
      <c r="O42" s="750"/>
    </row>
    <row r="43" spans="1:111" s="756" customFormat="1">
      <c r="A43" s="752" t="s">
        <v>818</v>
      </c>
      <c r="B43" s="753">
        <f>-'[4]EERR '!$B$24</f>
        <v>-2983900800</v>
      </c>
      <c r="C43" s="753"/>
      <c r="D43" s="753"/>
      <c r="E43" s="753"/>
      <c r="F43" s="754">
        <f t="shared" si="2"/>
        <v>-2983900800</v>
      </c>
      <c r="G43" s="753"/>
      <c r="H43" s="753"/>
      <c r="I43" s="753"/>
      <c r="J43" s="753"/>
      <c r="K43" s="753"/>
      <c r="L43" s="753"/>
      <c r="M43" s="753">
        <f>-F43</f>
        <v>2983900800</v>
      </c>
      <c r="N43" s="753"/>
      <c r="O43" s="755"/>
    </row>
    <row r="44" spans="1:111">
      <c r="A44" s="64" t="s">
        <v>819</v>
      </c>
      <c r="B44" s="65">
        <f>+'[4]EERR '!$B$37</f>
        <v>85274975194</v>
      </c>
      <c r="C44" s="65"/>
      <c r="D44" s="65"/>
      <c r="E44" s="65"/>
      <c r="F44" s="58">
        <f t="shared" si="2"/>
        <v>85274975194</v>
      </c>
      <c r="G44" s="65">
        <f>-F44</f>
        <v>-85274975194</v>
      </c>
      <c r="H44" s="65"/>
      <c r="I44" s="65"/>
      <c r="J44" s="65"/>
      <c r="K44" s="65"/>
      <c r="L44" s="65"/>
      <c r="M44" s="65"/>
      <c r="N44" s="65"/>
      <c r="O44" s="67"/>
    </row>
    <row r="45" spans="1:111">
      <c r="A45" s="64" t="s">
        <v>820</v>
      </c>
      <c r="B45" s="65">
        <f>+'[4]EERR '!$B$53</f>
        <v>860550302</v>
      </c>
      <c r="C45" s="65"/>
      <c r="D45" s="65">
        <v>0</v>
      </c>
      <c r="E45" s="65"/>
      <c r="F45" s="58">
        <f t="shared" si="2"/>
        <v>860550302</v>
      </c>
      <c r="G45" s="65"/>
      <c r="H45" s="65"/>
      <c r="I45" s="65"/>
      <c r="J45" s="65"/>
      <c r="K45" s="65">
        <f>-F45</f>
        <v>-860550302</v>
      </c>
      <c r="L45" s="65"/>
      <c r="M45" s="65"/>
      <c r="N45" s="65"/>
      <c r="O45" s="67"/>
    </row>
    <row r="46" spans="1:111">
      <c r="A46" s="64" t="s">
        <v>821</v>
      </c>
      <c r="B46" s="65">
        <f>+'[4]EERR '!$B$49</f>
        <v>38853575</v>
      </c>
      <c r="C46" s="65"/>
      <c r="D46" s="65"/>
      <c r="E46" s="65"/>
      <c r="F46" s="58">
        <f t="shared" si="2"/>
        <v>38853575</v>
      </c>
      <c r="G46" s="65"/>
      <c r="H46" s="65"/>
      <c r="I46" s="65"/>
      <c r="J46" s="65"/>
      <c r="K46" s="65"/>
      <c r="L46" s="65">
        <f>-F46</f>
        <v>-38853575</v>
      </c>
      <c r="M46" s="65"/>
      <c r="N46" s="65"/>
      <c r="O46" s="67"/>
    </row>
    <row r="47" spans="1:111">
      <c r="A47" s="64" t="s">
        <v>822</v>
      </c>
      <c r="B47" s="86">
        <f>+'[4]EERR '!$B$36-B44-B45-B46-B48-B49-B50-B51-B52</f>
        <v>5338662541</v>
      </c>
      <c r="C47" s="65">
        <v>-2</v>
      </c>
      <c r="D47" s="97">
        <v>-1</v>
      </c>
      <c r="E47" s="86"/>
      <c r="F47" s="58">
        <f t="shared" si="2"/>
        <v>5338662540</v>
      </c>
      <c r="G47" s="65"/>
      <c r="H47" s="65"/>
      <c r="I47" s="65"/>
      <c r="J47" s="65"/>
      <c r="K47" s="65"/>
      <c r="L47" s="65">
        <f>-F47</f>
        <v>-5338662540</v>
      </c>
      <c r="M47" s="65"/>
      <c r="N47" s="65"/>
      <c r="O47" s="67"/>
    </row>
    <row r="48" spans="1:111">
      <c r="A48" s="98" t="s">
        <v>823</v>
      </c>
      <c r="B48" s="99">
        <v>0</v>
      </c>
      <c r="C48" s="77"/>
      <c r="D48" s="100">
        <f>+B48</f>
        <v>0</v>
      </c>
      <c r="E48" s="99"/>
      <c r="F48" s="62">
        <f t="shared" si="2"/>
        <v>0</v>
      </c>
      <c r="G48" s="70"/>
      <c r="H48" s="70"/>
      <c r="I48" s="70"/>
      <c r="J48" s="70"/>
      <c r="K48" s="70"/>
      <c r="L48" s="70">
        <f>F48</f>
        <v>0</v>
      </c>
      <c r="M48" s="70"/>
      <c r="N48" s="70"/>
      <c r="O48" s="71"/>
    </row>
    <row r="49" spans="1:15">
      <c r="A49" s="101" t="s">
        <v>809</v>
      </c>
      <c r="B49" s="102">
        <f>'Estado de Resultado Resol. 30'!D112</f>
        <v>0</v>
      </c>
      <c r="C49" s="77"/>
      <c r="D49" s="727">
        <f>B49</f>
        <v>0</v>
      </c>
      <c r="E49" s="99"/>
      <c r="F49" s="62">
        <f t="shared" si="2"/>
        <v>0</v>
      </c>
      <c r="G49" s="70"/>
      <c r="H49" s="70"/>
      <c r="I49" s="70"/>
      <c r="J49" s="70"/>
      <c r="K49" s="70"/>
      <c r="L49" s="70">
        <f>-F49</f>
        <v>0</v>
      </c>
      <c r="M49" s="70"/>
      <c r="N49" s="70"/>
      <c r="O49" s="71"/>
    </row>
    <row r="50" spans="1:15">
      <c r="A50" s="103" t="s">
        <v>824</v>
      </c>
      <c r="B50" s="99">
        <f>+'[4]EERR '!$B$71</f>
        <v>5230554</v>
      </c>
      <c r="C50" s="77"/>
      <c r="D50" s="100">
        <f>+B50</f>
        <v>5230554</v>
      </c>
      <c r="E50" s="99"/>
      <c r="F50" s="62">
        <f t="shared" si="2"/>
        <v>0</v>
      </c>
      <c r="G50" s="70"/>
      <c r="H50" s="70"/>
      <c r="I50" s="70"/>
      <c r="J50" s="70"/>
      <c r="K50" s="70"/>
      <c r="L50" s="70">
        <f>-F50</f>
        <v>0</v>
      </c>
      <c r="M50" s="70"/>
      <c r="N50" s="70"/>
      <c r="O50" s="71"/>
    </row>
    <row r="51" spans="1:15" ht="14.25" customHeight="1">
      <c r="A51" s="98" t="s">
        <v>825</v>
      </c>
      <c r="B51" s="77">
        <f>+'[4]EERR '!$B$88</f>
        <v>528773046</v>
      </c>
      <c r="C51" s="77"/>
      <c r="D51" s="100">
        <f>+B51</f>
        <v>528773046</v>
      </c>
      <c r="E51" s="77"/>
      <c r="F51" s="62">
        <f t="shared" si="2"/>
        <v>0</v>
      </c>
      <c r="G51" s="65"/>
      <c r="H51" s="65"/>
      <c r="I51" s="65"/>
      <c r="J51" s="65"/>
      <c r="K51" s="65"/>
      <c r="L51" s="65"/>
      <c r="M51" s="65"/>
      <c r="N51" s="65">
        <f>+L5-F51</f>
        <v>0</v>
      </c>
      <c r="O51" s="67"/>
    </row>
    <row r="52" spans="1:15" s="751" customFormat="1">
      <c r="A52" s="747" t="s">
        <v>1035</v>
      </c>
      <c r="B52" s="748">
        <f>+'[4]EERR '!$B$97</f>
        <v>11471949138</v>
      </c>
      <c r="C52" s="748"/>
      <c r="D52" s="757"/>
      <c r="E52" s="748"/>
      <c r="F52" s="749">
        <f t="shared" si="2"/>
        <v>11471949138</v>
      </c>
      <c r="G52" s="748"/>
      <c r="H52" s="748"/>
      <c r="I52" s="748"/>
      <c r="J52" s="748"/>
      <c r="K52" s="748"/>
      <c r="L52" s="748"/>
      <c r="M52" s="748">
        <f>-F52</f>
        <v>-11471949138</v>
      </c>
      <c r="N52" s="748"/>
      <c r="O52" s="750"/>
    </row>
    <row r="53" spans="1:15" ht="14" thickBot="1">
      <c r="A53" s="101" t="s">
        <v>826</v>
      </c>
      <c r="B53" s="105">
        <f>+'Estado de Resultado Resol. 30'!D111</f>
        <v>0</v>
      </c>
      <c r="C53" s="106"/>
      <c r="D53" s="727">
        <f>+B53</f>
        <v>0</v>
      </c>
      <c r="E53" s="100"/>
      <c r="F53" s="107">
        <f>B53-E53+C53-D53</f>
        <v>0</v>
      </c>
      <c r="G53" s="108"/>
      <c r="H53" s="70"/>
      <c r="I53" s="70"/>
      <c r="J53" s="70"/>
      <c r="K53" s="70"/>
      <c r="L53" s="70">
        <f>-F53</f>
        <v>0</v>
      </c>
      <c r="M53" s="70"/>
      <c r="N53" s="70"/>
      <c r="O53" s="71"/>
    </row>
    <row r="54" spans="1:15" ht="14" thickBot="1">
      <c r="A54" s="109" t="s">
        <v>827</v>
      </c>
      <c r="B54" s="110">
        <f>SUM(B40:B53)*-1</f>
        <v>5058805335</v>
      </c>
      <c r="C54" s="77"/>
      <c r="D54" s="100">
        <f>+B54</f>
        <v>5058805335</v>
      </c>
      <c r="E54" s="100"/>
      <c r="F54" s="107">
        <f>B54-E54+C54-D54</f>
        <v>0</v>
      </c>
      <c r="G54" s="70"/>
      <c r="H54" s="70"/>
      <c r="I54" s="70"/>
      <c r="J54" s="70"/>
      <c r="K54" s="70"/>
      <c r="L54" s="70">
        <f>-F54</f>
        <v>0</v>
      </c>
      <c r="M54" s="70"/>
      <c r="N54" s="70"/>
      <c r="O54" s="71"/>
    </row>
    <row r="55" spans="1:15" ht="14" thickBot="1">
      <c r="A55" s="111" t="s">
        <v>828</v>
      </c>
      <c r="B55" s="112">
        <v>0</v>
      </c>
      <c r="C55" s="112"/>
      <c r="D55" s="112"/>
      <c r="E55" s="113"/>
      <c r="F55" s="58"/>
      <c r="G55" s="104"/>
      <c r="H55" s="104"/>
      <c r="I55" s="104"/>
      <c r="J55" s="104"/>
      <c r="K55" s="104"/>
      <c r="L55" s="65"/>
      <c r="M55" s="65"/>
      <c r="N55" s="104"/>
      <c r="O55" s="67"/>
    </row>
    <row r="56" spans="1:15" ht="15" thickBot="1">
      <c r="A56" s="114" t="s">
        <v>770</v>
      </c>
      <c r="B56" s="113"/>
      <c r="C56" s="113">
        <f>SUM(C9:C54)</f>
        <v>9417623380</v>
      </c>
      <c r="D56" s="113">
        <f>SUM(D9:D55)</f>
        <v>9417623380</v>
      </c>
      <c r="E56" s="113"/>
      <c r="F56" s="58">
        <f>SUM(F9:F55)</f>
        <v>0.3516082763671875</v>
      </c>
      <c r="G56" s="115">
        <f t="shared" ref="G56:N56" si="3">SUM(G9:G54)</f>
        <v>-6858634454</v>
      </c>
      <c r="H56" s="115">
        <f t="shared" si="3"/>
        <v>227153491</v>
      </c>
      <c r="I56" s="115">
        <f t="shared" si="3"/>
        <v>0</v>
      </c>
      <c r="J56" s="115">
        <f t="shared" si="3"/>
        <v>-1031859867</v>
      </c>
      <c r="K56" s="115">
        <f t="shared" si="3"/>
        <v>-860550302</v>
      </c>
      <c r="L56" s="115">
        <f t="shared" si="3"/>
        <v>4911340727</v>
      </c>
      <c r="M56" s="115">
        <f>SUM(M9:M54)</f>
        <v>80705979034</v>
      </c>
      <c r="N56" s="115">
        <f t="shared" si="3"/>
        <v>-71504906818.525604</v>
      </c>
      <c r="O56" s="116">
        <f>SUM(F56:N56)</f>
        <v>5588521810.826004</v>
      </c>
    </row>
    <row r="57" spans="1:15" ht="16">
      <c r="B57" s="117">
        <f>+'Estado de Resultado Resol. 30'!D113-B54</f>
        <v>0</v>
      </c>
      <c r="D57" s="118">
        <f>D56-C56</f>
        <v>0</v>
      </c>
      <c r="L57" s="21"/>
      <c r="O57" s="119">
        <f>O56-O9</f>
        <v>0.41000747680664062</v>
      </c>
    </row>
    <row r="58" spans="1:15">
      <c r="A58" s="120"/>
      <c r="B58" s="120"/>
      <c r="C58" s="120"/>
      <c r="J58" s="728"/>
    </row>
    <row r="59" spans="1:15" ht="20">
      <c r="A59" s="121" t="s">
        <v>829</v>
      </c>
      <c r="B59" s="122"/>
      <c r="C59" s="122"/>
      <c r="D59" s="123"/>
      <c r="E59" s="123"/>
      <c r="J59" s="728"/>
    </row>
    <row r="60" spans="1:15" ht="16">
      <c r="A60" s="124"/>
      <c r="B60" s="124"/>
      <c r="C60" s="124"/>
      <c r="D60" s="125"/>
      <c r="E60" s="125">
        <v>0</v>
      </c>
      <c r="J60" s="728"/>
    </row>
    <row r="61" spans="1:15" ht="16">
      <c r="A61" s="126" t="s">
        <v>830</v>
      </c>
      <c r="B61" s="127">
        <f>+G56</f>
        <v>-6858634454</v>
      </c>
      <c r="C61" s="128"/>
      <c r="D61" s="127"/>
      <c r="E61" s="125"/>
      <c r="J61" s="21"/>
    </row>
    <row r="62" spans="1:15" ht="16">
      <c r="A62" s="126" t="s">
        <v>831</v>
      </c>
      <c r="B62" s="127">
        <f>+H56</f>
        <v>227153491</v>
      </c>
      <c r="C62" s="128"/>
      <c r="D62" s="127"/>
      <c r="E62" s="125"/>
    </row>
    <row r="63" spans="1:15" ht="16">
      <c r="A63" s="126" t="s">
        <v>832</v>
      </c>
      <c r="B63" s="127">
        <f>+I56</f>
        <v>0</v>
      </c>
      <c r="C63" s="128"/>
      <c r="D63" s="127"/>
      <c r="E63" s="125"/>
    </row>
    <row r="64" spans="1:15" ht="16">
      <c r="A64" s="126" t="s">
        <v>833</v>
      </c>
      <c r="B64" s="127">
        <f>+K56</f>
        <v>-860550302</v>
      </c>
      <c r="C64" s="128"/>
      <c r="D64" s="127"/>
      <c r="E64" s="125"/>
    </row>
    <row r="65" spans="1:5" ht="16">
      <c r="A65" s="126" t="s">
        <v>834</v>
      </c>
      <c r="B65" s="127">
        <f>+L56</f>
        <v>4911340727</v>
      </c>
      <c r="C65" s="128"/>
      <c r="D65" s="127"/>
      <c r="E65" s="125"/>
    </row>
    <row r="66" spans="1:5" ht="16">
      <c r="A66" s="126" t="s">
        <v>216</v>
      </c>
      <c r="B66" s="127">
        <f>+J56</f>
        <v>-1031859867</v>
      </c>
      <c r="C66" s="128"/>
      <c r="D66" s="127"/>
      <c r="E66" s="125"/>
    </row>
    <row r="67" spans="1:5" ht="16">
      <c r="A67" s="124"/>
      <c r="B67" s="127"/>
      <c r="C67" s="128"/>
      <c r="D67" s="127"/>
      <c r="E67" s="125"/>
    </row>
    <row r="68" spans="1:5" ht="16">
      <c r="A68" s="129" t="s">
        <v>829</v>
      </c>
      <c r="B68" s="127"/>
      <c r="C68" s="130">
        <f>SUM(B61:B66)</f>
        <v>-3612550405</v>
      </c>
      <c r="D68" s="127"/>
      <c r="E68" s="125"/>
    </row>
    <row r="69" spans="1:5" ht="16">
      <c r="A69" s="124"/>
      <c r="B69" s="127"/>
      <c r="C69" s="128"/>
      <c r="D69" s="127"/>
      <c r="E69" s="125"/>
    </row>
    <row r="70" spans="1:5" ht="16">
      <c r="A70" s="126" t="s">
        <v>835</v>
      </c>
      <c r="B70" s="131">
        <f>+M16</f>
        <v>25000000</v>
      </c>
      <c r="C70" s="128"/>
      <c r="D70" s="127"/>
      <c r="E70" s="125"/>
    </row>
    <row r="71" spans="1:5" ht="16">
      <c r="A71" s="126" t="s">
        <v>836</v>
      </c>
      <c r="B71" s="131">
        <f>+M17+M19+M42+M52</f>
        <v>17238053670</v>
      </c>
      <c r="C71" s="128"/>
      <c r="D71" s="127"/>
      <c r="E71" s="125"/>
    </row>
    <row r="72" spans="1:5" ht="16">
      <c r="A72" s="126" t="s">
        <v>235</v>
      </c>
      <c r="B72" s="131">
        <f>+M15</f>
        <v>60459024564</v>
      </c>
      <c r="C72" s="128"/>
      <c r="D72" s="127"/>
      <c r="E72" s="125"/>
    </row>
    <row r="73" spans="1:5" ht="16">
      <c r="A73" s="126" t="s">
        <v>236</v>
      </c>
      <c r="B73" s="131">
        <v>0</v>
      </c>
      <c r="C73" s="128"/>
      <c r="D73" s="127"/>
      <c r="E73" s="125"/>
    </row>
    <row r="74" spans="1:5" ht="16">
      <c r="A74" s="126" t="s">
        <v>237</v>
      </c>
      <c r="B74" s="131">
        <f>+M43</f>
        <v>2983900800</v>
      </c>
      <c r="C74" s="128"/>
      <c r="D74" s="127"/>
      <c r="E74" s="125"/>
    </row>
    <row r="75" spans="1:5" ht="16">
      <c r="A75" s="126"/>
      <c r="B75" s="131"/>
      <c r="C75" s="128"/>
      <c r="D75" s="127"/>
      <c r="E75" s="125"/>
    </row>
    <row r="76" spans="1:5" ht="16">
      <c r="A76" s="126"/>
      <c r="B76" s="127">
        <v>0</v>
      </c>
      <c r="C76" s="128"/>
      <c r="D76" s="127"/>
      <c r="E76" s="125"/>
    </row>
    <row r="77" spans="1:5" ht="16">
      <c r="A77" s="124"/>
      <c r="B77" s="127"/>
      <c r="C77" s="128"/>
      <c r="D77" s="127"/>
      <c r="E77" s="125"/>
    </row>
    <row r="78" spans="1:5" ht="16">
      <c r="A78" s="129" t="s">
        <v>837</v>
      </c>
      <c r="B78" s="127"/>
      <c r="C78" s="130">
        <f>SUM(B70:B76)</f>
        <v>80705979034</v>
      </c>
      <c r="D78" s="127">
        <f>+C78-M56</f>
        <v>0</v>
      </c>
      <c r="E78" s="125"/>
    </row>
    <row r="79" spans="1:5" ht="16">
      <c r="A79" s="124"/>
      <c r="B79" s="127"/>
      <c r="C79" s="128"/>
      <c r="D79" s="127"/>
      <c r="E79" s="125"/>
    </row>
    <row r="80" spans="1:5" ht="16">
      <c r="A80" s="129" t="s">
        <v>838</v>
      </c>
      <c r="B80" s="127"/>
      <c r="C80" s="128"/>
      <c r="D80" s="127"/>
      <c r="E80" s="125"/>
    </row>
    <row r="81" spans="1:5" ht="16">
      <c r="A81" s="124"/>
      <c r="B81" s="127"/>
      <c r="C81" s="128"/>
      <c r="D81" s="127"/>
      <c r="E81" s="125"/>
    </row>
    <row r="82" spans="1:5" ht="16">
      <c r="A82" s="126" t="s">
        <v>839</v>
      </c>
      <c r="B82" s="127">
        <f>+N24</f>
        <v>-70654291541.525604</v>
      </c>
      <c r="C82" s="128"/>
      <c r="D82" s="127"/>
      <c r="E82" s="125"/>
    </row>
    <row r="83" spans="1:5" ht="16">
      <c r="A83" s="126" t="s">
        <v>242</v>
      </c>
      <c r="B83" s="131">
        <f>+N27</f>
        <v>-850615277</v>
      </c>
      <c r="C83" s="128"/>
      <c r="D83" s="127"/>
      <c r="E83" s="125"/>
    </row>
    <row r="84" spans="1:5" ht="16">
      <c r="A84" s="126" t="s">
        <v>840</v>
      </c>
      <c r="B84" s="127">
        <f>+N31+N30</f>
        <v>0</v>
      </c>
      <c r="C84" s="128"/>
      <c r="D84" s="127"/>
      <c r="E84" s="125"/>
    </row>
    <row r="85" spans="1:5" ht="16">
      <c r="A85" s="124"/>
      <c r="B85" s="127"/>
      <c r="C85" s="128"/>
      <c r="D85" s="127"/>
      <c r="E85" s="125"/>
    </row>
    <row r="86" spans="1:5" ht="16">
      <c r="A86" s="129" t="s">
        <v>841</v>
      </c>
      <c r="B86" s="127"/>
      <c r="C86" s="130">
        <f>SUM(B82:B84)</f>
        <v>-71504906818.525604</v>
      </c>
      <c r="D86" s="127"/>
      <c r="E86" s="125"/>
    </row>
    <row r="87" spans="1:5" ht="16">
      <c r="A87" s="124"/>
      <c r="B87" s="127"/>
      <c r="C87" s="128"/>
      <c r="D87" s="127"/>
      <c r="E87" s="125"/>
    </row>
    <row r="88" spans="1:5" ht="16">
      <c r="A88" s="126" t="s">
        <v>842</v>
      </c>
      <c r="B88" s="127"/>
      <c r="C88" s="128">
        <f>C86+C78+C68</f>
        <v>5588521810.4743958</v>
      </c>
      <c r="D88" s="127">
        <f>O56</f>
        <v>5588521810.826004</v>
      </c>
      <c r="E88" s="132">
        <f>D88-C88</f>
        <v>0.3516082763671875</v>
      </c>
    </row>
    <row r="89" spans="1:5" ht="16">
      <c r="A89" s="126" t="s">
        <v>843</v>
      </c>
      <c r="B89" s="127"/>
      <c r="C89" s="128">
        <f>+E9</f>
        <v>1343838368</v>
      </c>
      <c r="D89" s="127"/>
      <c r="E89" s="132"/>
    </row>
    <row r="90" spans="1:5" ht="16">
      <c r="A90" s="129" t="s">
        <v>844</v>
      </c>
      <c r="B90" s="133"/>
      <c r="C90" s="133">
        <f>SUM(C88:C89)</f>
        <v>6932360178.4743958</v>
      </c>
      <c r="D90" s="127">
        <f>B9</f>
        <v>6932360178.4159966</v>
      </c>
      <c r="E90" s="132">
        <f>D90-C90</f>
        <v>-5.8399200439453125E-2</v>
      </c>
    </row>
    <row r="91" spans="1:5" ht="16">
      <c r="A91" s="125"/>
      <c r="B91" s="125"/>
      <c r="C91" s="125"/>
      <c r="D91" s="125"/>
      <c r="E91" s="125"/>
    </row>
    <row r="92" spans="1:5" ht="16">
      <c r="A92" s="125"/>
      <c r="B92" s="125"/>
      <c r="C92" s="125"/>
      <c r="D92" s="125"/>
      <c r="E92" s="125"/>
    </row>
    <row r="93" spans="1:5" ht="16">
      <c r="A93" s="125"/>
      <c r="B93" s="125"/>
      <c r="C93" s="134"/>
      <c r="D93" s="125"/>
      <c r="E93" s="125"/>
    </row>
    <row r="94" spans="1:5" ht="16">
      <c r="A94" s="125"/>
      <c r="B94" s="125"/>
      <c r="C94" s="125"/>
      <c r="D94" s="125"/>
      <c r="E94" s="125"/>
    </row>
    <row r="95" spans="1:5" ht="16">
      <c r="A95" s="125"/>
      <c r="B95" s="125"/>
      <c r="C95" s="125"/>
      <c r="D95" s="125"/>
      <c r="E95" s="125"/>
    </row>
    <row r="96" spans="1:5" ht="16">
      <c r="A96" s="125"/>
      <c r="B96" s="125"/>
      <c r="C96" s="125"/>
      <c r="D96" s="125"/>
      <c r="E96" s="125"/>
    </row>
    <row r="97" spans="1:5" ht="16">
      <c r="A97" s="125"/>
      <c r="B97" s="125"/>
      <c r="C97" s="125"/>
      <c r="D97" s="125"/>
      <c r="E97" s="125"/>
    </row>
    <row r="98" spans="1:5" ht="16">
      <c r="A98" s="125"/>
      <c r="B98" s="125"/>
      <c r="C98" s="125"/>
      <c r="D98" s="125"/>
      <c r="E98" s="125"/>
    </row>
    <row r="99" spans="1:5" ht="16">
      <c r="A99" s="125"/>
      <c r="B99" s="125"/>
      <c r="C99" s="125"/>
      <c r="D99" s="125"/>
      <c r="E99" s="125"/>
    </row>
  </sheetData>
  <printOptions gridLines="1" gridLinesSet="0"/>
  <pageMargins left="0.74803149606299213" right="0.74803149606299213" top="0.98425196850393704" bottom="0.98425196850393704" header="0.51181102362204722" footer="0.51181102362204722"/>
  <pageSetup paperSize="9" scale="6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002060"/>
  </sheetPr>
  <dimension ref="B1:F57"/>
  <sheetViews>
    <sheetView showGridLines="0" topLeftCell="A40" zoomScale="130" zoomScaleNormal="130" workbookViewId="0">
      <selection activeCell="B63" sqref="B63"/>
    </sheetView>
  </sheetViews>
  <sheetFormatPr baseColWidth="10" defaultColWidth="9.1640625" defaultRowHeight="14"/>
  <cols>
    <col min="1" max="1" width="5.6640625" style="298" customWidth="1"/>
    <col min="2" max="2" width="74.5" style="298" customWidth="1"/>
    <col min="3" max="4" width="11.5" style="298" customWidth="1"/>
    <col min="5" max="5" width="13.1640625" style="298" customWidth="1"/>
    <col min="6" max="6" width="21.83203125" style="298" customWidth="1"/>
    <col min="7" max="7" width="39.5" style="298" customWidth="1"/>
    <col min="8" max="8" width="16.33203125" style="298" customWidth="1"/>
    <col min="9" max="255" width="11.5" style="298" customWidth="1"/>
    <col min="256" max="16384" width="9.1640625" style="298"/>
  </cols>
  <sheetData>
    <row r="1" spans="2:4" ht="44.5" customHeight="1"/>
    <row r="2" spans="2:4">
      <c r="B2" s="299" t="s">
        <v>268</v>
      </c>
    </row>
    <row r="3" spans="2:4">
      <c r="B3" s="299" t="s">
        <v>269</v>
      </c>
      <c r="C3" s="300"/>
      <c r="D3" s="300"/>
    </row>
    <row r="4" spans="2:4">
      <c r="B4" s="300"/>
    </row>
    <row r="5" spans="2:4" ht="45">
      <c r="B5" s="301" t="s">
        <v>1025</v>
      </c>
    </row>
    <row r="6" spans="2:4">
      <c r="B6" s="302"/>
    </row>
    <row r="7" spans="2:4" ht="15">
      <c r="B7" s="300" t="s">
        <v>270</v>
      </c>
      <c r="C7" s="300"/>
      <c r="D7" s="352"/>
    </row>
    <row r="8" spans="2:4">
      <c r="B8" s="302"/>
    </row>
    <row r="9" spans="2:4" ht="15">
      <c r="B9" s="303" t="s">
        <v>945</v>
      </c>
    </row>
    <row r="10" spans="2:4">
      <c r="B10" s="303"/>
    </row>
    <row r="11" spans="2:4" ht="75">
      <c r="B11" s="303" t="s">
        <v>946</v>
      </c>
    </row>
    <row r="12" spans="2:4">
      <c r="B12" s="302"/>
    </row>
    <row r="13" spans="2:4" ht="45">
      <c r="B13" s="302" t="s">
        <v>271</v>
      </c>
    </row>
    <row r="14" spans="2:4">
      <c r="B14" s="302"/>
    </row>
    <row r="15" spans="2:4" ht="15">
      <c r="B15" s="302" t="s">
        <v>272</v>
      </c>
      <c r="D15" s="302"/>
    </row>
    <row r="16" spans="2:4" ht="14.5" customHeight="1">
      <c r="B16" s="304"/>
    </row>
    <row r="17" spans="2:5" ht="30">
      <c r="B17" s="302" t="s">
        <v>273</v>
      </c>
    </row>
    <row r="18" spans="2:5" ht="15">
      <c r="B18" s="302" t="s">
        <v>274</v>
      </c>
    </row>
    <row r="19" spans="2:5" ht="15">
      <c r="B19" s="302" t="s">
        <v>275</v>
      </c>
    </row>
    <row r="20" spans="2:5" ht="15">
      <c r="B20" s="302" t="s">
        <v>276</v>
      </c>
    </row>
    <row r="21" spans="2:5" ht="15">
      <c r="B21" s="302" t="s">
        <v>277</v>
      </c>
    </row>
    <row r="22" spans="2:5" ht="30">
      <c r="B22" s="302" t="s">
        <v>278</v>
      </c>
    </row>
    <row r="23" spans="2:5" ht="30">
      <c r="B23" s="302" t="s">
        <v>279</v>
      </c>
    </row>
    <row r="24" spans="2:5" ht="15">
      <c r="B24" s="302" t="s">
        <v>280</v>
      </c>
    </row>
    <row r="25" spans="2:5" ht="45">
      <c r="B25" s="302" t="s">
        <v>281</v>
      </c>
    </row>
    <row r="26" spans="2:5">
      <c r="B26" s="303"/>
    </row>
    <row r="27" spans="2:5" ht="15">
      <c r="B27" s="303" t="s">
        <v>947</v>
      </c>
    </row>
    <row r="28" spans="2:5">
      <c r="B28" s="305"/>
    </row>
    <row r="29" spans="2:5" ht="60.75" customHeight="1">
      <c r="B29" s="302" t="s">
        <v>932</v>
      </c>
    </row>
    <row r="30" spans="2:5" ht="50.25" customHeight="1">
      <c r="B30" s="302" t="s">
        <v>933</v>
      </c>
      <c r="D30" s="306"/>
      <c r="E30" s="306"/>
    </row>
    <row r="31" spans="2:5" ht="62.25" customHeight="1">
      <c r="B31" s="302" t="s">
        <v>582</v>
      </c>
    </row>
    <row r="32" spans="2:5" ht="56.25" customHeight="1">
      <c r="B32" s="302" t="s">
        <v>581</v>
      </c>
    </row>
    <row r="33" spans="2:6" ht="50.25" customHeight="1">
      <c r="B33" s="302" t="s">
        <v>1054</v>
      </c>
    </row>
    <row r="34" spans="2:6" ht="39.75" customHeight="1">
      <c r="B34" s="302" t="s">
        <v>494</v>
      </c>
    </row>
    <row r="35" spans="2:6" ht="15">
      <c r="B35" s="355"/>
    </row>
    <row r="36" spans="2:6">
      <c r="B36" s="300" t="s">
        <v>282</v>
      </c>
      <c r="C36" s="300"/>
      <c r="D36" s="300"/>
    </row>
    <row r="37" spans="2:6">
      <c r="B37" s="302"/>
    </row>
    <row r="38" spans="2:6" ht="15">
      <c r="B38" s="303" t="s">
        <v>283</v>
      </c>
    </row>
    <row r="39" spans="2:6" ht="30">
      <c r="B39" s="302" t="s">
        <v>949</v>
      </c>
    </row>
    <row r="40" spans="2:6">
      <c r="B40" s="302"/>
    </row>
    <row r="41" spans="2:6" ht="15">
      <c r="B41" s="303" t="s">
        <v>284</v>
      </c>
    </row>
    <row r="42" spans="2:6" ht="102" customHeight="1">
      <c r="B42" s="302" t="s">
        <v>950</v>
      </c>
      <c r="C42" s="302"/>
      <c r="D42" s="302"/>
      <c r="E42" s="302"/>
      <c r="F42" s="302"/>
    </row>
    <row r="43" spans="2:6">
      <c r="B43" s="302"/>
    </row>
    <row r="44" spans="2:6" ht="15">
      <c r="B44" s="303" t="s">
        <v>285</v>
      </c>
    </row>
    <row r="45" spans="2:6" ht="15">
      <c r="B45" s="302" t="s">
        <v>286</v>
      </c>
    </row>
    <row r="46" spans="2:6">
      <c r="B46" s="303"/>
    </row>
    <row r="47" spans="2:6" ht="15">
      <c r="B47" s="303" t="s">
        <v>948</v>
      </c>
    </row>
    <row r="48" spans="2:6" ht="15">
      <c r="B48" s="302" t="s">
        <v>287</v>
      </c>
    </row>
    <row r="49" spans="2:4">
      <c r="B49" s="302"/>
    </row>
    <row r="50" spans="2:4" ht="15">
      <c r="B50" s="303" t="s">
        <v>288</v>
      </c>
    </row>
    <row r="51" spans="2:4" ht="45">
      <c r="B51" s="302" t="s">
        <v>289</v>
      </c>
    </row>
    <row r="52" spans="2:4">
      <c r="B52" s="302"/>
    </row>
    <row r="53" spans="2:4" ht="15">
      <c r="B53" s="303" t="s">
        <v>290</v>
      </c>
    </row>
    <row r="54" spans="2:4" ht="30">
      <c r="B54" s="302" t="s">
        <v>291</v>
      </c>
    </row>
    <row r="55" spans="2:4">
      <c r="B55" s="300"/>
    </row>
    <row r="56" spans="2:4">
      <c r="B56" s="300" t="s">
        <v>292</v>
      </c>
      <c r="C56" s="300"/>
      <c r="D56" s="300"/>
    </row>
    <row r="57" spans="2:4">
      <c r="B57" s="307" t="s">
        <v>293</v>
      </c>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002060"/>
  </sheetPr>
  <dimension ref="B1:L102"/>
  <sheetViews>
    <sheetView showGridLines="0" topLeftCell="A7" zoomScale="130" zoomScaleNormal="130" workbookViewId="0">
      <selection activeCell="G66" sqref="G66"/>
    </sheetView>
  </sheetViews>
  <sheetFormatPr baseColWidth="10" defaultColWidth="11.5" defaultRowHeight="15"/>
  <cols>
    <col min="1" max="1" width="3" style="556" customWidth="1"/>
    <col min="2" max="2" width="5.6640625" style="556" customWidth="1"/>
    <col min="3" max="3" width="47.5" style="556" bestFit="1" customWidth="1"/>
    <col min="4" max="4" width="14.83203125" style="556" customWidth="1"/>
    <col min="5" max="5" width="15.6640625" style="556" bestFit="1" customWidth="1"/>
    <col min="6" max="6" width="15.5" style="556" customWidth="1"/>
    <col min="7" max="7" width="16.5" style="557" bestFit="1" customWidth="1"/>
    <col min="8" max="8" width="16.33203125" style="556" customWidth="1"/>
    <col min="9" max="9" width="15.5" style="556" customWidth="1"/>
    <col min="10" max="10" width="14.1640625" style="556" bestFit="1" customWidth="1"/>
    <col min="11" max="11" width="16.5" style="556" bestFit="1" customWidth="1"/>
    <col min="12" max="12" width="14.1640625" style="556" bestFit="1" customWidth="1"/>
    <col min="13" max="16384" width="11.5" style="556"/>
  </cols>
  <sheetData>
    <row r="1" spans="3:11">
      <c r="C1" s="555"/>
    </row>
    <row r="2" spans="3:11" ht="41" customHeight="1"/>
    <row r="3" spans="3:11" ht="26.5" customHeight="1">
      <c r="C3" s="845" t="s">
        <v>294</v>
      </c>
      <c r="D3" s="845"/>
      <c r="E3" s="845"/>
      <c r="F3" s="845"/>
      <c r="G3" s="845"/>
      <c r="H3" s="845"/>
      <c r="I3" s="845"/>
      <c r="J3" s="845"/>
      <c r="K3" s="845"/>
    </row>
    <row r="4" spans="3:11">
      <c r="C4" s="559" t="s">
        <v>638</v>
      </c>
      <c r="D4" s="558"/>
      <c r="E4" s="558"/>
      <c r="F4" s="558"/>
      <c r="G4" s="558"/>
      <c r="H4" s="558"/>
      <c r="I4" s="558"/>
      <c r="J4" s="558"/>
      <c r="K4" s="558"/>
    </row>
    <row r="5" spans="3:11" ht="18.75" customHeight="1">
      <c r="C5" s="560"/>
    </row>
    <row r="6" spans="3:11">
      <c r="C6" s="561"/>
    </row>
    <row r="7" spans="3:11">
      <c r="C7" s="562" t="s">
        <v>295</v>
      </c>
      <c r="D7" s="351">
        <f>Indice!G6</f>
        <v>45016</v>
      </c>
      <c r="E7" s="563">
        <v>44926</v>
      </c>
    </row>
    <row r="8" spans="3:11" ht="16">
      <c r="C8" s="564" t="s">
        <v>296</v>
      </c>
      <c r="D8" s="565">
        <v>7166.48</v>
      </c>
      <c r="E8" s="565">
        <v>7322.9</v>
      </c>
    </row>
    <row r="9" spans="3:11">
      <c r="C9" s="566" t="s">
        <v>297</v>
      </c>
      <c r="D9" s="565">
        <v>7169.7</v>
      </c>
      <c r="E9" s="565">
        <v>7339.62</v>
      </c>
    </row>
    <row r="11" spans="3:11" ht="16">
      <c r="C11" s="560" t="s">
        <v>974</v>
      </c>
    </row>
    <row r="12" spans="3:11">
      <c r="C12" s="560"/>
    </row>
    <row r="13" spans="3:11" ht="16" thickBot="1">
      <c r="C13" s="567" t="s">
        <v>298</v>
      </c>
    </row>
    <row r="14" spans="3:11" ht="15" customHeight="1">
      <c r="D14" s="839" t="str">
        <f>+'Balance Gral. Resol. 30'!D8</f>
        <v>PERIODO ACTUAL 31/03/ 2023</v>
      </c>
      <c r="E14" s="840"/>
      <c r="F14" s="840"/>
      <c r="G14" s="841"/>
      <c r="H14" s="839" t="str">
        <f>+'Balance Gral. Resol. 30'!E8</f>
        <v>PERIODO ANTERIOR           31/12/ 2022</v>
      </c>
      <c r="I14" s="840"/>
      <c r="J14" s="840"/>
      <c r="K14" s="841"/>
    </row>
    <row r="15" spans="3:11" ht="15" customHeight="1" thickBot="1">
      <c r="D15" s="842"/>
      <c r="E15" s="843"/>
      <c r="F15" s="843"/>
      <c r="G15" s="844"/>
      <c r="H15" s="842"/>
      <c r="I15" s="843"/>
      <c r="J15" s="843"/>
      <c r="K15" s="844"/>
    </row>
    <row r="16" spans="3:11" ht="48">
      <c r="C16" s="562" t="s">
        <v>299</v>
      </c>
      <c r="D16" s="568" t="s">
        <v>300</v>
      </c>
      <c r="E16" s="568" t="s">
        <v>301</v>
      </c>
      <c r="F16" s="568" t="s">
        <v>597</v>
      </c>
      <c r="G16" s="569" t="s">
        <v>595</v>
      </c>
      <c r="H16" s="568" t="s">
        <v>300</v>
      </c>
      <c r="I16" s="568" t="s">
        <v>301</v>
      </c>
      <c r="J16" s="568" t="s">
        <v>598</v>
      </c>
      <c r="K16" s="568" t="s">
        <v>596</v>
      </c>
    </row>
    <row r="17" spans="3:12">
      <c r="C17" s="570" t="s">
        <v>32</v>
      </c>
      <c r="D17" s="571"/>
      <c r="E17" s="571"/>
      <c r="F17" s="571"/>
      <c r="G17" s="572"/>
      <c r="H17" s="571"/>
      <c r="I17" s="571"/>
      <c r="J17" s="571"/>
      <c r="K17" s="571"/>
    </row>
    <row r="18" spans="3:12">
      <c r="C18" s="570" t="s">
        <v>302</v>
      </c>
      <c r="D18" s="571"/>
      <c r="E18" s="571"/>
      <c r="F18" s="571"/>
      <c r="G18" s="572"/>
      <c r="H18" s="571"/>
      <c r="I18" s="571"/>
      <c r="J18" s="571"/>
      <c r="K18" s="571"/>
    </row>
    <row r="19" spans="3:12">
      <c r="C19" s="570" t="s">
        <v>303</v>
      </c>
      <c r="D19" s="571"/>
      <c r="E19" s="573"/>
      <c r="F19" s="571"/>
      <c r="G19" s="572"/>
      <c r="H19" s="571"/>
      <c r="I19" s="573"/>
      <c r="J19" s="571"/>
      <c r="K19" s="571"/>
      <c r="L19" s="557"/>
    </row>
    <row r="20" spans="3:12">
      <c r="C20" s="571" t="s">
        <v>39</v>
      </c>
      <c r="D20" s="574" t="s">
        <v>304</v>
      </c>
      <c r="E20" s="575">
        <v>0</v>
      </c>
      <c r="F20" s="576">
        <f>+D8</f>
        <v>7166.48</v>
      </c>
      <c r="G20" s="577">
        <f>+F20*E20</f>
        <v>0</v>
      </c>
      <c r="H20" s="574" t="s">
        <v>304</v>
      </c>
      <c r="I20" s="575">
        <v>0</v>
      </c>
      <c r="J20" s="576">
        <f>+$E$8</f>
        <v>7322.9</v>
      </c>
      <c r="K20" s="577">
        <v>0</v>
      </c>
    </row>
    <row r="21" spans="3:12">
      <c r="C21" s="571" t="s">
        <v>42</v>
      </c>
      <c r="D21" s="574" t="s">
        <v>304</v>
      </c>
      <c r="E21" s="575">
        <f>+G21/F21</f>
        <v>-1201402.9830544423</v>
      </c>
      <c r="F21" s="576">
        <f>+F20</f>
        <v>7166.48</v>
      </c>
      <c r="G21" s="577">
        <f>-8642059594+'[4]EEFF '!$B$20+'[4]EEFF '!$B$24</f>
        <v>-8609830450</v>
      </c>
      <c r="H21" s="574" t="s">
        <v>304</v>
      </c>
      <c r="I21" s="575">
        <f>+K21/J21</f>
        <v>-886936.81000696449</v>
      </c>
      <c r="J21" s="576">
        <f t="shared" ref="J21:J57" si="0">+$E$8</f>
        <v>7322.9</v>
      </c>
      <c r="K21" s="577">
        <v>-6494949566</v>
      </c>
    </row>
    <row r="22" spans="3:12">
      <c r="C22" s="578" t="s">
        <v>505</v>
      </c>
      <c r="D22" s="579"/>
      <c r="E22" s="575"/>
      <c r="F22" s="576">
        <f t="shared" ref="F22:F57" si="1">+F21</f>
        <v>7166.48</v>
      </c>
      <c r="G22" s="577">
        <f t="shared" ref="G22:G57" si="2">+F22*E22</f>
        <v>0</v>
      </c>
      <c r="H22" s="579"/>
      <c r="I22" s="575">
        <f t="shared" ref="I22:I57" si="3">+K22/J22</f>
        <v>0</v>
      </c>
      <c r="J22" s="576">
        <f t="shared" si="0"/>
        <v>7322.9</v>
      </c>
      <c r="K22" s="577">
        <v>0</v>
      </c>
    </row>
    <row r="23" spans="3:12">
      <c r="C23" s="579" t="s">
        <v>316</v>
      </c>
      <c r="D23" s="580" t="s">
        <v>304</v>
      </c>
      <c r="E23" s="575">
        <v>0</v>
      </c>
      <c r="F23" s="576">
        <f t="shared" si="1"/>
        <v>7166.48</v>
      </c>
      <c r="G23" s="577">
        <f t="shared" si="2"/>
        <v>0</v>
      </c>
      <c r="H23" s="580" t="s">
        <v>304</v>
      </c>
      <c r="I23" s="575">
        <f t="shared" si="3"/>
        <v>0</v>
      </c>
      <c r="J23" s="576">
        <f t="shared" si="0"/>
        <v>7322.9</v>
      </c>
      <c r="K23" s="577">
        <v>0</v>
      </c>
    </row>
    <row r="24" spans="3:12">
      <c r="C24" s="579" t="s">
        <v>317</v>
      </c>
      <c r="D24" s="580" t="s">
        <v>304</v>
      </c>
      <c r="E24" s="575">
        <f>+G24/F24</f>
        <v>4479479.8599870512</v>
      </c>
      <c r="F24" s="576">
        <f t="shared" si="1"/>
        <v>7166.48</v>
      </c>
      <c r="G24" s="577">
        <f>+'[4]EEFF '!$B$28+'[4]EEFF '!$B$29+'[4]EEFF '!$B$38+'[4]EEFF '!$B$39+'[4]EEFF '!$B$42</f>
        <v>32102102827</v>
      </c>
      <c r="H24" s="580" t="s">
        <v>304</v>
      </c>
      <c r="I24" s="575">
        <f t="shared" si="3"/>
        <v>5271239.4716574037</v>
      </c>
      <c r="J24" s="576">
        <f t="shared" si="0"/>
        <v>7322.9</v>
      </c>
      <c r="K24" s="577">
        <v>38600759527</v>
      </c>
    </row>
    <row r="25" spans="3:12">
      <c r="C25" s="579" t="s">
        <v>318</v>
      </c>
      <c r="D25" s="580" t="s">
        <v>304</v>
      </c>
      <c r="E25" s="575"/>
      <c r="F25" s="576">
        <f t="shared" si="1"/>
        <v>7166.48</v>
      </c>
      <c r="G25" s="577">
        <f t="shared" si="2"/>
        <v>0</v>
      </c>
      <c r="H25" s="580" t="s">
        <v>304</v>
      </c>
      <c r="I25" s="575">
        <f t="shared" si="3"/>
        <v>0</v>
      </c>
      <c r="J25" s="576">
        <f t="shared" si="0"/>
        <v>7322.9</v>
      </c>
      <c r="K25" s="577">
        <v>0</v>
      </c>
    </row>
    <row r="26" spans="3:12">
      <c r="C26" s="571"/>
      <c r="D26" s="574"/>
      <c r="E26" s="575"/>
      <c r="F26" s="576">
        <f t="shared" si="1"/>
        <v>7166.48</v>
      </c>
      <c r="G26" s="577">
        <f t="shared" si="2"/>
        <v>0</v>
      </c>
      <c r="H26" s="574"/>
      <c r="I26" s="575">
        <f t="shared" si="3"/>
        <v>0</v>
      </c>
      <c r="J26" s="576">
        <f t="shared" si="0"/>
        <v>7322.9</v>
      </c>
      <c r="K26" s="577">
        <v>0</v>
      </c>
    </row>
    <row r="27" spans="3:12">
      <c r="C27" s="570" t="s">
        <v>98</v>
      </c>
      <c r="D27" s="571"/>
      <c r="E27" s="575"/>
      <c r="F27" s="576">
        <f t="shared" si="1"/>
        <v>7166.48</v>
      </c>
      <c r="G27" s="577">
        <f t="shared" si="2"/>
        <v>0</v>
      </c>
      <c r="H27" s="571"/>
      <c r="I27" s="575">
        <f t="shared" si="3"/>
        <v>0</v>
      </c>
      <c r="J27" s="576">
        <f t="shared" si="0"/>
        <v>7322.9</v>
      </c>
      <c r="K27" s="577">
        <v>0</v>
      </c>
    </row>
    <row r="28" spans="3:12">
      <c r="C28" s="571" t="s">
        <v>55</v>
      </c>
      <c r="D28" s="574" t="s">
        <v>304</v>
      </c>
      <c r="E28" s="575">
        <f>+G28/F28</f>
        <v>607075.88523235952</v>
      </c>
      <c r="F28" s="576">
        <f t="shared" si="1"/>
        <v>7166.48</v>
      </c>
      <c r="G28" s="577">
        <f>'[4]EEFF '!$B$46+4283336909</f>
        <v>4350597190</v>
      </c>
      <c r="H28" s="574" t="s">
        <v>304</v>
      </c>
      <c r="I28" s="575">
        <f t="shared" si="3"/>
        <v>666660.7400073742</v>
      </c>
      <c r="J28" s="576">
        <f t="shared" si="0"/>
        <v>7322.9</v>
      </c>
      <c r="K28" s="577">
        <v>4881889933</v>
      </c>
    </row>
    <row r="29" spans="3:12">
      <c r="C29" s="571" t="s">
        <v>305</v>
      </c>
      <c r="D29" s="574" t="s">
        <v>304</v>
      </c>
      <c r="E29" s="575">
        <v>0</v>
      </c>
      <c r="F29" s="576">
        <f t="shared" si="1"/>
        <v>7166.48</v>
      </c>
      <c r="G29" s="577">
        <f t="shared" si="2"/>
        <v>0</v>
      </c>
      <c r="H29" s="574" t="s">
        <v>304</v>
      </c>
      <c r="I29" s="575">
        <f t="shared" si="3"/>
        <v>0</v>
      </c>
      <c r="J29" s="576">
        <f t="shared" si="0"/>
        <v>7322.9</v>
      </c>
      <c r="K29" s="577">
        <v>0</v>
      </c>
    </row>
    <row r="30" spans="3:12">
      <c r="C30" s="571" t="s">
        <v>306</v>
      </c>
      <c r="D30" s="574" t="s">
        <v>304</v>
      </c>
      <c r="E30" s="575">
        <v>0</v>
      </c>
      <c r="F30" s="576">
        <f t="shared" si="1"/>
        <v>7166.48</v>
      </c>
      <c r="G30" s="577">
        <f t="shared" si="2"/>
        <v>0</v>
      </c>
      <c r="H30" s="574" t="s">
        <v>304</v>
      </c>
      <c r="I30" s="575">
        <f t="shared" si="3"/>
        <v>0</v>
      </c>
      <c r="J30" s="576">
        <f t="shared" si="0"/>
        <v>7322.9</v>
      </c>
      <c r="K30" s="577">
        <v>0</v>
      </c>
    </row>
    <row r="31" spans="3:12">
      <c r="C31" s="571" t="s">
        <v>307</v>
      </c>
      <c r="D31" s="574" t="s">
        <v>304</v>
      </c>
      <c r="E31" s="575">
        <v>0</v>
      </c>
      <c r="F31" s="576">
        <f t="shared" si="1"/>
        <v>7166.48</v>
      </c>
      <c r="G31" s="577">
        <f t="shared" si="2"/>
        <v>0</v>
      </c>
      <c r="H31" s="574" t="s">
        <v>304</v>
      </c>
      <c r="I31" s="575">
        <f t="shared" si="3"/>
        <v>0</v>
      </c>
      <c r="J31" s="576">
        <f t="shared" si="0"/>
        <v>7322.9</v>
      </c>
      <c r="K31" s="577">
        <v>0</v>
      </c>
    </row>
    <row r="32" spans="3:12">
      <c r="C32" s="571" t="s">
        <v>63</v>
      </c>
      <c r="D32" s="574" t="s">
        <v>304</v>
      </c>
      <c r="E32" s="575">
        <f>+G32/F32</f>
        <v>92736.580022549431</v>
      </c>
      <c r="F32" s="576">
        <f t="shared" si="1"/>
        <v>7166.48</v>
      </c>
      <c r="G32" s="577">
        <f>+'[4]EEFF '!$B$63</f>
        <v>664594846</v>
      </c>
      <c r="H32" s="574" t="s">
        <v>304</v>
      </c>
      <c r="I32" s="575">
        <f t="shared" si="3"/>
        <v>52047.010064318783</v>
      </c>
      <c r="J32" s="576">
        <f t="shared" si="0"/>
        <v>7322.9</v>
      </c>
      <c r="K32" s="577">
        <v>381135050</v>
      </c>
    </row>
    <row r="33" spans="2:11">
      <c r="C33" s="571" t="s">
        <v>308</v>
      </c>
      <c r="D33" s="574" t="s">
        <v>304</v>
      </c>
      <c r="E33" s="575">
        <v>0</v>
      </c>
      <c r="F33" s="576">
        <f t="shared" si="1"/>
        <v>7166.48</v>
      </c>
      <c r="G33" s="577">
        <f t="shared" si="2"/>
        <v>0</v>
      </c>
      <c r="H33" s="574" t="s">
        <v>304</v>
      </c>
      <c r="I33" s="575">
        <f t="shared" si="3"/>
        <v>0</v>
      </c>
      <c r="J33" s="576">
        <f t="shared" si="0"/>
        <v>7322.9</v>
      </c>
      <c r="K33" s="577">
        <v>0</v>
      </c>
    </row>
    <row r="34" spans="2:11">
      <c r="C34" s="570" t="s">
        <v>309</v>
      </c>
      <c r="D34" s="571"/>
      <c r="E34" s="575"/>
      <c r="F34" s="576">
        <f t="shared" si="1"/>
        <v>7166.48</v>
      </c>
      <c r="G34" s="577">
        <f t="shared" si="2"/>
        <v>0</v>
      </c>
      <c r="H34" s="571"/>
      <c r="I34" s="575">
        <f t="shared" si="3"/>
        <v>0</v>
      </c>
      <c r="J34" s="576">
        <f t="shared" si="0"/>
        <v>7322.9</v>
      </c>
      <c r="K34" s="577">
        <v>0</v>
      </c>
    </row>
    <row r="35" spans="2:11">
      <c r="B35"/>
      <c r="C35" s="571" t="s">
        <v>310</v>
      </c>
      <c r="D35" s="574" t="s">
        <v>304</v>
      </c>
      <c r="E35" s="575">
        <f>+G35/F35</f>
        <v>0</v>
      </c>
      <c r="F35" s="576">
        <f t="shared" si="1"/>
        <v>7166.48</v>
      </c>
      <c r="G35" s="577">
        <v>0</v>
      </c>
      <c r="H35" s="574" t="s">
        <v>304</v>
      </c>
      <c r="I35" s="575">
        <f t="shared" si="3"/>
        <v>12135.639978696965</v>
      </c>
      <c r="J35" s="576">
        <f t="shared" si="0"/>
        <v>7322.9</v>
      </c>
      <c r="K35" s="577">
        <v>88868078</v>
      </c>
    </row>
    <row r="36" spans="2:11">
      <c r="C36" s="571" t="s">
        <v>311</v>
      </c>
      <c r="D36" s="574" t="s">
        <v>304</v>
      </c>
      <c r="E36" s="575">
        <v>0</v>
      </c>
      <c r="F36" s="576">
        <f t="shared" si="1"/>
        <v>7166.48</v>
      </c>
      <c r="G36" s="577">
        <f t="shared" si="2"/>
        <v>0</v>
      </c>
      <c r="H36" s="574" t="s">
        <v>304</v>
      </c>
      <c r="I36" s="575">
        <f t="shared" si="3"/>
        <v>0</v>
      </c>
      <c r="J36" s="576">
        <f t="shared" si="0"/>
        <v>7322.9</v>
      </c>
      <c r="K36" s="577">
        <v>0</v>
      </c>
    </row>
    <row r="37" spans="2:11">
      <c r="C37" s="570" t="s">
        <v>70</v>
      </c>
      <c r="D37" s="571"/>
      <c r="E37" s="575"/>
      <c r="F37" s="576">
        <f t="shared" si="1"/>
        <v>7166.48</v>
      </c>
      <c r="G37" s="577">
        <v>0</v>
      </c>
      <c r="H37" s="571"/>
      <c r="I37" s="575">
        <f t="shared" si="3"/>
        <v>0</v>
      </c>
      <c r="J37" s="576">
        <f t="shared" si="0"/>
        <v>7322.9</v>
      </c>
      <c r="K37" s="577">
        <v>0</v>
      </c>
    </row>
    <row r="38" spans="2:11">
      <c r="C38" s="571" t="s">
        <v>312</v>
      </c>
      <c r="D38" s="574" t="s">
        <v>304</v>
      </c>
      <c r="E38" s="575">
        <f>+G38/F38</f>
        <v>82920.285691162193</v>
      </c>
      <c r="F38" s="576">
        <f t="shared" si="1"/>
        <v>7166.48</v>
      </c>
      <c r="G38" s="577">
        <f>+'[4]EEFF '!$B$67</f>
        <v>594246569</v>
      </c>
      <c r="H38" s="574" t="s">
        <v>304</v>
      </c>
      <c r="I38" s="575">
        <f t="shared" si="3"/>
        <v>121976.38572150379</v>
      </c>
      <c r="J38" s="576">
        <f t="shared" si="0"/>
        <v>7322.9</v>
      </c>
      <c r="K38" s="577">
        <v>893220875</v>
      </c>
    </row>
    <row r="39" spans="2:11">
      <c r="C39" s="571" t="s">
        <v>313</v>
      </c>
      <c r="D39" s="574" t="s">
        <v>304</v>
      </c>
      <c r="E39" s="575">
        <v>0</v>
      </c>
      <c r="F39" s="576">
        <f t="shared" si="1"/>
        <v>7166.48</v>
      </c>
      <c r="G39" s="577">
        <f t="shared" si="2"/>
        <v>0</v>
      </c>
      <c r="H39" s="574" t="s">
        <v>304</v>
      </c>
      <c r="I39" s="575">
        <f t="shared" si="3"/>
        <v>0</v>
      </c>
      <c r="J39" s="576">
        <f t="shared" si="0"/>
        <v>7322.9</v>
      </c>
      <c r="K39" s="577">
        <v>0</v>
      </c>
    </row>
    <row r="40" spans="2:11">
      <c r="C40" s="581" t="s">
        <v>82</v>
      </c>
      <c r="D40" s="574"/>
      <c r="E40" s="575"/>
      <c r="F40" s="576">
        <f t="shared" si="1"/>
        <v>7166.48</v>
      </c>
      <c r="G40" s="577">
        <f t="shared" si="2"/>
        <v>0</v>
      </c>
      <c r="H40" s="574"/>
      <c r="I40" s="575">
        <f t="shared" si="3"/>
        <v>0</v>
      </c>
      <c r="J40" s="576">
        <f t="shared" si="0"/>
        <v>7322.9</v>
      </c>
      <c r="K40" s="577">
        <v>0</v>
      </c>
    </row>
    <row r="41" spans="2:11">
      <c r="C41" s="578" t="s">
        <v>98</v>
      </c>
      <c r="D41" s="579"/>
      <c r="E41" s="575"/>
      <c r="F41" s="576">
        <f t="shared" si="1"/>
        <v>7166.48</v>
      </c>
      <c r="G41" s="577">
        <f t="shared" si="2"/>
        <v>0</v>
      </c>
      <c r="H41" s="579"/>
      <c r="I41" s="575">
        <f t="shared" si="3"/>
        <v>0</v>
      </c>
      <c r="J41" s="576">
        <f t="shared" si="0"/>
        <v>7322.9</v>
      </c>
      <c r="K41" s="577">
        <v>0</v>
      </c>
    </row>
    <row r="42" spans="2:11" ht="14.25" customHeight="1">
      <c r="C42" s="579" t="s">
        <v>314</v>
      </c>
      <c r="D42" s="580" t="s">
        <v>304</v>
      </c>
      <c r="E42" s="575">
        <v>0</v>
      </c>
      <c r="F42" s="576">
        <f t="shared" si="1"/>
        <v>7166.48</v>
      </c>
      <c r="G42" s="577">
        <f t="shared" si="2"/>
        <v>0</v>
      </c>
      <c r="H42" s="580" t="s">
        <v>304</v>
      </c>
      <c r="I42" s="575">
        <f t="shared" si="3"/>
        <v>0</v>
      </c>
      <c r="J42" s="576">
        <f t="shared" si="0"/>
        <v>7322.9</v>
      </c>
      <c r="K42" s="577">
        <v>0</v>
      </c>
    </row>
    <row r="43" spans="2:11">
      <c r="C43" s="578" t="s">
        <v>315</v>
      </c>
      <c r="D43" s="579"/>
      <c r="E43" s="575"/>
      <c r="F43" s="576">
        <f t="shared" si="1"/>
        <v>7166.48</v>
      </c>
      <c r="G43" s="577">
        <f t="shared" si="2"/>
        <v>0</v>
      </c>
      <c r="H43" s="579"/>
      <c r="I43" s="575">
        <f t="shared" si="3"/>
        <v>0</v>
      </c>
      <c r="J43" s="576">
        <f t="shared" si="0"/>
        <v>7322.9</v>
      </c>
      <c r="K43" s="577">
        <v>0</v>
      </c>
    </row>
    <row r="44" spans="2:11">
      <c r="C44" s="579" t="s">
        <v>316</v>
      </c>
      <c r="D44" s="580" t="s">
        <v>304</v>
      </c>
      <c r="E44" s="575">
        <v>0</v>
      </c>
      <c r="F44" s="576">
        <f t="shared" si="1"/>
        <v>7166.48</v>
      </c>
      <c r="G44" s="577">
        <f t="shared" si="2"/>
        <v>0</v>
      </c>
      <c r="H44" s="580" t="s">
        <v>304</v>
      </c>
      <c r="I44" s="575">
        <f t="shared" si="3"/>
        <v>0</v>
      </c>
      <c r="J44" s="576">
        <f t="shared" si="0"/>
        <v>7322.9</v>
      </c>
      <c r="K44" s="577">
        <v>0</v>
      </c>
    </row>
    <row r="45" spans="2:11">
      <c r="C45" s="579" t="s">
        <v>317</v>
      </c>
      <c r="D45" s="580" t="s">
        <v>304</v>
      </c>
      <c r="E45" s="575">
        <v>0</v>
      </c>
      <c r="F45" s="576">
        <f t="shared" si="1"/>
        <v>7166.48</v>
      </c>
      <c r="G45" s="577">
        <f t="shared" si="2"/>
        <v>0</v>
      </c>
      <c r="H45" s="580" t="s">
        <v>304</v>
      </c>
      <c r="I45" s="575">
        <f t="shared" si="3"/>
        <v>0</v>
      </c>
      <c r="J45" s="576">
        <f t="shared" si="0"/>
        <v>7322.9</v>
      </c>
      <c r="K45" s="577">
        <v>0</v>
      </c>
    </row>
    <row r="46" spans="2:11">
      <c r="C46" s="579" t="s">
        <v>318</v>
      </c>
      <c r="D46" s="580" t="s">
        <v>304</v>
      </c>
      <c r="E46" s="575"/>
      <c r="F46" s="576">
        <f t="shared" si="1"/>
        <v>7166.48</v>
      </c>
      <c r="G46" s="577">
        <f t="shared" si="2"/>
        <v>0</v>
      </c>
      <c r="H46" s="580" t="s">
        <v>304</v>
      </c>
      <c r="I46" s="575">
        <f t="shared" si="3"/>
        <v>0</v>
      </c>
      <c r="J46" s="576">
        <f t="shared" si="0"/>
        <v>7322.9</v>
      </c>
      <c r="K46" s="577">
        <v>0</v>
      </c>
    </row>
    <row r="47" spans="2:11">
      <c r="C47" s="578" t="s">
        <v>319</v>
      </c>
      <c r="D47" s="579"/>
      <c r="E47" s="575"/>
      <c r="F47" s="576">
        <f t="shared" si="1"/>
        <v>7166.48</v>
      </c>
      <c r="G47" s="577">
        <f t="shared" si="2"/>
        <v>0</v>
      </c>
      <c r="H47" s="579"/>
      <c r="I47" s="575">
        <f t="shared" si="3"/>
        <v>0</v>
      </c>
      <c r="J47" s="576">
        <f t="shared" si="0"/>
        <v>7322.9</v>
      </c>
      <c r="K47" s="577">
        <v>0</v>
      </c>
    </row>
    <row r="48" spans="2:11">
      <c r="C48" s="579" t="s">
        <v>320</v>
      </c>
      <c r="D48" s="580" t="s">
        <v>304</v>
      </c>
      <c r="E48" s="575">
        <v>0</v>
      </c>
      <c r="F48" s="576">
        <f t="shared" si="1"/>
        <v>7166.48</v>
      </c>
      <c r="G48" s="577">
        <f t="shared" si="2"/>
        <v>0</v>
      </c>
      <c r="H48" s="580" t="s">
        <v>304</v>
      </c>
      <c r="I48" s="575">
        <f t="shared" si="3"/>
        <v>0</v>
      </c>
      <c r="J48" s="576">
        <f t="shared" si="0"/>
        <v>7322.9</v>
      </c>
      <c r="K48" s="577">
        <v>0</v>
      </c>
    </row>
    <row r="49" spans="3:11">
      <c r="C49" s="579" t="s">
        <v>321</v>
      </c>
      <c r="D49" s="580" t="s">
        <v>304</v>
      </c>
      <c r="E49" s="575">
        <v>0</v>
      </c>
      <c r="F49" s="576">
        <f t="shared" si="1"/>
        <v>7166.48</v>
      </c>
      <c r="G49" s="577">
        <f t="shared" si="2"/>
        <v>0</v>
      </c>
      <c r="H49" s="580" t="s">
        <v>304</v>
      </c>
      <c r="I49" s="575">
        <f t="shared" si="3"/>
        <v>0</v>
      </c>
      <c r="J49" s="576">
        <f t="shared" si="0"/>
        <v>7322.9</v>
      </c>
      <c r="K49" s="577">
        <v>0</v>
      </c>
    </row>
    <row r="50" spans="3:11">
      <c r="C50" s="578" t="s">
        <v>322</v>
      </c>
      <c r="D50" s="579"/>
      <c r="E50" s="575"/>
      <c r="F50" s="576">
        <f t="shared" si="1"/>
        <v>7166.48</v>
      </c>
      <c r="G50" s="577">
        <f t="shared" si="2"/>
        <v>0</v>
      </c>
      <c r="H50" s="579"/>
      <c r="I50" s="575">
        <f t="shared" si="3"/>
        <v>0</v>
      </c>
      <c r="J50" s="576">
        <f t="shared" si="0"/>
        <v>7322.9</v>
      </c>
      <c r="K50" s="577">
        <v>0</v>
      </c>
    </row>
    <row r="51" spans="3:11">
      <c r="C51" s="579" t="s">
        <v>118</v>
      </c>
      <c r="D51" s="580" t="s">
        <v>304</v>
      </c>
      <c r="E51" s="575">
        <v>0</v>
      </c>
      <c r="F51" s="576">
        <f t="shared" si="1"/>
        <v>7166.48</v>
      </c>
      <c r="G51" s="577">
        <f t="shared" si="2"/>
        <v>0</v>
      </c>
      <c r="H51" s="580" t="s">
        <v>304</v>
      </c>
      <c r="I51" s="575">
        <f t="shared" si="3"/>
        <v>0</v>
      </c>
      <c r="J51" s="576">
        <f t="shared" si="0"/>
        <v>7322.9</v>
      </c>
      <c r="K51" s="577">
        <v>0</v>
      </c>
    </row>
    <row r="52" spans="3:11">
      <c r="C52" s="579" t="s">
        <v>119</v>
      </c>
      <c r="D52" s="580" t="s">
        <v>304</v>
      </c>
      <c r="E52" s="575">
        <v>0</v>
      </c>
      <c r="F52" s="576">
        <f t="shared" si="1"/>
        <v>7166.48</v>
      </c>
      <c r="G52" s="577">
        <f t="shared" si="2"/>
        <v>0</v>
      </c>
      <c r="H52" s="580" t="s">
        <v>304</v>
      </c>
      <c r="I52" s="575">
        <f t="shared" si="3"/>
        <v>0</v>
      </c>
      <c r="J52" s="576">
        <f t="shared" si="0"/>
        <v>7322.9</v>
      </c>
      <c r="K52" s="577">
        <v>0</v>
      </c>
    </row>
    <row r="53" spans="3:11">
      <c r="C53" s="579" t="s">
        <v>121</v>
      </c>
      <c r="D53" s="580" t="s">
        <v>304</v>
      </c>
      <c r="E53" s="575">
        <v>0</v>
      </c>
      <c r="F53" s="576">
        <f t="shared" si="1"/>
        <v>7166.48</v>
      </c>
      <c r="G53" s="577">
        <f t="shared" si="2"/>
        <v>0</v>
      </c>
      <c r="H53" s="580" t="s">
        <v>304</v>
      </c>
      <c r="I53" s="575">
        <f t="shared" si="3"/>
        <v>0</v>
      </c>
      <c r="J53" s="576">
        <f t="shared" si="0"/>
        <v>7322.9</v>
      </c>
      <c r="K53" s="577">
        <v>0</v>
      </c>
    </row>
    <row r="54" spans="3:11">
      <c r="C54" s="579" t="s">
        <v>323</v>
      </c>
      <c r="D54" s="580" t="s">
        <v>304</v>
      </c>
      <c r="E54" s="575">
        <v>0</v>
      </c>
      <c r="F54" s="576">
        <f t="shared" si="1"/>
        <v>7166.48</v>
      </c>
      <c r="G54" s="577">
        <f t="shared" si="2"/>
        <v>0</v>
      </c>
      <c r="H54" s="580" t="s">
        <v>304</v>
      </c>
      <c r="I54" s="575">
        <f t="shared" si="3"/>
        <v>0</v>
      </c>
      <c r="J54" s="576">
        <f t="shared" si="0"/>
        <v>7322.9</v>
      </c>
      <c r="K54" s="577">
        <v>0</v>
      </c>
    </row>
    <row r="55" spans="3:11">
      <c r="C55" s="579" t="s">
        <v>123</v>
      </c>
      <c r="D55" s="580" t="s">
        <v>304</v>
      </c>
      <c r="E55" s="575">
        <v>0</v>
      </c>
      <c r="F55" s="576">
        <f t="shared" si="1"/>
        <v>7166.48</v>
      </c>
      <c r="G55" s="577">
        <f t="shared" si="2"/>
        <v>0</v>
      </c>
      <c r="H55" s="580" t="s">
        <v>304</v>
      </c>
      <c r="I55" s="575">
        <f t="shared" si="3"/>
        <v>0</v>
      </c>
      <c r="J55" s="576">
        <f t="shared" si="0"/>
        <v>7322.9</v>
      </c>
      <c r="K55" s="577">
        <v>0</v>
      </c>
    </row>
    <row r="56" spans="3:11">
      <c r="C56" s="581" t="s">
        <v>70</v>
      </c>
      <c r="D56" s="582"/>
      <c r="E56" s="575"/>
      <c r="F56" s="576">
        <f t="shared" si="1"/>
        <v>7166.48</v>
      </c>
      <c r="G56" s="577">
        <f t="shared" si="2"/>
        <v>0</v>
      </c>
      <c r="H56" s="582"/>
      <c r="I56" s="575">
        <f t="shared" si="3"/>
        <v>0</v>
      </c>
      <c r="J56" s="576">
        <f t="shared" si="0"/>
        <v>7322.9</v>
      </c>
      <c r="K56" s="577">
        <v>0</v>
      </c>
    </row>
    <row r="57" spans="3:11">
      <c r="C57" s="579" t="s">
        <v>324</v>
      </c>
      <c r="D57" s="580" t="s">
        <v>304</v>
      </c>
      <c r="E57" s="575">
        <v>0</v>
      </c>
      <c r="F57" s="576">
        <f t="shared" si="1"/>
        <v>7166.48</v>
      </c>
      <c r="G57" s="577">
        <f t="shared" si="2"/>
        <v>0</v>
      </c>
      <c r="H57" s="580" t="s">
        <v>304</v>
      </c>
      <c r="I57" s="575">
        <f t="shared" si="3"/>
        <v>0</v>
      </c>
      <c r="J57" s="576">
        <f t="shared" si="0"/>
        <v>7322.9</v>
      </c>
      <c r="K57" s="577">
        <v>0</v>
      </c>
    </row>
    <row r="60" spans="3:11" ht="48">
      <c r="C60" s="562" t="s">
        <v>299</v>
      </c>
      <c r="D60" s="583" t="s">
        <v>300</v>
      </c>
      <c r="E60" s="583" t="s">
        <v>301</v>
      </c>
      <c r="F60" s="583" t="str">
        <f>+F16</f>
        <v xml:space="preserve">CAMBIO CIERRE PERIODO ACTUAL </v>
      </c>
      <c r="G60" s="584" t="str">
        <f>+G16</f>
        <v>CAMBIO CIERRE PERIODO ACTUAL GUARANIES</v>
      </c>
      <c r="H60" s="583" t="s">
        <v>300</v>
      </c>
      <c r="I60" s="583" t="s">
        <v>301</v>
      </c>
      <c r="J60" s="583" t="str">
        <f>+J16</f>
        <v xml:space="preserve">CAMBIO CIERRE PERIODO ANTERIOR </v>
      </c>
      <c r="K60" s="583" t="str">
        <f>+K16</f>
        <v>CAMBIO CIERRE PERIODO ANTERIOR GUARANIES</v>
      </c>
    </row>
    <row r="61" spans="3:11">
      <c r="C61" s="581" t="s">
        <v>33</v>
      </c>
      <c r="D61" s="582"/>
      <c r="E61" s="582"/>
      <c r="F61" s="582"/>
      <c r="G61" s="585"/>
      <c r="H61" s="582"/>
      <c r="I61" s="582"/>
      <c r="J61" s="582"/>
      <c r="K61" s="582"/>
    </row>
    <row r="62" spans="3:11">
      <c r="C62" s="581" t="s">
        <v>36</v>
      </c>
      <c r="D62" s="582"/>
      <c r="E62" s="582"/>
      <c r="F62" s="582"/>
      <c r="G62" s="585"/>
      <c r="H62" s="582"/>
      <c r="I62" s="582"/>
      <c r="J62" s="582"/>
      <c r="K62" s="582"/>
    </row>
    <row r="63" spans="3:11">
      <c r="C63" s="570" t="s">
        <v>325</v>
      </c>
      <c r="D63" s="571"/>
      <c r="E63" s="573"/>
      <c r="F63" s="586"/>
      <c r="G63" s="577"/>
      <c r="H63" s="571"/>
      <c r="I63" s="573"/>
      <c r="J63" s="571"/>
      <c r="K63" s="571"/>
    </row>
    <row r="64" spans="3:11">
      <c r="C64" s="571" t="s">
        <v>326</v>
      </c>
      <c r="D64" s="574" t="s">
        <v>304</v>
      </c>
      <c r="E64" s="575">
        <f>+G64/F64</f>
        <v>3078.2300514665885</v>
      </c>
      <c r="F64" s="576">
        <f>+D9</f>
        <v>7169.7</v>
      </c>
      <c r="G64" s="577">
        <f>+'[4]EEFF '!$B$130</f>
        <v>22069986</v>
      </c>
      <c r="H64" s="574" t="s">
        <v>304</v>
      </c>
      <c r="I64" s="575">
        <f>+K64/J64</f>
        <v>11827.070066297711</v>
      </c>
      <c r="J64" s="576">
        <f>+$E$9</f>
        <v>7339.62</v>
      </c>
      <c r="K64" s="577">
        <v>86806200</v>
      </c>
    </row>
    <row r="65" spans="3:11">
      <c r="C65" s="571" t="s">
        <v>327</v>
      </c>
      <c r="D65" s="574" t="s">
        <v>304</v>
      </c>
      <c r="E65" s="575">
        <f t="shared" ref="E65:E67" si="4">+G65/F65</f>
        <v>0</v>
      </c>
      <c r="F65" s="576">
        <f>+F64</f>
        <v>7169.7</v>
      </c>
      <c r="G65" s="577">
        <v>0</v>
      </c>
      <c r="H65" s="574" t="s">
        <v>304</v>
      </c>
      <c r="I65" s="575">
        <f t="shared" ref="I65:I88" si="5">+K65/J65</f>
        <v>0</v>
      </c>
      <c r="J65" s="576">
        <f t="shared" ref="J65:J88" si="6">+$E$9</f>
        <v>7339.62</v>
      </c>
      <c r="K65" s="577">
        <v>0</v>
      </c>
    </row>
    <row r="66" spans="3:11">
      <c r="C66" s="571" t="s">
        <v>999</v>
      </c>
      <c r="D66" s="574" t="s">
        <v>304</v>
      </c>
      <c r="E66" s="575">
        <f t="shared" si="4"/>
        <v>1950</v>
      </c>
      <c r="F66" s="576">
        <f t="shared" ref="F66:F88" si="7">+F65</f>
        <v>7169.7</v>
      </c>
      <c r="G66" s="577">
        <f>+'[4]EEFF '!$B$110</f>
        <v>13980915</v>
      </c>
      <c r="H66" s="574" t="s">
        <v>304</v>
      </c>
      <c r="I66" s="575">
        <f t="shared" si="5"/>
        <v>1500</v>
      </c>
      <c r="J66" s="576">
        <f t="shared" si="6"/>
        <v>7339.62</v>
      </c>
      <c r="K66" s="577">
        <v>11009430</v>
      </c>
    </row>
    <row r="67" spans="3:11">
      <c r="C67" s="571" t="s">
        <v>328</v>
      </c>
      <c r="D67" s="574" t="s">
        <v>304</v>
      </c>
      <c r="E67" s="575">
        <f t="shared" si="4"/>
        <v>0</v>
      </c>
      <c r="F67" s="576">
        <f t="shared" si="7"/>
        <v>7169.7</v>
      </c>
      <c r="G67" s="577">
        <v>0</v>
      </c>
      <c r="H67" s="574" t="s">
        <v>304</v>
      </c>
      <c r="I67" s="575">
        <f t="shared" si="5"/>
        <v>0</v>
      </c>
      <c r="J67" s="576">
        <f t="shared" si="6"/>
        <v>7339.62</v>
      </c>
      <c r="K67" s="577">
        <v>0</v>
      </c>
    </row>
    <row r="68" spans="3:11">
      <c r="C68" s="570" t="s">
        <v>86</v>
      </c>
      <c r="D68" s="571"/>
      <c r="E68" s="575"/>
      <c r="F68" s="576">
        <f t="shared" si="7"/>
        <v>7169.7</v>
      </c>
      <c r="G68" s="577">
        <f t="shared" ref="G68:G87" si="8">+F68*E68</f>
        <v>0</v>
      </c>
      <c r="H68" s="571"/>
      <c r="I68" s="575">
        <f t="shared" si="5"/>
        <v>0</v>
      </c>
      <c r="J68" s="576">
        <f t="shared" si="6"/>
        <v>7339.62</v>
      </c>
      <c r="K68" s="577">
        <v>0</v>
      </c>
    </row>
    <row r="69" spans="3:11">
      <c r="C69" s="571" t="s">
        <v>329</v>
      </c>
      <c r="D69" s="574" t="s">
        <v>304</v>
      </c>
      <c r="E69" s="575">
        <v>1627000</v>
      </c>
      <c r="F69" s="576">
        <f t="shared" si="7"/>
        <v>7169.7</v>
      </c>
      <c r="G69" s="577">
        <f>+'[4]EEFF '!$B$114</f>
        <v>15966921900</v>
      </c>
      <c r="H69" s="574" t="s">
        <v>304</v>
      </c>
      <c r="I69" s="575">
        <f t="shared" si="5"/>
        <v>2227000</v>
      </c>
      <c r="J69" s="576">
        <f t="shared" si="6"/>
        <v>7339.62</v>
      </c>
      <c r="K69" s="577">
        <v>16345333740</v>
      </c>
    </row>
    <row r="70" spans="3:11">
      <c r="C70" s="571" t="s">
        <v>330</v>
      </c>
      <c r="D70" s="574" t="s">
        <v>304</v>
      </c>
      <c r="E70" s="575">
        <f>+G70/F70</f>
        <v>117092.48002008452</v>
      </c>
      <c r="F70" s="576">
        <f t="shared" si="7"/>
        <v>7169.7</v>
      </c>
      <c r="G70" s="577">
        <f>+'[4]EEFF '!$B$117</f>
        <v>839517954</v>
      </c>
      <c r="H70" s="574" t="s">
        <v>304</v>
      </c>
      <c r="I70" s="575">
        <f t="shared" si="5"/>
        <v>147180.84001624063</v>
      </c>
      <c r="J70" s="576">
        <f t="shared" si="6"/>
        <v>7339.62</v>
      </c>
      <c r="K70" s="577">
        <v>1080251437</v>
      </c>
    </row>
    <row r="71" spans="3:11">
      <c r="C71" s="571" t="s">
        <v>847</v>
      </c>
      <c r="D71" s="574" t="s">
        <v>304</v>
      </c>
      <c r="E71" s="575">
        <f t="shared" ref="E71:E73" si="9">+G71/F71</f>
        <v>0</v>
      </c>
      <c r="F71" s="576">
        <f t="shared" si="7"/>
        <v>7169.7</v>
      </c>
      <c r="G71" s="577">
        <v>0</v>
      </c>
      <c r="H71" s="574" t="s">
        <v>304</v>
      </c>
      <c r="I71" s="575">
        <f t="shared" si="5"/>
        <v>0</v>
      </c>
      <c r="J71" s="576">
        <f t="shared" si="6"/>
        <v>7339.62</v>
      </c>
      <c r="K71" s="577">
        <v>0</v>
      </c>
    </row>
    <row r="72" spans="3:11">
      <c r="C72" s="571" t="s">
        <v>848</v>
      </c>
      <c r="D72" s="574" t="s">
        <v>304</v>
      </c>
      <c r="E72" s="575">
        <f t="shared" si="9"/>
        <v>4018168.2399542518</v>
      </c>
      <c r="F72" s="576">
        <f t="shared" si="7"/>
        <v>7169.7</v>
      </c>
      <c r="G72" s="577">
        <f>+'[4]EEFF '!$B$122+'[4]EEFF '!$B$119</f>
        <v>28809060830</v>
      </c>
      <c r="H72" s="574" t="s">
        <v>304</v>
      </c>
      <c r="I72" s="575">
        <f t="shared" si="5"/>
        <v>4861403.8100065123</v>
      </c>
      <c r="J72" s="576">
        <f t="shared" si="6"/>
        <v>7339.62</v>
      </c>
      <c r="K72" s="577">
        <v>35680856632</v>
      </c>
    </row>
    <row r="73" spans="3:11">
      <c r="C73" s="571" t="s">
        <v>849</v>
      </c>
      <c r="D73" s="574" t="s">
        <v>304</v>
      </c>
      <c r="E73" s="575">
        <f t="shared" si="9"/>
        <v>0</v>
      </c>
      <c r="F73" s="576">
        <f t="shared" si="7"/>
        <v>7169.7</v>
      </c>
      <c r="G73" s="577">
        <v>0</v>
      </c>
      <c r="H73" s="574" t="s">
        <v>304</v>
      </c>
      <c r="I73" s="575">
        <f t="shared" si="5"/>
        <v>0</v>
      </c>
      <c r="J73" s="576">
        <f t="shared" si="6"/>
        <v>7339.62</v>
      </c>
      <c r="K73" s="577">
        <v>0</v>
      </c>
    </row>
    <row r="74" spans="3:11">
      <c r="C74" s="570" t="s">
        <v>54</v>
      </c>
      <c r="D74" s="571"/>
      <c r="E74" s="575"/>
      <c r="F74" s="576">
        <f>+F71</f>
        <v>7169.7</v>
      </c>
      <c r="G74" s="577">
        <f t="shared" si="8"/>
        <v>0</v>
      </c>
      <c r="H74" s="571"/>
      <c r="I74" s="575">
        <f t="shared" si="5"/>
        <v>0</v>
      </c>
      <c r="J74" s="576">
        <f t="shared" si="6"/>
        <v>7339.62</v>
      </c>
      <c r="K74" s="577">
        <v>0</v>
      </c>
    </row>
    <row r="75" spans="3:11">
      <c r="C75" s="571" t="s">
        <v>331</v>
      </c>
      <c r="D75" s="574" t="s">
        <v>304</v>
      </c>
      <c r="E75" s="575">
        <v>0</v>
      </c>
      <c r="F75" s="576">
        <f t="shared" si="7"/>
        <v>7169.7</v>
      </c>
      <c r="G75" s="577">
        <f t="shared" si="8"/>
        <v>0</v>
      </c>
      <c r="H75" s="574" t="s">
        <v>304</v>
      </c>
      <c r="I75" s="575">
        <f t="shared" si="5"/>
        <v>0</v>
      </c>
      <c r="J75" s="576">
        <f t="shared" si="6"/>
        <v>7339.62</v>
      </c>
      <c r="K75" s="577">
        <v>0</v>
      </c>
    </row>
    <row r="76" spans="3:11">
      <c r="C76" s="571" t="s">
        <v>332</v>
      </c>
      <c r="D76" s="574" t="s">
        <v>304</v>
      </c>
      <c r="E76" s="575">
        <v>0</v>
      </c>
      <c r="F76" s="576">
        <f t="shared" si="7"/>
        <v>7169.7</v>
      </c>
      <c r="G76" s="577">
        <f t="shared" si="8"/>
        <v>0</v>
      </c>
      <c r="H76" s="574" t="s">
        <v>304</v>
      </c>
      <c r="I76" s="575">
        <f t="shared" si="5"/>
        <v>0</v>
      </c>
      <c r="J76" s="576">
        <f t="shared" si="6"/>
        <v>7339.62</v>
      </c>
      <c r="K76" s="577">
        <v>0</v>
      </c>
    </row>
    <row r="77" spans="3:11">
      <c r="C77" s="571" t="s">
        <v>62</v>
      </c>
      <c r="D77" s="574" t="s">
        <v>304</v>
      </c>
      <c r="E77" s="575">
        <v>0</v>
      </c>
      <c r="F77" s="576">
        <f t="shared" si="7"/>
        <v>7169.7</v>
      </c>
      <c r="G77" s="577">
        <f t="shared" si="8"/>
        <v>0</v>
      </c>
      <c r="H77" s="574" t="s">
        <v>304</v>
      </c>
      <c r="I77" s="575">
        <f t="shared" si="5"/>
        <v>0</v>
      </c>
      <c r="J77" s="576">
        <f t="shared" si="6"/>
        <v>7339.62</v>
      </c>
      <c r="K77" s="577">
        <v>0</v>
      </c>
    </row>
    <row r="78" spans="3:11">
      <c r="C78" s="571" t="s">
        <v>75</v>
      </c>
      <c r="D78" s="574" t="s">
        <v>304</v>
      </c>
      <c r="E78" s="575">
        <v>0</v>
      </c>
      <c r="F78" s="576">
        <f t="shared" si="7"/>
        <v>7169.7</v>
      </c>
      <c r="G78" s="577">
        <f t="shared" si="8"/>
        <v>0</v>
      </c>
      <c r="H78" s="574" t="s">
        <v>304</v>
      </c>
      <c r="I78" s="575">
        <f t="shared" si="5"/>
        <v>0</v>
      </c>
      <c r="J78" s="576">
        <f t="shared" si="6"/>
        <v>7339.62</v>
      </c>
      <c r="K78" s="577">
        <v>0</v>
      </c>
    </row>
    <row r="79" spans="3:11">
      <c r="C79" s="571" t="s">
        <v>333</v>
      </c>
      <c r="D79" s="574" t="s">
        <v>304</v>
      </c>
      <c r="E79" s="575">
        <v>0</v>
      </c>
      <c r="F79" s="576">
        <f t="shared" si="7"/>
        <v>7169.7</v>
      </c>
      <c r="G79" s="577">
        <f t="shared" si="8"/>
        <v>0</v>
      </c>
      <c r="H79" s="574" t="s">
        <v>304</v>
      </c>
      <c r="I79" s="575">
        <f t="shared" si="5"/>
        <v>0</v>
      </c>
      <c r="J79" s="576">
        <f t="shared" si="6"/>
        <v>7339.62</v>
      </c>
      <c r="K79" s="577">
        <v>0</v>
      </c>
    </row>
    <row r="80" spans="3:11">
      <c r="C80" s="581" t="s">
        <v>334</v>
      </c>
      <c r="D80" s="582"/>
      <c r="E80" s="575"/>
      <c r="F80" s="576">
        <f t="shared" si="7"/>
        <v>7169.7</v>
      </c>
      <c r="G80" s="577">
        <f t="shared" si="8"/>
        <v>0</v>
      </c>
      <c r="H80" s="582"/>
      <c r="I80" s="575">
        <f t="shared" si="5"/>
        <v>0</v>
      </c>
      <c r="J80" s="576">
        <f t="shared" si="6"/>
        <v>7339.62</v>
      </c>
      <c r="K80" s="577">
        <v>0</v>
      </c>
    </row>
    <row r="81" spans="3:11">
      <c r="C81" s="570" t="s">
        <v>86</v>
      </c>
      <c r="D81" s="571"/>
      <c r="E81" s="575"/>
      <c r="F81" s="576">
        <f t="shared" si="7"/>
        <v>7169.7</v>
      </c>
      <c r="G81" s="577">
        <f t="shared" si="8"/>
        <v>0</v>
      </c>
      <c r="H81" s="571"/>
      <c r="I81" s="575">
        <f t="shared" si="5"/>
        <v>0</v>
      </c>
      <c r="J81" s="576">
        <f t="shared" si="6"/>
        <v>7339.62</v>
      </c>
      <c r="K81" s="577">
        <v>0</v>
      </c>
    </row>
    <row r="82" spans="3:11">
      <c r="C82" s="571" t="s">
        <v>329</v>
      </c>
      <c r="D82" s="574" t="s">
        <v>304</v>
      </c>
      <c r="E82" s="575">
        <v>0</v>
      </c>
      <c r="F82" s="576">
        <f t="shared" si="7"/>
        <v>7169.7</v>
      </c>
      <c r="G82" s="577">
        <f t="shared" si="8"/>
        <v>0</v>
      </c>
      <c r="H82" s="574" t="s">
        <v>304</v>
      </c>
      <c r="I82" s="575">
        <f t="shared" si="5"/>
        <v>0</v>
      </c>
      <c r="J82" s="576">
        <f t="shared" si="6"/>
        <v>7339.62</v>
      </c>
      <c r="K82" s="577">
        <v>0</v>
      </c>
    </row>
    <row r="83" spans="3:11">
      <c r="C83" s="571" t="s">
        <v>330</v>
      </c>
      <c r="D83" s="574" t="s">
        <v>304</v>
      </c>
      <c r="E83" s="575">
        <v>0</v>
      </c>
      <c r="F83" s="576">
        <f t="shared" si="7"/>
        <v>7169.7</v>
      </c>
      <c r="G83" s="577">
        <f t="shared" si="8"/>
        <v>0</v>
      </c>
      <c r="H83" s="574" t="s">
        <v>304</v>
      </c>
      <c r="I83" s="575">
        <f t="shared" si="5"/>
        <v>0</v>
      </c>
      <c r="J83" s="576">
        <f t="shared" si="6"/>
        <v>7339.62</v>
      </c>
      <c r="K83" s="577">
        <v>0</v>
      </c>
    </row>
    <row r="84" spans="3:11">
      <c r="C84" s="570" t="s">
        <v>71</v>
      </c>
      <c r="D84" s="571"/>
      <c r="E84" s="575"/>
      <c r="F84" s="576">
        <f t="shared" si="7"/>
        <v>7169.7</v>
      </c>
      <c r="G84" s="577">
        <f t="shared" si="8"/>
        <v>0</v>
      </c>
      <c r="H84" s="571"/>
      <c r="I84" s="575">
        <f t="shared" si="5"/>
        <v>0</v>
      </c>
      <c r="J84" s="576">
        <f t="shared" si="6"/>
        <v>7339.62</v>
      </c>
      <c r="K84" s="577">
        <v>0</v>
      </c>
    </row>
    <row r="85" spans="3:11">
      <c r="C85" s="571" t="s">
        <v>52</v>
      </c>
      <c r="D85" s="574" t="s">
        <v>304</v>
      </c>
      <c r="E85" s="575">
        <v>0</v>
      </c>
      <c r="F85" s="576">
        <f t="shared" si="7"/>
        <v>7169.7</v>
      </c>
      <c r="G85" s="577">
        <f t="shared" si="8"/>
        <v>0</v>
      </c>
      <c r="H85" s="574" t="s">
        <v>304</v>
      </c>
      <c r="I85" s="575">
        <f t="shared" si="5"/>
        <v>0</v>
      </c>
      <c r="J85" s="576">
        <f t="shared" si="6"/>
        <v>7339.62</v>
      </c>
      <c r="K85" s="577">
        <v>0</v>
      </c>
    </row>
    <row r="86" spans="3:11">
      <c r="C86" s="571" t="s">
        <v>335</v>
      </c>
      <c r="D86" s="574" t="s">
        <v>304</v>
      </c>
      <c r="E86" s="575">
        <v>0</v>
      </c>
      <c r="F86" s="576">
        <f t="shared" si="7"/>
        <v>7169.7</v>
      </c>
      <c r="G86" s="577">
        <f t="shared" si="8"/>
        <v>0</v>
      </c>
      <c r="H86" s="574" t="s">
        <v>304</v>
      </c>
      <c r="I86" s="575">
        <f t="shared" si="5"/>
        <v>0</v>
      </c>
      <c r="J86" s="576">
        <f t="shared" si="6"/>
        <v>7339.62</v>
      </c>
      <c r="K86" s="577">
        <v>0</v>
      </c>
    </row>
    <row r="87" spans="3:11">
      <c r="C87" s="571" t="s">
        <v>336</v>
      </c>
      <c r="D87" s="574" t="s">
        <v>304</v>
      </c>
      <c r="E87" s="575">
        <v>0</v>
      </c>
      <c r="F87" s="576">
        <f t="shared" si="7"/>
        <v>7169.7</v>
      </c>
      <c r="G87" s="577">
        <f t="shared" si="8"/>
        <v>0</v>
      </c>
      <c r="H87" s="574" t="s">
        <v>304</v>
      </c>
      <c r="I87" s="575">
        <f t="shared" si="5"/>
        <v>0</v>
      </c>
      <c r="J87" s="576">
        <f t="shared" si="6"/>
        <v>7339.62</v>
      </c>
      <c r="K87" s="577">
        <v>0</v>
      </c>
    </row>
    <row r="88" spans="3:11">
      <c r="C88" s="571" t="s">
        <v>915</v>
      </c>
      <c r="D88" s="574" t="s">
        <v>304</v>
      </c>
      <c r="E88" s="575">
        <f>+G88/F88</f>
        <v>0</v>
      </c>
      <c r="F88" s="576">
        <f t="shared" si="7"/>
        <v>7169.7</v>
      </c>
      <c r="G88" s="577">
        <v>0</v>
      </c>
      <c r="H88" s="574" t="s">
        <v>304</v>
      </c>
      <c r="I88" s="575">
        <f t="shared" si="5"/>
        <v>0</v>
      </c>
      <c r="J88" s="576">
        <f t="shared" si="6"/>
        <v>7339.62</v>
      </c>
      <c r="K88" s="577">
        <v>0</v>
      </c>
    </row>
    <row r="91" spans="3:11" ht="16">
      <c r="C91" s="560" t="s">
        <v>975</v>
      </c>
    </row>
    <row r="93" spans="3:11">
      <c r="C93" s="587"/>
      <c r="D93" s="837">
        <f>+D7</f>
        <v>45016</v>
      </c>
      <c r="E93" s="838"/>
      <c r="F93" s="846">
        <f>+E7</f>
        <v>44926</v>
      </c>
      <c r="G93" s="847"/>
    </row>
    <row r="94" spans="3:11" ht="48">
      <c r="C94" s="583" t="s">
        <v>337</v>
      </c>
      <c r="D94" s="588" t="s">
        <v>338</v>
      </c>
      <c r="E94" s="588" t="s">
        <v>339</v>
      </c>
      <c r="F94" s="588" t="s">
        <v>340</v>
      </c>
      <c r="G94" s="588" t="s">
        <v>341</v>
      </c>
    </row>
    <row r="95" spans="3:11" ht="25.5" customHeight="1">
      <c r="C95" s="589" t="s">
        <v>342</v>
      </c>
      <c r="D95" s="590">
        <f>+D8</f>
        <v>7166.48</v>
      </c>
      <c r="E95" s="591">
        <f>+'Estado de Resultado Resol. 30'!D96</f>
        <v>1892720717</v>
      </c>
      <c r="F95" s="592">
        <v>7322.9</v>
      </c>
      <c r="G95" s="591">
        <v>4651600421</v>
      </c>
      <c r="I95" s="593"/>
      <c r="J95" s="594"/>
      <c r="K95" s="594"/>
    </row>
    <row r="96" spans="3:11" ht="25.5" customHeight="1">
      <c r="C96" s="589" t="s">
        <v>343</v>
      </c>
      <c r="D96" s="590">
        <f>+D9</f>
        <v>7169.7</v>
      </c>
      <c r="E96" s="591">
        <v>0</v>
      </c>
      <c r="F96" s="592">
        <v>7339.62</v>
      </c>
      <c r="G96" s="591">
        <v>0</v>
      </c>
      <c r="J96" s="595"/>
      <c r="K96" s="595"/>
    </row>
    <row r="97" spans="3:8" ht="25.5" customHeight="1">
      <c r="C97" s="589" t="s">
        <v>344</v>
      </c>
      <c r="D97" s="590">
        <f>+D95</f>
        <v>7166.48</v>
      </c>
      <c r="E97" s="591">
        <f>+'Estado de Resultado Resol. 30'!D99</f>
        <v>1078321621</v>
      </c>
      <c r="F97" s="592">
        <v>7322.9</v>
      </c>
      <c r="G97" s="591">
        <v>3767177757</v>
      </c>
    </row>
    <row r="98" spans="3:8" ht="25.5" customHeight="1">
      <c r="C98" s="589" t="s">
        <v>345</v>
      </c>
      <c r="D98" s="590">
        <f>+D96</f>
        <v>7169.7</v>
      </c>
      <c r="E98" s="591">
        <v>0</v>
      </c>
      <c r="F98" s="592">
        <v>7339.62</v>
      </c>
      <c r="G98" s="591">
        <v>0</v>
      </c>
    </row>
    <row r="99" spans="3:8">
      <c r="C99" s="587" t="s">
        <v>346</v>
      </c>
      <c r="D99" s="596"/>
      <c r="E99" s="596">
        <f>+E95+E96-E97-E98</f>
        <v>814399096</v>
      </c>
      <c r="F99" s="596"/>
      <c r="G99" s="596">
        <v>884422664</v>
      </c>
    </row>
    <row r="100" spans="3:8">
      <c r="E100" s="597"/>
    </row>
    <row r="101" spans="3:8">
      <c r="E101" s="598">
        <f>+'Estado de Resultado Resol. 30'!D96-'Estado de Resultado Resol. 30'!D99-E99</f>
        <v>0</v>
      </c>
      <c r="F101" s="557"/>
      <c r="H101" s="598"/>
    </row>
    <row r="102" spans="3:8">
      <c r="E102" s="557"/>
      <c r="F102" s="557"/>
      <c r="H102" s="557"/>
    </row>
  </sheetData>
  <mergeCells count="5">
    <mergeCell ref="D93:E93"/>
    <mergeCell ref="D14:G15"/>
    <mergeCell ref="H14:K15"/>
    <mergeCell ref="C3:K3"/>
    <mergeCell ref="F93:G93"/>
  </mergeCells>
  <hyperlinks>
    <hyperlink ref="C4" location="'Balance Gral. Resol. 30'!A1" display="'Balance Gral. Resol. 30'!A1" xr:uid="{00000000-0004-0000-0800-000000000000}"/>
  </hyperlinks>
  <pageMargins left="0.7" right="0.7" top="0.75" bottom="0.75" header="0.3" footer="0.3"/>
  <pageSetup paperSize="9" orientation="portrait" horizontalDpi="300" verticalDpi="300"/>
  <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f+Y+BkOSk9guXXjn5TACbuHHDn+9fMAlnfvFpg8ATwI=</DigestValue>
    </Reference>
    <Reference Type="http://www.w3.org/2000/09/xmldsig#Object" URI="#idOfficeObject">
      <DigestMethod Algorithm="http://www.w3.org/2001/04/xmlenc#sha256"/>
      <DigestValue>q8Nerjf9Osj4b1xClGFlJ1JbKIIRWNNikwOvn5EQpDw=</DigestValue>
    </Reference>
    <Reference Type="http://uri.etsi.org/01903#SignedProperties" URI="#idSignedProperties">
      <Transforms>
        <Transform Algorithm="http://www.w3.org/TR/2001/REC-xml-c14n-20010315"/>
      </Transforms>
      <DigestMethod Algorithm="http://www.w3.org/2001/04/xmlenc#sha256"/>
      <DigestValue>+JOarXEnDarcNAYwwaffqRsn2pYJoI3MboYSR8cU4kQ=</DigestValue>
    </Reference>
    <Reference Type="http://www.w3.org/2000/09/xmldsig#Object" URI="#idValidSigLnImg">
      <DigestMethod Algorithm="http://www.w3.org/2001/04/xmlenc#sha256"/>
      <DigestValue>BSvF6KI9LBnUmqyFnQ7DGGwygHWdr7kd65e9l25GgqA=</DigestValue>
    </Reference>
    <Reference Type="http://www.w3.org/2000/09/xmldsig#Object" URI="#idInvalidSigLnImg">
      <DigestMethod Algorithm="http://www.w3.org/2001/04/xmlenc#sha256"/>
      <DigestValue>4fiDcg7dEbfq8yoWdcEDks8S3RpU3CuRuXaBM1Jn89A=</DigestValue>
    </Reference>
  </SignedInfo>
  <SignatureValue>pCyb2K3OrPDPsGYKrZ9vKRgVRvDvUSEKvjQIdVeR0v3f705zZjC4jjR8NKn9Hms/RY72VWRrNSmq
sMda3gAO+8npwvlrvgn0eKqK2frK6Fq2F2G+ebo50U62IFdjJIjQ9jfhxSs3/ZOW+I+NJa2xW4Qi
qayfCK4SqEWc7g4FtoStpBqCTGrxlvGV793ax15iKDHzF7J+KVP2tSBL9iqUEOvvdXtprTXN0ImL
Yyp3Ini9I2ngVMpLv6j4oOg9vkoaMO1nwBBNdyEKBYUP0xWLKSZbrqsPXAAW1IRCOX6GqSfyyljV
WnDOnKoKGccF8s0ltSDRQr1bnsUYJiA+S+wyKw==</SignatureValue>
  <KeyInfo>
    <X509Data>
      <X509Certificate>MIIIeDCCBmCgAwIBAgIIMS6DM34hZtswDQYJKoZIhvcNAQELBQAwWjEaMBgGA1UEAwwRQ0EtRE9DVU1FTlRBIFMuQS4xFjAUBgNVBAUTDVJVQzgwMDUwMTcyLTExFzAVBgNVBAoMDkRPQ1VNRU5UQSBTLkEuMQswCQYDVQQGEwJQWTAeFw0yMzAzMzExOTE3MDBaFw0yNTAzMzAxOTE3MDBaMIGnMRowGAYDVQQDDBFTQURZIFNNSUQgUEVSRUlSQTESMBAGA1UEBRMJQ0kxNTQ3OTU4MRIwEAYDVQQqDAlTQURZIFNNSUQxEDAOBgNVBAQMB1BFUkVJUkExCzAJBgNVBAsMAkYyMTUwMwYDVQQKDCxDRVJUSUZJQ0FETyBDVUFMSUZJQ0FETyBERSBGSVJNQSBFTEVDVFJPTklDQTELMAkGA1UEBhMCUFkwggEiMA0GCSqGSIb3DQEBAQUAA4IBDwAwggEKAoIBAQDcv4jg9UQVYMQW3nTZbudZmlc3d7ZDhKC++1NiAFDou0FCci5HIYOxzaqCq2awvXcrPdy+yXZ9Vhn4m0pUDGiuhWEc9LCnE39ip/FGpYATj0qTlPY2JbKwxPQq/9M4c3uairv4Jsv8SC26mhfnQ5NAVEe8BoH1jB2/45RBbHELV3pCZXGUb7SI1tqh4HzVsmfyZkuGazTBUAI2CwR4u3gRS6j0q3HuK5Qe2Ysa34BGgYkoY2vWKGfLpUeij4uVPaAPAIEVCdfC2FSAFsMfe6vkk3pLs311J0x3+QAVWCmth70T/b3EiGpOcMAyl7+wHKjs75LOqrlgWQOvYIi/rUXXAgMBAAGjggPyMIID7jAMBgNVHRMBAf8EAjAAMB8GA1UdIwQYMBaAFKE9hSvN2CyWHzkCDJ9TO1jYlQt7MIGUBggrBgEFBQcBAQSBhzCBhDBVBggrBgEFBQcwAoZJaHR0cHM6Ly93d3cuZGlnaXRvLmNvbS5weS91cGxvYWRzL2NlcnRpZmljYWRvLWRvY3VtZW50YS1zYS0xNTM1MTE3NzcxLmNydDArBggrBgEFBQcwAYYfaHR0cHM6Ly93d3cuZGlnaXRvLmNvbS5weS9vY3NwLzBVBgNVHREETjBMgR5zYWR5LnBlcmVpcmFAaW5wb3NpdGl2YS5jb20ucHm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QQKzMg1tda9/gvYWPq+p2XbNk27DAOBgNVHQ8BAf8EBAMCBeAwDQYJKoZIhvcNAQELBQADggIBAHontLGuu9Ch1UJ+wEl3kVVKHj02tuHmGtakXsQ1uBtkJXIQeSPa6cwovoWksYUL8aL2tEskLbxoT9OPhkPR/XQt4Lsvd8A7CbMfasQclS8dFt7nHkGMIUfPewGyRifAUXSzcCqNChoIpr0M+j0p5ZCc9vQEeeT4x4Z12DB2YqVLM5EjtCOUumILB8E333S2Zy3HmWXwqbCLpjIl6ANZ6t6SKFuQP9YUftVHgP4HIbW3Mg+q0q69z7++isI0MDCkAP8GLZ75OePNzkdKSCh4cSxUYdpugnGeLBFkY6TpsksH9zPXgpGfJ2301bEvAcOnKRifNdwqLS3Du/qpl2GHh5HPn6nhf/aNIm/E/HIqhk3e5EsaLthc1t1c7RnFymp4DyY/Xrq7u40wdIrrfzHVNBO8YNiwXJczNt9P53V/Lo3JDHUgLP7SHwvcObBBKeuO+bpxHgDpXPjJj+ZP9GCkO69dBHL/Ehj+YUiepdJMcviX2KO28B7jUxXt60Q1yVR7yjzueZBZINbnyXrn9f7M84t7P1Ik9kp0dN6cS62ZM4bMBxuHQ3aGh5Shsg/yEkTSw4kkxYxoMyiWfLSOXrhhyuET2KgpcWlmWfpj3FCffhR+cE02JweXOsXdLArvWaToBUadap8KY7pzztPMXJ83aPFpF8Q2VMkx2eUcpneJ16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GftFG++9N6IfxrjT0dGhTRZ56rA9V4WS5LsoGqIjsss=</DigestValue>
      </Reference>
      <Reference URI="/xl/calcChain.xml?ContentType=application/vnd.openxmlformats-officedocument.spreadsheetml.calcChain+xml">
        <DigestMethod Algorithm="http://www.w3.org/2001/04/xmlenc#sha256"/>
        <DigestValue>tGdyU8OqhWmfwsksnurKIwsbNaAcbZhAgLf0DKO6+R0=</DigestValue>
      </Reference>
      <Reference URI="/xl/comments1.xml?ContentType=application/vnd.openxmlformats-officedocument.spreadsheetml.comments+xml">
        <DigestMethod Algorithm="http://www.w3.org/2001/04/xmlenc#sha256"/>
        <DigestValue>GgIistqq6lM8eThMspEkWjkNNXXsxJnQ99rUviUumEE=</DigestValue>
      </Reference>
      <Reference URI="/xl/comments2.xml?ContentType=application/vnd.openxmlformats-officedocument.spreadsheetml.comments+xml">
        <DigestMethod Algorithm="http://www.w3.org/2001/04/xmlenc#sha256"/>
        <DigestValue>bpXGtA7Fbj1NOg3fSsXOe0URuwKjYldqlHRmtUhXUbg=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QBGRECwR0XOmOfLaC+mT0g4rVxEIMgWxf6UbzIzBS2M=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7uvnapVg0/Y3PmP7gmt4GR0ywN9FnOr8ujPWXu0tkj4=</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rJxMnzeU9eTlC6zMQFEz88mU6dcMOQWWzK0onhOH5Rg=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wiVXcumh6XRk4gh9ePNTZYLp6zAWq5kSxnA3Dnf6ChM=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MWO52TusuC6HBjk/jKqQbr4b/cGPk1HPL5gMkQXvhjg=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WucWt59+Ya9ds73FAtdeK0yBo3jdFNm8cEbwTlEVgog=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sFkbjBQ210f/6OZ2/s0ZyG6fwKVn1+Q/VUMl+RfdppA=</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jcdjE7CI5cOc8SWLiXvvSgcAJQTkajAMN9vCiRmxV5s=</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2XEJzTeHFmlBxwDTFLW04cOe0zHEItv5/9XmjJ/7zSc=</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NdrNV4OTE/kTC6PmJWNAw3AXczhtLiDBpKGMk859sIg=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tZ/VXIVJP/94RMYzaAXufLc42FzGsqsL6XY7jc6JzAA=</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jyhYPhXJVl9Z6NquIRkNP5P8m5FLQxYEOhh/7hLUceY=</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bAiF7p/DurY4h7897uGkjqNg+hAkgDlUMXRhqN+v87I=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UBiG4OO9pO3Buq2Hy9XWt8W76p4HRSLuhF2Z+smRGfE=</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6uUBpchHakqQDChgLemNyI2cKWqBIOFCUSJJMq3HYkA=</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9oZOvz116V2KJExU+fflxJ2HMBOVSpuYRl6+lYugQdA=</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t4ijl1+v8IzzX/jMcI30Wqf1ef/NpgEjiPHxDPAoTmM=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8lZnWYrt8tB8aouUUDyUhZImLeEXtf0jolkx+Yi7024=</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j79VH7ko70R7pttbrbb54NwBUX8PiGH2zPclev8hocs=</DigestValue>
      </Reference>
      <Reference URI="/xl/drawings/drawing1.xml?ContentType=application/vnd.openxmlformats-officedocument.drawing+xml">
        <DigestMethod Algorithm="http://www.w3.org/2001/04/xmlenc#sha256"/>
        <DigestValue>iLEv8NOi2g5DFtsizk6NwXSs3DdSHVB4TDwoEa+Xi7U=</DigestValue>
      </Reference>
      <Reference URI="/xl/drawings/drawing10.xml?ContentType=application/vnd.openxmlformats-officedocument.drawing+xml">
        <DigestMethod Algorithm="http://www.w3.org/2001/04/xmlenc#sha256"/>
        <DigestValue>bMzYlbFZlOEYZv6ldxn5d/Z1Eq0AbQdo7DWU2i59c94=</DigestValue>
      </Reference>
      <Reference URI="/xl/drawings/drawing11.xml?ContentType=application/vnd.openxmlformats-officedocument.drawing+xml">
        <DigestMethod Algorithm="http://www.w3.org/2001/04/xmlenc#sha256"/>
        <DigestValue>Xvp9BookUB0BzQsQYq4bwje4z8wm6CLZYYgtuMeYr88=</DigestValue>
      </Reference>
      <Reference URI="/xl/drawings/drawing12.xml?ContentType=application/vnd.openxmlformats-officedocument.drawing+xml">
        <DigestMethod Algorithm="http://www.w3.org/2001/04/xmlenc#sha256"/>
        <DigestValue>f6u2xoqNEL+BUwRIWmL7dMP7SRFmGq3QtwE5X6zU4Kk=</DigestValue>
      </Reference>
      <Reference URI="/xl/drawings/drawing13.xml?ContentType=application/vnd.openxmlformats-officedocument.drawing+xml">
        <DigestMethod Algorithm="http://www.w3.org/2001/04/xmlenc#sha256"/>
        <DigestValue>U9WtVfh7rGAdkTjGMWLpeyqnhlY0Xk24Ey0GbRDv49g=</DigestValue>
      </Reference>
      <Reference URI="/xl/drawings/drawing14.xml?ContentType=application/vnd.openxmlformats-officedocument.drawing+xml">
        <DigestMethod Algorithm="http://www.w3.org/2001/04/xmlenc#sha256"/>
        <DigestValue>qTWU9BqpiouEqOPjZgTuJBwVvE+oowdwo87CeeFxToI=</DigestValue>
      </Reference>
      <Reference URI="/xl/drawings/drawing15.xml?ContentType=application/vnd.openxmlformats-officedocument.drawing+xml">
        <DigestMethod Algorithm="http://www.w3.org/2001/04/xmlenc#sha256"/>
        <DigestValue>DY5d5tOu5ol11c1rR9aBxWeETX6Q/gTzY+te+bSCScs=</DigestValue>
      </Reference>
      <Reference URI="/xl/drawings/drawing16.xml?ContentType=application/vnd.openxmlformats-officedocument.drawing+xml">
        <DigestMethod Algorithm="http://www.w3.org/2001/04/xmlenc#sha256"/>
        <DigestValue>9FasjpDIeJUvN2dZlk+ETa//qrbRncZtphhYCeo2RH8=</DigestValue>
      </Reference>
      <Reference URI="/xl/drawings/drawing17.xml?ContentType=application/vnd.openxmlformats-officedocument.drawing+xml">
        <DigestMethod Algorithm="http://www.w3.org/2001/04/xmlenc#sha256"/>
        <DigestValue>4jQGTbe4TSqtisgr6X5El+GKU0rCzLY6f+s0riMXims=</DigestValue>
      </Reference>
      <Reference URI="/xl/drawings/drawing18.xml?ContentType=application/vnd.openxmlformats-officedocument.drawing+xml">
        <DigestMethod Algorithm="http://www.w3.org/2001/04/xmlenc#sha256"/>
        <DigestValue>hXlbdPeAhyWc8mQb7p5KTOQzyArfalSY4VuHQ8UbTvc=</DigestValue>
      </Reference>
      <Reference URI="/xl/drawings/drawing19.xml?ContentType=application/vnd.openxmlformats-officedocument.drawing+xml">
        <DigestMethod Algorithm="http://www.w3.org/2001/04/xmlenc#sha256"/>
        <DigestValue>pGOHBayKv3B0S6jHpNrCTUOm/uPtsSZIuHveVHfh+A8=</DigestValue>
      </Reference>
      <Reference URI="/xl/drawings/drawing2.xml?ContentType=application/vnd.openxmlformats-officedocument.drawing+xml">
        <DigestMethod Algorithm="http://www.w3.org/2001/04/xmlenc#sha256"/>
        <DigestValue>M2S/Po87/G8I/qOB0nxRJP+upmsrM3RCjITsiU9gG3c=</DigestValue>
      </Reference>
      <Reference URI="/xl/drawings/drawing20.xml?ContentType=application/vnd.openxmlformats-officedocument.drawing+xml">
        <DigestMethod Algorithm="http://www.w3.org/2001/04/xmlenc#sha256"/>
        <DigestValue>7ybzdYLBjXrq98Lz4L0pIhCcXYspACI4LY8zuqVQfMw=</DigestValue>
      </Reference>
      <Reference URI="/xl/drawings/drawing21.xml?ContentType=application/vnd.openxmlformats-officedocument.drawing+xml">
        <DigestMethod Algorithm="http://www.w3.org/2001/04/xmlenc#sha256"/>
        <DigestValue>v8B94MfOtXxV5lkFQEoOJo9qIYsIbMZecvjUin0EP5g=</DigestValue>
      </Reference>
      <Reference URI="/xl/drawings/drawing22.xml?ContentType=application/vnd.openxmlformats-officedocument.drawing+xml">
        <DigestMethod Algorithm="http://www.w3.org/2001/04/xmlenc#sha256"/>
        <DigestValue>foRcl0CrqMKI33rDsN5eUYuqmwk9+ts0mN1N8ChkamQ=</DigestValue>
      </Reference>
      <Reference URI="/xl/drawings/drawing23.xml?ContentType=application/vnd.openxmlformats-officedocument.drawing+xml">
        <DigestMethod Algorithm="http://www.w3.org/2001/04/xmlenc#sha256"/>
        <DigestValue>z9Sbs9xjHXL9UNx3qh2F4ksvf5y0aK0J4T7q6ROICOU=</DigestValue>
      </Reference>
      <Reference URI="/xl/drawings/drawing24.xml?ContentType=application/vnd.openxmlformats-officedocument.drawing+xml">
        <DigestMethod Algorithm="http://www.w3.org/2001/04/xmlenc#sha256"/>
        <DigestValue>fEvwN+EoGKfJNpB76l3PPgogAXPiPEdMr/xtfp6oCZk=</DigestValue>
      </Reference>
      <Reference URI="/xl/drawings/drawing25.xml?ContentType=application/vnd.openxmlformats-officedocument.drawing+xml">
        <DigestMethod Algorithm="http://www.w3.org/2001/04/xmlenc#sha256"/>
        <DigestValue>mFE5xjCi3TisXDu4Arkr1mCggWKoYLJAW5OyhhbFOVs=</DigestValue>
      </Reference>
      <Reference URI="/xl/drawings/drawing26.xml?ContentType=application/vnd.openxmlformats-officedocument.drawing+xml">
        <DigestMethod Algorithm="http://www.w3.org/2001/04/xmlenc#sha256"/>
        <DigestValue>PJFjBWdWkjWOcQTXk/w89cwkSOV5Pr3a0/auuDPi9D4=</DigestValue>
      </Reference>
      <Reference URI="/xl/drawings/drawing27.xml?ContentType=application/vnd.openxmlformats-officedocument.drawing+xml">
        <DigestMethod Algorithm="http://www.w3.org/2001/04/xmlenc#sha256"/>
        <DigestValue>IwN0CwkULAx2mzdl3R1FngvHo6blF5sg0kFy8SrbAy4=</DigestValue>
      </Reference>
      <Reference URI="/xl/drawings/drawing3.xml?ContentType=application/vnd.openxmlformats-officedocument.drawing+xml">
        <DigestMethod Algorithm="http://www.w3.org/2001/04/xmlenc#sha256"/>
        <DigestValue>OUz7msnV5eaUOuClkRL5k4cANIAf4A66OGU4aAllZag=</DigestValue>
      </Reference>
      <Reference URI="/xl/drawings/drawing4.xml?ContentType=application/vnd.openxmlformats-officedocument.drawing+xml">
        <DigestMethod Algorithm="http://www.w3.org/2001/04/xmlenc#sha256"/>
        <DigestValue>wjT3Lg6pfPV6YBMx9IDQl1RnDrKTWSpq46waXF11eos=</DigestValue>
      </Reference>
      <Reference URI="/xl/drawings/drawing5.xml?ContentType=application/vnd.openxmlformats-officedocument.drawing+xml">
        <DigestMethod Algorithm="http://www.w3.org/2001/04/xmlenc#sha256"/>
        <DigestValue>Ucqep+Ao/ff3BQlS+/UpMIZYf3hBM97RZBtzo8utovw=</DigestValue>
      </Reference>
      <Reference URI="/xl/drawings/drawing6.xml?ContentType=application/vnd.openxmlformats-officedocument.drawing+xml">
        <DigestMethod Algorithm="http://www.w3.org/2001/04/xmlenc#sha256"/>
        <DigestValue>6la5PHoQGnBr/4Yb/oQFHRurvMqJZDugu/u5MmfnMmY=</DigestValue>
      </Reference>
      <Reference URI="/xl/drawings/drawing7.xml?ContentType=application/vnd.openxmlformats-officedocument.drawing+xml">
        <DigestMethod Algorithm="http://www.w3.org/2001/04/xmlenc#sha256"/>
        <DigestValue>Br/Ho7U6vf1fXmKSIFPkSTD6b72Q+4chd3Aq/Kgc0Fs=</DigestValue>
      </Reference>
      <Reference URI="/xl/drawings/drawing8.xml?ContentType=application/vnd.openxmlformats-officedocument.drawing+xml">
        <DigestMethod Algorithm="http://www.w3.org/2001/04/xmlenc#sha256"/>
        <DigestValue>hY3m3T/17Ca5Isy2gWkQyyfoYBrshJpspHD116ik1eE=</DigestValue>
      </Reference>
      <Reference URI="/xl/drawings/drawing9.xml?ContentType=application/vnd.openxmlformats-officedocument.drawing+xml">
        <DigestMethod Algorithm="http://www.w3.org/2001/04/xmlenc#sha256"/>
        <DigestValue>7Qctwc8D5t/29Dyurr23i5HnzA7Dqa1PFFOd791abHE=</DigestValue>
      </Reference>
      <Reference URI="/xl/drawings/vmlDrawing1.vml?ContentType=application/vnd.openxmlformats-officedocument.vmlDrawing">
        <DigestMethod Algorithm="http://www.w3.org/2001/04/xmlenc#sha256"/>
        <DigestValue>tj4pqVpza8Dujk8XDFiBFHlj775CyEe3fUyF6A6oBA0=</DigestValue>
      </Reference>
      <Reference URI="/xl/drawings/vmlDrawing2.vml?ContentType=application/vnd.openxmlformats-officedocument.vmlDrawing">
        <DigestMethod Algorithm="http://www.w3.org/2001/04/xmlenc#sha256"/>
        <DigestValue>gHHgOEnz7+NjpczU20I4ltuPxWf/GLuEybCcCzaAYb4=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/jUhTi6PhUZPDyfIvX9N+eGqtgSugQC4yomTlFwgBmU=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lQ82QnWwbz4cwqWmA0PvUVUEvxx4zrtn0uT8oTImCQY=</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QCUd4S2AR5kBEdM2lM/qKg2NIYxhQ+ilG7IzUn+1xxs=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3Gd2H1nJT1Sx3nFe7U2sDmCKBVuSD4Qtb1t9J0F1J1Q=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dYYBBmfTTQH1mPZDrhnUNPno3ifUp2j0zoqBbQUu2pE=</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y9MX01g6/UDOj7q33DMU606MUG1NMLQWbdbSH5cmoOE=</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B33sTHauQ7zyatpG1aKTKbA2/dnVvARj+zfiETzw8i4=</DigestValue>
      </Reference>
      <Reference URI="/xl/externalLinks/externalLink1.xml?ContentType=application/vnd.openxmlformats-officedocument.spreadsheetml.externalLink+xml">
        <DigestMethod Algorithm="http://www.w3.org/2001/04/xmlenc#sha256"/>
        <DigestValue>IqPefeUpy+ijO4/1ven65jIeOx0unDo8SrtMc67xOi4=</DigestValue>
      </Reference>
      <Reference URI="/xl/externalLinks/externalLink2.xml?ContentType=application/vnd.openxmlformats-officedocument.spreadsheetml.externalLink+xml">
        <DigestMethod Algorithm="http://www.w3.org/2001/04/xmlenc#sha256"/>
        <DigestValue>x1cm+YeYjfgzfCEtiY6xufGA1LmuZojN2P+WATMeV1s=</DigestValue>
      </Reference>
      <Reference URI="/xl/externalLinks/externalLink3.xml?ContentType=application/vnd.openxmlformats-officedocument.spreadsheetml.externalLink+xml">
        <DigestMethod Algorithm="http://www.w3.org/2001/04/xmlenc#sha256"/>
        <DigestValue>x1cm+YeYjfgzfCEtiY6xufGA1LmuZojN2P+WATMeV1s=</DigestValue>
      </Reference>
      <Reference URI="/xl/externalLinks/externalLink4.xml?ContentType=application/vnd.openxmlformats-officedocument.spreadsheetml.externalLink+xml">
        <DigestMethod Algorithm="http://www.w3.org/2001/04/xmlenc#sha256"/>
        <DigestValue>6b6pBHkJx5j4NfTTJMgFElguvIv3gMzOLzOXKOW8HK8=</DigestValue>
      </Reference>
      <Reference URI="/xl/externalLinks/externalLink5.xml?ContentType=application/vnd.openxmlformats-officedocument.spreadsheetml.externalLink+xml">
        <DigestMethod Algorithm="http://www.w3.org/2001/04/xmlenc#sha256"/>
        <DigestValue>tsb5wmPJs7y8k5IWKJ48L38p0Uw0LEQhQm9WuUQJX1k=</DigestValue>
      </Reference>
      <Reference URI="/xl/externalLinks/externalLink6.xml?ContentType=application/vnd.openxmlformats-officedocument.spreadsheetml.externalLink+xml">
        <DigestMethod Algorithm="http://www.w3.org/2001/04/xmlenc#sha256"/>
        <DigestValue>rcUska0Bpgb2y+P3jDWAcCY+9LpfmDRvOmce4XtAVjk=</DigestValue>
      </Reference>
      <Reference URI="/xl/externalLinks/externalLink7.xml?ContentType=application/vnd.openxmlformats-officedocument.spreadsheetml.externalLink+xml">
        <DigestMethod Algorithm="http://www.w3.org/2001/04/xmlenc#sha256"/>
        <DigestValue>In1O/rA55nzxNRxuXS0F5o3/hwiY7nlhbKuXzHGO+RE=</DigestValue>
      </Reference>
      <Reference URI="/xl/media/image1.jpeg?ContentType=image/jpeg">
        <DigestMethod Algorithm="http://www.w3.org/2001/04/xmlenc#sha256"/>
        <DigestValue>n74/6hMahXOHJMx4WvzgWwhiD5xMpfB9meYG2iaBCD8=</DigestValue>
      </Reference>
      <Reference URI="/xl/media/image10.jpeg?ContentType=image/jpeg">
        <DigestMethod Algorithm="http://www.w3.org/2001/04/xmlenc#sha256"/>
        <DigestValue>WYRH0MEUOleVRkscz+WmIRxQHDJpCm3ryLZMOogskG4=</DigestValue>
      </Reference>
      <Reference URI="/xl/media/image11.jpeg?ContentType=image/jpeg">
        <DigestMethod Algorithm="http://www.w3.org/2001/04/xmlenc#sha256"/>
        <DigestValue>VhpKFb2/T+OWBPUXO/qatVnlu9l+ZSLSkFaJH61p424=</DigestValue>
      </Reference>
      <Reference URI="/xl/media/image12.jpeg?ContentType=image/jpeg">
        <DigestMethod Algorithm="http://www.w3.org/2001/04/xmlenc#sha256"/>
        <DigestValue>v28SkczqzYKIY3m9Kh4gXtfFKDfJxkq2eRQbOja+5Jo=</DigestValue>
      </Reference>
      <Reference URI="/xl/media/image13.jpeg?ContentType=image/jpeg">
        <DigestMethod Algorithm="http://www.w3.org/2001/04/xmlenc#sha256"/>
        <DigestValue>3p5aeG2UcdE2/Kh9O61/8IeChJCeZvmnLvNPrpEHwbQ=</DigestValue>
      </Reference>
      <Reference URI="/xl/media/image14.jpeg?ContentType=image/jpeg">
        <DigestMethod Algorithm="http://www.w3.org/2001/04/xmlenc#sha256"/>
        <DigestValue>L8wG8UlcngdGU5tCsCsGt+Tbi6yn55oVps1iZ2LkwSM=</DigestValue>
      </Reference>
      <Reference URI="/xl/media/image15.jpeg?ContentType=image/jpeg">
        <DigestMethod Algorithm="http://www.w3.org/2001/04/xmlenc#sha256"/>
        <DigestValue>0HwGJ+0rCoheXzKIWN2g9Ys/56ySRZ/4Q9gg0neSFyU=</DigestValue>
      </Reference>
      <Reference URI="/xl/media/image16.jpeg?ContentType=image/jpeg">
        <DigestMethod Algorithm="http://www.w3.org/2001/04/xmlenc#sha256"/>
        <DigestValue>ncTBDh7SVjtSas+YHM5m0WN1XOqpSZFHtGV5WmUnCog=</DigestValue>
      </Reference>
      <Reference URI="/xl/media/image17.jpeg?ContentType=image/jpeg">
        <DigestMethod Algorithm="http://www.w3.org/2001/04/xmlenc#sha256"/>
        <DigestValue>2TEGt8Wczr/kiZ3tEMFTgSYbynbK9qwPyLgHPvWKJEc=</DigestValue>
      </Reference>
      <Reference URI="/xl/media/image18.jpeg?ContentType=image/jpeg">
        <DigestMethod Algorithm="http://www.w3.org/2001/04/xmlenc#sha256"/>
        <DigestValue>w77tbw8DJXt4mramX19QNCMzvYIQmmIPu3sbunlU+5o=</DigestValue>
      </Reference>
      <Reference URI="/xl/media/image19.jpeg?ContentType=image/jpeg">
        <DigestMethod Algorithm="http://www.w3.org/2001/04/xmlenc#sha256"/>
        <DigestValue>OMIqJG6StErtoj41fjLC3sCX1GnQcM0pKU+iguq5plI=</DigestValue>
      </Reference>
      <Reference URI="/xl/media/image2.png?ContentType=image/png">
        <DigestMethod Algorithm="http://www.w3.org/2001/04/xmlenc#sha256"/>
        <DigestValue>2aiLeRWQ7DSEqYHtVtpWEVpYjwa80q5EAe0Y3H6bnqY=</DigestValue>
      </Reference>
      <Reference URI="/xl/media/image20.jpeg?ContentType=image/jpeg">
        <DigestMethod Algorithm="http://www.w3.org/2001/04/xmlenc#sha256"/>
        <DigestValue>IWpHvGq9Le3urmlOCxRcAuqwJvFrBpb0npGPUJUEHg8=</DigestValue>
      </Reference>
      <Reference URI="/xl/media/image21.jpeg?ContentType=image/jpeg">
        <DigestMethod Algorithm="http://www.w3.org/2001/04/xmlenc#sha256"/>
        <DigestValue>iaNHju07FGEJiz2KHUTB1Bf6Gy1QVlCftSRXIwdY2ec=</DigestValue>
      </Reference>
      <Reference URI="/xl/media/image22.jpeg?ContentType=image/jpeg">
        <DigestMethod Algorithm="http://www.w3.org/2001/04/xmlenc#sha256"/>
        <DigestValue>zWHsHt4tgdrtkEXOqpuBv6aG/gepmKuf/udpC4m3IrU=</DigestValue>
      </Reference>
      <Reference URI="/xl/media/image23.jpeg?ContentType=image/jpeg">
        <DigestMethod Algorithm="http://www.w3.org/2001/04/xmlenc#sha256"/>
        <DigestValue>vv0nhgohd9zE36puPfAgocgfUoQzp1kBNBx65LY7gr8=</DigestValue>
      </Reference>
      <Reference URI="/xl/media/image24.jpeg?ContentType=image/jpeg">
        <DigestMethod Algorithm="http://www.w3.org/2001/04/xmlenc#sha256"/>
        <DigestValue>RNzkHEpPXN32KTAkmCflxGznXjzHWKKLtC/oH6rRgD4=</DigestValue>
      </Reference>
      <Reference URI="/xl/media/image25.jpeg?ContentType=image/jpeg">
        <DigestMethod Algorithm="http://www.w3.org/2001/04/xmlenc#sha256"/>
        <DigestValue>7mO+vHuspRv90St6UvfTYiVNjS2+itw5wf1diqvThkM=</DigestValue>
      </Reference>
      <Reference URI="/xl/media/image3.jpeg?ContentType=image/jpeg">
        <DigestMethod Algorithm="http://www.w3.org/2001/04/xmlenc#sha256"/>
        <DigestValue>5qFfwcNuS6TfvBR7ui4zWbhKClxUf7Jd6nKLiGCjRWU=</DigestValue>
      </Reference>
      <Reference URI="/xl/media/image4.emf?ContentType=image/x-emf">
        <DigestMethod Algorithm="http://www.w3.org/2001/04/xmlenc#sha256"/>
        <DigestValue>5kPNP6oDPS3BzVY+Qacp7XxsrzoymrC2oQSU8mb4pcc=</DigestValue>
      </Reference>
      <Reference URI="/xl/media/image5.emf?ContentType=image/x-emf">
        <DigestMethod Algorithm="http://www.w3.org/2001/04/xmlenc#sha256"/>
        <DigestValue>k4BQwfslQhizGajQtbed5oMUIiuErLTNTcEuhwN7tZE=</DigestValue>
      </Reference>
      <Reference URI="/xl/media/image6.jpeg?ContentType=image/jpeg">
        <DigestMethod Algorithm="http://www.w3.org/2001/04/xmlenc#sha256"/>
        <DigestValue>Wse8dQ+/jsppl/DwZyUlgfYFTWXz8o8T/BokwhAYUow=</DigestValue>
      </Reference>
      <Reference URI="/xl/media/image7.jpeg?ContentType=image/jpeg">
        <DigestMethod Algorithm="http://www.w3.org/2001/04/xmlenc#sha256"/>
        <DigestValue>ogLhVgL8FD2NM+A8vwFwu6sjH6aBL1WHnFXNGDcigEk=</DigestValue>
      </Reference>
      <Reference URI="/xl/media/image8.jpeg?ContentType=image/jpeg">
        <DigestMethod Algorithm="http://www.w3.org/2001/04/xmlenc#sha256"/>
        <DigestValue>/BOqjwF/CUc/d78k006qoC8YfPCOD7ZjoJ4W0l/xmeE=</DigestValue>
      </Reference>
      <Reference URI="/xl/media/image9.jpeg?ContentType=image/jpeg">
        <DigestMethod Algorithm="http://www.w3.org/2001/04/xmlenc#sha256"/>
        <DigestValue>sAZdK2mFEYI3L4nsXVPouRrNFWWXXay2jxzLhN3VUlM=</DigestValue>
      </Reference>
      <Reference URI="/xl/persons/person.xml?ContentType=application/vnd.ms-excel.person+xml">
        <DigestMethod Algorithm="http://www.w3.org/2001/04/xmlenc#sha256"/>
        <DigestValue>xETDL4wweeeAvwYqCXlKrLkvwX+7HkZAY+jGD6uzKoc=</DigestValue>
      </Reference>
      <Reference URI="/xl/printerSettings/printerSettings1.bin?ContentType=application/vnd.openxmlformats-officedocument.spreadsheetml.printerSettings">
        <DigestMethod Algorithm="http://www.w3.org/2001/04/xmlenc#sha256"/>
        <DigestValue>26HqXRIPb6BZwT7U9IC6VtEL0dFpmbYLuhHRicgLN3w=</DigestValue>
      </Reference>
      <Reference URI="/xl/printerSettings/printerSettings10.bin?ContentType=application/vnd.openxmlformats-officedocument.spreadsheetml.printerSettings">
        <DigestMethod Algorithm="http://www.w3.org/2001/04/xmlenc#sha256"/>
        <DigestValue>3auKKYy+1zVh2/o2zFXt0gBsKnXg8b+IwT1iM49e1ek=</DigestValue>
      </Reference>
      <Reference URI="/xl/printerSettings/printerSettings2.bin?ContentType=application/vnd.openxmlformats-officedocument.spreadsheetml.printerSettings">
        <DigestMethod Algorithm="http://www.w3.org/2001/04/xmlenc#sha256"/>
        <DigestValue>eA/Fwsrhp9JJub8a3MIghHzaSlbH+/seBzvdXSGZYco=</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7FK+7ND2wkX5JRID7I5pGN2xS08AkOKCreOpDVpwU38=</DigestValue>
      </Reference>
      <Reference URI="/xl/printerSettings/printerSettings6.bin?ContentType=application/vnd.openxmlformats-officedocument.spreadsheetml.printerSettings">
        <DigestMethod Algorithm="http://www.w3.org/2001/04/xmlenc#sha256"/>
        <DigestValue>sLlVsMu/UmxdwdvPNZF0AY0+lC5fiUlO4f1F+aMCq5U=</DigestValue>
      </Reference>
      <Reference URI="/xl/printerSettings/printerSettings7.bin?ContentType=application/vnd.openxmlformats-officedocument.spreadsheetml.printerSettings">
        <DigestMethod Algorithm="http://www.w3.org/2001/04/xmlenc#sha256"/>
        <DigestValue>/rX1y3adr24Th3PbJvobWkO3TlxtNW/8csCTpEYOf48=</DigestValue>
      </Reference>
      <Reference URI="/xl/printerSettings/printerSettings8.bin?ContentType=application/vnd.openxmlformats-officedocument.spreadsheetml.printerSettings">
        <DigestMethod Algorithm="http://www.w3.org/2001/04/xmlenc#sha256"/>
        <DigestValue>sLlVsMu/UmxdwdvPNZF0AY0+lC5fiUlO4f1F+aMCq5U=</DigestValue>
      </Reference>
      <Reference URI="/xl/printerSettings/printerSettings9.bin?ContentType=application/vnd.openxmlformats-officedocument.spreadsheetml.printerSettings">
        <DigestMethod Algorithm="http://www.w3.org/2001/04/xmlenc#sha256"/>
        <DigestValue>kVk8PUww/KLBxPMDbbtfl+DscFooavbqVwRNUDoaaXQ=</DigestValue>
      </Reference>
      <Reference URI="/xl/sharedStrings.xml?ContentType=application/vnd.openxmlformats-officedocument.spreadsheetml.sharedStrings+xml">
        <DigestMethod Algorithm="http://www.w3.org/2001/04/xmlenc#sha256"/>
        <DigestValue>RW3jePmFLIfd/GCtzipkER0fRqui68LweuhbQT5bYLQ=</DigestValue>
      </Reference>
      <Reference URI="/xl/styles.xml?ContentType=application/vnd.openxmlformats-officedocument.spreadsheetml.styles+xml">
        <DigestMethod Algorithm="http://www.w3.org/2001/04/xmlenc#sha256"/>
        <DigestValue>YXimulVyx0+rRBLr3KGzu10bK+4UP3oPvlQKdl3AWNs=</DigestValue>
      </Reference>
      <Reference URI="/xl/theme/theme1.xml?ContentType=application/vnd.openxmlformats-officedocument.theme+xml">
        <DigestMethod Algorithm="http://www.w3.org/2001/04/xmlenc#sha256"/>
        <DigestValue>HpkhkEH/NfxYYunqn8gDSSXwsogmnmNBn70U95mIPRU=</DigestValue>
      </Reference>
      <Reference URI="/xl/threadedComments/threadedComment1.xml?ContentType=application/vnd.ms-excel.threadedcomments+xml">
        <DigestMethod Algorithm="http://www.w3.org/2001/04/xmlenc#sha256"/>
        <DigestValue>eHOanvuZtkLoibWsilz/SIVdSFbmd1zatAqwf3uQxPs=</DigestValue>
      </Reference>
      <Reference URI="/xl/workbook.xml?ContentType=application/vnd.openxmlformats-officedocument.spreadsheetml.sheet.main+xml">
        <DigestMethod Algorithm="http://www.w3.org/2001/04/xmlenc#sha256"/>
        <DigestValue>T6lE303GKkPhoy9CasCjKtonJ3v13flC2NwHvyjqvs4=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T1B0uRaS4Rdt4UR0fuU8A5BqcFtpt/Nsf6rux8r0cgc=</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hlX9gQHuzx56YhcKzgHvK3N5MwnGcFK7/Yfps5n9mUE=</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EhgEwQpnoBkaJ5GDhG7watcbCxRNooJcutk11/o397k=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kmO5tL9oNjKe1d/qAu4UzvToofm5VsLTx73Gv8SdExc=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Jy8QUNxrX6WRT8nF6vEJpsGsfq5aqyxc0AcRfdPFR28=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tXlKTrMd35w/VGEq0pAUKGzoA7lDDEGfooykNcJtZd4=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jzmCIyjoG/vIfhaunuP+NU6Tdz/XzGx64KwcDaG18zY=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5GZR8kJIOaHvy2VnbUiRgyNB5menELbxKzlmtspM6QA=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sheet1.xml?ContentType=application/vnd.openxmlformats-officedocument.spreadsheetml.worksheet+xml">
        <DigestMethod Algorithm="http://www.w3.org/2001/04/xmlenc#sha256"/>
        <DigestValue>/Di0KK/kyiZNk5hmGaI/XPY31CibtxVxrE90/r3ULwY=</DigestValue>
      </Reference>
      <Reference URI="/xl/worksheets/sheet10.xml?ContentType=application/vnd.openxmlformats-officedocument.spreadsheetml.worksheet+xml">
        <DigestMethod Algorithm="http://www.w3.org/2001/04/xmlenc#sha256"/>
        <DigestValue>fOzHdr/l1aW2Kp5+Z3P5AN7L1ZAC+IxB26xJecfEXcU=</DigestValue>
      </Reference>
      <Reference URI="/xl/worksheets/sheet11.xml?ContentType=application/vnd.openxmlformats-officedocument.spreadsheetml.worksheet+xml">
        <DigestMethod Algorithm="http://www.w3.org/2001/04/xmlenc#sha256"/>
        <DigestValue>dxjkV7mKAYZ1mkqgyiwIBnc9r1paOzIqHq4xkeDXUow=</DigestValue>
      </Reference>
      <Reference URI="/xl/worksheets/sheet12.xml?ContentType=application/vnd.openxmlformats-officedocument.spreadsheetml.worksheet+xml">
        <DigestMethod Algorithm="http://www.w3.org/2001/04/xmlenc#sha256"/>
        <DigestValue>gffajZaeuc0aY0gwHNDRgcPhn9KM+829piYPnrUxiaM=</DigestValue>
      </Reference>
      <Reference URI="/xl/worksheets/sheet13.xml?ContentType=application/vnd.openxmlformats-officedocument.spreadsheetml.worksheet+xml">
        <DigestMethod Algorithm="http://www.w3.org/2001/04/xmlenc#sha256"/>
        <DigestValue>QdPYCYWs8khqOBpqKYcV9J3omqDutgl1EKU6rBfo46U=</DigestValue>
      </Reference>
      <Reference URI="/xl/worksheets/sheet14.xml?ContentType=application/vnd.openxmlformats-officedocument.spreadsheetml.worksheet+xml">
        <DigestMethod Algorithm="http://www.w3.org/2001/04/xmlenc#sha256"/>
        <DigestValue>Y3VMrA9pYDAw8fGq2J/LkRmG/yk4eEH3LJba12+ldU4=</DigestValue>
      </Reference>
      <Reference URI="/xl/worksheets/sheet15.xml?ContentType=application/vnd.openxmlformats-officedocument.spreadsheetml.worksheet+xml">
        <DigestMethod Algorithm="http://www.w3.org/2001/04/xmlenc#sha256"/>
        <DigestValue>6Z6tiHsZNnhtSSuNg+F1EoVai3FUah6CrsZlF/t8beU=</DigestValue>
      </Reference>
      <Reference URI="/xl/worksheets/sheet16.xml?ContentType=application/vnd.openxmlformats-officedocument.spreadsheetml.worksheet+xml">
        <DigestMethod Algorithm="http://www.w3.org/2001/04/xmlenc#sha256"/>
        <DigestValue>j75rLUyEPhqIN6GG6lV8IuUkoK1gDkHUCt9s3rX8UXA=</DigestValue>
      </Reference>
      <Reference URI="/xl/worksheets/sheet17.xml?ContentType=application/vnd.openxmlformats-officedocument.spreadsheetml.worksheet+xml">
        <DigestMethod Algorithm="http://www.w3.org/2001/04/xmlenc#sha256"/>
        <DigestValue>6B7c2FTtihIgvqgMMJFqRxMkZ4Kua0gJiH+Ykg+XCrM=</DigestValue>
      </Reference>
      <Reference URI="/xl/worksheets/sheet18.xml?ContentType=application/vnd.openxmlformats-officedocument.spreadsheetml.worksheet+xml">
        <DigestMethod Algorithm="http://www.w3.org/2001/04/xmlenc#sha256"/>
        <DigestValue>MVF8jswjDVY6f485KALQ15piS7jtb1KXHwzqCiXjHy4=</DigestValue>
      </Reference>
      <Reference URI="/xl/worksheets/sheet19.xml?ContentType=application/vnd.openxmlformats-officedocument.spreadsheetml.worksheet+xml">
        <DigestMethod Algorithm="http://www.w3.org/2001/04/xmlenc#sha256"/>
        <DigestValue>5Iifxtj01At3eO14mb5KUGTAp8PP4s6uW23iyVNYqrA=</DigestValue>
      </Reference>
      <Reference URI="/xl/worksheets/sheet2.xml?ContentType=application/vnd.openxmlformats-officedocument.spreadsheetml.worksheet+xml">
        <DigestMethod Algorithm="http://www.w3.org/2001/04/xmlenc#sha256"/>
        <DigestValue>t1XbiJTOfUHUUQK60bkgXAO//9Yyh4+eb1ZBkfHQnL0=</DigestValue>
      </Reference>
      <Reference URI="/xl/worksheets/sheet20.xml?ContentType=application/vnd.openxmlformats-officedocument.spreadsheetml.worksheet+xml">
        <DigestMethod Algorithm="http://www.w3.org/2001/04/xmlenc#sha256"/>
        <DigestValue>yEsyJkhG2VhrwO0vf0522x3tp7gyOTdD4Yz0qr4ke2U=</DigestValue>
      </Reference>
      <Reference URI="/xl/worksheets/sheet21.xml?ContentType=application/vnd.openxmlformats-officedocument.spreadsheetml.worksheet+xml">
        <DigestMethod Algorithm="http://www.w3.org/2001/04/xmlenc#sha256"/>
        <DigestValue>7nw5q5I4kzPau2ecIQv1tWatgRGHZc7y1ryxt05AO1A=</DigestValue>
      </Reference>
      <Reference URI="/xl/worksheets/sheet22.xml?ContentType=application/vnd.openxmlformats-officedocument.spreadsheetml.worksheet+xml">
        <DigestMethod Algorithm="http://www.w3.org/2001/04/xmlenc#sha256"/>
        <DigestValue>f2uIsSeEp5Aam80z+m+13AEmqZ/zrXhngBW1ZhrN5D4=</DigestValue>
      </Reference>
      <Reference URI="/xl/worksheets/sheet23.xml?ContentType=application/vnd.openxmlformats-officedocument.spreadsheetml.worksheet+xml">
        <DigestMethod Algorithm="http://www.w3.org/2001/04/xmlenc#sha256"/>
        <DigestValue>rvMTDIpELTp3M85ZTSJojibEW3DJmbWiiDUpWoJlVmc=</DigestValue>
      </Reference>
      <Reference URI="/xl/worksheets/sheet24.xml?ContentType=application/vnd.openxmlformats-officedocument.spreadsheetml.worksheet+xml">
        <DigestMethod Algorithm="http://www.w3.org/2001/04/xmlenc#sha256"/>
        <DigestValue>JtHauGEDQkbolR8wKEZTeZ8Tmuwtqz7ZUn3Dv35wPd4=</DigestValue>
      </Reference>
      <Reference URI="/xl/worksheets/sheet25.xml?ContentType=application/vnd.openxmlformats-officedocument.spreadsheetml.worksheet+xml">
        <DigestMethod Algorithm="http://www.w3.org/2001/04/xmlenc#sha256"/>
        <DigestValue>R6p/0ZsPoM58x8kqqI3wBCCT/fCMqDyBKYCKjx6r6s8=</DigestValue>
      </Reference>
      <Reference URI="/xl/worksheets/sheet26.xml?ContentType=application/vnd.openxmlformats-officedocument.spreadsheetml.worksheet+xml">
        <DigestMethod Algorithm="http://www.w3.org/2001/04/xmlenc#sha256"/>
        <DigestValue>7QYrYgUkCLBOXGYKzEUW4/hD3ifHgm/yZ3UQ1V3Xi0U=</DigestValue>
      </Reference>
      <Reference URI="/xl/worksheets/sheet27.xml?ContentType=application/vnd.openxmlformats-officedocument.spreadsheetml.worksheet+xml">
        <DigestMethod Algorithm="http://www.w3.org/2001/04/xmlenc#sha256"/>
        <DigestValue>0bHKvUZIs0mXmO0dj6fLRf8GiiNln+/MynCXOLYldiY=</DigestValue>
      </Reference>
      <Reference URI="/xl/worksheets/sheet28.xml?ContentType=application/vnd.openxmlformats-officedocument.spreadsheetml.worksheet+xml">
        <DigestMethod Algorithm="http://www.w3.org/2001/04/xmlenc#sha256"/>
        <DigestValue>ihnk3pqMzEamsKbfHRUdfvyfLshI0672ux/bDQ94pMY=</DigestValue>
      </Reference>
      <Reference URI="/xl/worksheets/sheet3.xml?ContentType=application/vnd.openxmlformats-officedocument.spreadsheetml.worksheet+xml">
        <DigestMethod Algorithm="http://www.w3.org/2001/04/xmlenc#sha256"/>
        <DigestValue>shqjdfUeAGvLlj2yamf33r2kjCBaxBwJh/s24e2bSmw=</DigestValue>
      </Reference>
      <Reference URI="/xl/worksheets/sheet4.xml?ContentType=application/vnd.openxmlformats-officedocument.spreadsheetml.worksheet+xml">
        <DigestMethod Algorithm="http://www.w3.org/2001/04/xmlenc#sha256"/>
        <DigestValue>6AfSOJIiZfxsExG15zDee0bdfbMCsjyhh5tUBu3JCic=</DigestValue>
      </Reference>
      <Reference URI="/xl/worksheets/sheet5.xml?ContentType=application/vnd.openxmlformats-officedocument.spreadsheetml.worksheet+xml">
        <DigestMethod Algorithm="http://www.w3.org/2001/04/xmlenc#sha256"/>
        <DigestValue>dquuT88mucsug71qy+aIZjny2BD3kT+5M2HVV2lsN+w=</DigestValue>
      </Reference>
      <Reference URI="/xl/worksheets/sheet6.xml?ContentType=application/vnd.openxmlformats-officedocument.spreadsheetml.worksheet+xml">
        <DigestMethod Algorithm="http://www.w3.org/2001/04/xmlenc#sha256"/>
        <DigestValue>dhl438ELyfziaiqGhy+pX12vlO8sXOubJMS3VsZqa3c=</DigestValue>
      </Reference>
      <Reference URI="/xl/worksheets/sheet7.xml?ContentType=application/vnd.openxmlformats-officedocument.spreadsheetml.worksheet+xml">
        <DigestMethod Algorithm="http://www.w3.org/2001/04/xmlenc#sha256"/>
        <DigestValue>72Z7eZ7haP1ctG3FQTELd/WJBY0JNitu5pLWtppMGXc=</DigestValue>
      </Reference>
      <Reference URI="/xl/worksheets/sheet8.xml?ContentType=application/vnd.openxmlformats-officedocument.spreadsheetml.worksheet+xml">
        <DigestMethod Algorithm="http://www.w3.org/2001/04/xmlenc#sha256"/>
        <DigestValue>LDOi5EN60cQWLwGIv+wM0YWgFd1Pdp8b4kar2btLk7k=</DigestValue>
      </Reference>
      <Reference URI="/xl/worksheets/sheet9.xml?ContentType=application/vnd.openxmlformats-officedocument.spreadsheetml.worksheet+xml">
        <DigestMethod Algorithm="http://www.w3.org/2001/04/xmlenc#sha256"/>
        <DigestValue>jad713iN47j+UpKQ+nleqq6phlZ3G5KGjwTrQc9fWyY=</DigestValue>
      </Reference>
    </Manifest>
    <SignatureProperties>
      <SignatureProperty Id="idSignatureTime" Target="#idPackageSignature">
        <mdssi:SignatureTime xmlns:mdssi="http://schemas.openxmlformats.org/package/2006/digital-signature">
          <mdssi:Format>YYYY-MM-DDThh:mm:ssTZD</mdssi:Format>
          <mdssi:Value>2023-05-17T16:29:27Z</mdssi:Value>
        </mdssi:SignatureTime>
      </SignatureProperty>
    </SignatureProperties>
  </Object>
  <Object Id="idOfficeObject">
    <SignatureProperties>
      <SignatureProperty Id="idOfficeV1Details" Target="#idPackageSignature">
        <SignatureInfoV1 xmlns="http://schemas.microsoft.com/office/2006/digsig">
          <SetupID>{6BACF563-08FD-44F5-AD47-1E12C17925DA}</SetupID>
          <SignatureText>Sady Pereira</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2023-05-17T16:29:27Z</xd:SigningTime>
          <xd:SigningCertificate>
            <xd:Cert>
              <xd:CertDigest>
                <DigestMethod Algorithm="http://www.w3.org/2001/04/xmlenc#sha256"/>
                <DigestValue>h/KlxldD+181n4MS73/HPbuMmfour1nhJ1WK75hA0aE=</DigestValue>
              </xd:CertDigest>
              <xd:IssuerSerial>
                <X509IssuerName>C=PY, O=DOCUMENTA S.A., SERIALNUMBER=RUC80050172-1, CN=CA-DOCUMENTA S.A.</X509IssuerName>
                <X509SerialNumber>3543914213969848027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V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0KlV+38AAADQqVX7fwAAEwAAAAAAAAAAAACa+38AAK0o9lT7fwAAMBYAmvt/AAATAAAAAAAAAOgWAAAAAAAAQAAAwPt/AAAAAACa+38AAHUr9lT7fwAABAAAAAAAAAAwFgCa+38AAFC7lSWCAAAAEwAAAAAAAABIAAAAAAAAAIzIjFX7fwAAiNOpVft/AADAzIxV+38AAAEAAAAAAAAADvKMVft/AAAAAACa+38AAAAAAAAAAAAAAAAAAAAAAACH9cSa+38AAMCLa57FAQAAGy19mPt/AAAgvJUlggAAALm8lSWCAAAAAAAAAAAAAAAAAAAAZHYACAAAAAAlAAAADAAAAAEAAAAYAAAADAAAAAAAAAASAAAADAAAAAEAAAAeAAAAGAAAAPUAAAAFAAAAMgEAABYAAAAlAAAADAAAAAEAAABUAAAAhAAAAPYAAAAFAAAAMAEAABUAAAABAAAAVVWPQYX2jkH2AAAABQAAAAkAAABMAAAAAAAAAAAAAAAAAAAA//////////9gAAAAMQA3AC8ANQAvADIAMAAyADMA4Q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Ao25UlggAAAACK3avFAQAAkL6hmPt/AAAAAAAAAAAAAAkAAAAAAAAAUOKVJYIAAADoKvZU+38AAAAAAAAAAAAAAAAAAAAAAACjXeEsHisAAKjclSWCAAAAAAAAAAAAAAAgSbeexQEAAMCLa57FAQAA0N2VJQAAAAAAAAAAAAAAAAcAAAAAAAAA2OmqrMUBAAAM3ZUlggAAAEndlSWCAAAAIcp5mPt/AAAEAAAAAAAAAFDt3qsAAAAAAAAAAAAAAABeGAauxQEAAMCLa57FAQAAGy19mPt/AACw3JUlggAAAEndlSWCAAAA8AY6r8U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BAAAAAgAAANF0lCWCAAAA+Od/VPt/AACQvqGY+38AAAAAAAAAAAAAAAAAAAAAAAADAAAAAAAAAODMaFT7fwAAAAAAAAAAAAAAAAAAAAAAAKP04CweKwAAwMd+s8UBAAABAAAAAAAAAOD///8AAAAAwItrnsUBAADodpQlAAAAAAAAAAAAAAAABgAAAAAAAAAgAAAAAAAAAAx2lCWCAAAASXaUJYIAAAAhynmY+38AAKCR1azFAQAAqM1oVAAAAAAgynucxQEAAAAAAAAAAAAAwItrnsUBAAAbLX2Y+38AALB1lCWCAAAASXaUJYIAAAAw1jmvxQEAAAAAAABkdgAIAAAAACUAAAAMAAAAAwAAABgAAAAMAAAAAAAAABIAAAAMAAAAAQAAABYAAAAMAAAACAAAAFQAAABUAAAADAAAADcAAAAgAAAAWgAAAAEAAABVVY9BhfaOQQwAAABbAAAAAQAAAEwAAAAEAAAACwAAADcAAAAiAAAAWwAAAFAAAABYALs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0AAABWAAAAMAAAADsAAABuAAAAHAAAACEA8AAAAAAAAAAAAAAAgD8AAAAAAAAAAAAAgD8AAAAAAAAAAAAAAAAAAAAAAAAAAAAAAAAAAAAAAAAAACUAAAAMAAAAAAAAgCgAAAAMAAAABAAAAFIAAABwAQAABAAAAOz///8AAAAAAAAAAAAAAACQAQAAAAAAAQAAAABzAGUAZwBvAGUAIAB1AGkAAAAAAAAAAAAAAAAAAAAAAAAAAAAAAAAAAAAAAAAAAAAAAAAAAAAAAAAAAAAAAAAAAAAAAEBtaFT7fwAACrbWU/t/AACwfpQlggAAAJC+oZj7fwAAAAAAAAAAAAAAAAAAAAAAAHhuaFT7fwAAAAAAAAAAAAAAAAAAAAAAAAAAAAAAAAAAs/PgLB4rAAD/////+38AAP////8AAAAA7P///wAAAADAi2uexQEAAPh3lCUAAAAAAAAAAAAAAAAJAAAAAAAAACAAAAAAAAAAHHeUJYIAAABZd5QlggAAACHKeZj7fwAAAAAAAAAAAAAAAAAAAAAAAAAAAAAAAAAAAAAAAAAAAADAi2uexQEAABstfZj7fwAAwHaUJYIAAABZd5QlggAAAKDru7PFAQAAAAAAAGR2AAgAAAAAJQAAAAwAAAAEAAAAGAAAAAwAAAAAAAAAEgAAAAwAAAABAAAAHgAAABgAAAAwAAAAOwAAAJ4AAABXAAAAJQAAAAwAAAAEAAAAVAAAAJQAAAAxAAAAOwAAAJwAAABWAAAAAQAAAFVVj0GF9o5BMQAAADsAAAAMAAAATAAAAAAAAAAAAAAAAAAAAP//////////ZAAAAFMAYQBkAHkAIABQAGUAcgBlAGkAcgBhAAsAAAAKAAAADAAAAAoAAAAFAAAACwAAAAoAAAAHAAAACgAAAAUAAAAH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0AAAADwAAAGEAAABtAAAAcQAAAAEAAABVVY9BhfaOQQ8AAABhAAAAEQAAAEwAAAAAAAAAAAAAAAAAAAD//////////3AAAABMAGkAYwAuACAAUwBhAGQAeQAgAFAAZQByAGUAaQByAGEA4QAGAAAAAwAAAAYAAAADAAAABAAAAAcAAAAHAAAACAAAAAYAAAAEAAAABwAAAAcAAAAFAAAABwAAAAMAAAAF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XAAAAEMAbwBuAHQAYQBkAG8AcgAIAAAACAAAAAcAAAAEAAAABwAAAAgAAAAIAAAABQAAAEsAAABAAAAAMAAAAAUAAAAgAAAAAQAAAAEAAAAQAAAAAAAAAAAAAABAAQAAoAAAAAAAAAAAAAAAQAEAAKAAAAAlAAAADAAAAAIAAAAnAAAAGAAAAAUAAAAAAAAA////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Object>
  <Object Id="idInvalidSigLnImg">AQAAAGwAAAAAAAAAAAAAAD8BAACfAAAAAAAAAAAAAABmFgAALAsAACBFTUYAAAEAxCA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0KlV+38AAADQqVX7fwAAEwAAAAAAAAAAAACa+38AAK0o9lT7fwAAMBYAmvt/AAATAAAAAAAAAOgWAAAAAAAAQAAAwPt/AAAAAACa+38AAHUr9lT7fwAABAAAAAAAAAAwFgCa+38AAFC7lSWCAAAAEwAAAAAAAABIAAAAAAAAAIzIjFX7fwAAiNOpVft/AADAzIxV+38AAAEAAAAAAAAADvKMVft/AAAAAACa+38AAAAAAAAAAAAAAAAAAAAAAACH9cSa+38AAMCLa57FAQAAGy19mPt/AAAgvJUlggAAALm8lSWCAAAAAAAAAAAAAAAAAAAAZHYACAAAAAAlAAAADAAAAAEAAAAYAAAADAAAAP8AAAASAAAADAAAAAEAAAAeAAAAGAAAADAAAAAFAAAAiwAAABYAAAAlAAAADAAAAAEAAABUAAAAqAAAADEAAAAFAAAAiQAAABUAAAABAAAAVVWPQYX2jk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QAAAAAAAAAo25UlggAAAACK3avFAQAAkL6hmPt/AAAAAAAAAAAAAAkAAAAAAAAAUOKVJYIAAADoKvZU+38AAAAAAAAAAAAAAAAAAAAAAACjXeEsHisAAKjclSWCAAAAAAAAAAAAAAAgSbeexQEAAMCLa57FAQAA0N2VJQAAAAAAAAAAAAAAAAcAAAAAAAAA2OmqrMUBAAAM3ZUlggAAAEndlSWCAAAAIcp5mPt/AAAEAAAAAAAAAFDt3qsAAAAAAAAAAAAAAABeGAauxQEAAMCLa57FAQAAGy19mPt/AACw3JUlggAAAEndlSWCAAAA8AY6r8U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BAAAAAgAAANF0lCWCAAAA+Od/VPt/AACQvqGY+38AAAAAAAAAAAAAAAAAAAAAAAADAAAAAAAAAODMaFT7fwAAAAAAAAAAAAAAAAAAAAAAAKP04CweKwAAwMd+s8UBAAABAAAAAAAAAOD///8AAAAAwItrnsUBAADodpQlAAAAAAAAAAAAAAAABgAAAAAAAAAgAAAAAAAAAAx2lCWCAAAASXaUJYIAAAAhynmY+38AAKCR1azFAQAAqM1oVAAAAAAgynucxQEAAAAAAAAAAAAAwItrnsUBAAAbLX2Y+38AALB1lCWCAAAASXaUJYIAAAAw1jmvxQEAAA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0AAABWAAAAMAAAADsAAABuAAAAHAAAACEA8AAAAAAAAAAAAAAAgD8AAAAAAAAAAAAAgD8AAAAAAAAAAAAAAAAAAAAAAAAAAAAAAAAAAAAAAAAAACUAAAAMAAAAAAAAgCgAAAAMAAAABAAAAFIAAABwAQAABAAAAOz///8AAAAAAAAAAAAAAACQAQAAAAAAAQAAAABzAGUAZwBvAGUAIAB1AGkAAAAAAAAAAAAAAAAAAAAAAAAAAAAAAAAAAAAAAAAAAAAAAAAAAAAAAAAAAAAAAAAAAAAAAEBtaFT7fwAACrbWU/t/AACwfpQlggAAAJC+oZj7fwAAAAAAAAAAAAAAAAAAAAAAAHhuaFT7fwAAAAAAAAAAAAAAAAAAAAAAAAAAAAAAAAAAs/PgLB4rAAD/////+38AAP////8AAAAA7P///wAAAADAi2uexQEAAPh3lCUAAAAAAAAAAAAAAAAJAAAAAAAAACAAAAAAAAAAHHeUJYIAAABZd5QlggAAACHKeZj7fwAAAAAAAAAAAAAAAAAAAAAAAAAAAAAAAAAAAAAAAAAAAADAi2uexQEAABstfZj7fwAAwHaUJYIAAABZd5QlggAAAKDru7PFAQAAAAAAAGR2AAgAAAAAJQAAAAwAAAAEAAAAGAAAAAwAAAAAAAAAEgAAAAwAAAABAAAAHgAAABgAAAAwAAAAOwAAAJ4AAABXAAAAJQAAAAwAAAAEAAAAVAAAAJQAAAAxAAAAOwAAAJwAAABWAAAAAQAAAFVVj0GF9o5BMQAAADsAAAAMAAAATAAAAAAAAAAAAAAAAAAAAP//////////ZAAAAFMAYQBkAHkAIABQAGUAcgBlAGkAcgBhAAsAAAAKAAAADAAAAAoAAAAFAAAACwAAAAoAAAAHAAAACgAAAAUAAAAH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0AAAADwAAAGEAAABtAAAAcQAAAAEAAABVVY9BhfaOQQ8AAABhAAAAEQAAAEwAAAAAAAAAAAAAAAAAAAD//////////3AAAABMAGkAYwAuACAAUwBhAGQAeQAgAFAAZQByAGUAaQByAGEAAAAGAAAAAwAAAAYAAAADAAAABAAAAAcAAAAHAAAACAAAAAYAAAAEAAAABwAAAAcAAAAFAAAABwAAAAMAAAAF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XAAAAEMAbwBuAHQAYQBkAG8AcgAIAAAACAAAAAcAAAAEAAAABwAAAAgAAAAIAAAABQAAAEsAAABAAAAAMAAAAAUAAAAgAAAAAQAAAAEAAAAQAAAAAAAAAAAAAABAAQAAoAAAAAAAAAAAAAAAQAEAAKAAAAAlAAAADAAAAAIAAAAnAAAAGAAAAAUAAAAAAAAA////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YErMRygzeRDQ24fO62CcdHbPhHPdafacmDL4O197s8Y=</DigestValue>
    </Reference>
    <Reference Type="http://www.w3.org/2000/09/xmldsig#Object" URI="#idOfficeObject">
      <DigestMethod Algorithm="http://www.w3.org/2001/04/xmlenc#sha256"/>
      <DigestValue>O8mEvyvP2h3EW0YSDAHkj5TsJrhGIyTppvohw/2Sd5E=</DigestValue>
    </Reference>
    <Reference Type="http://uri.etsi.org/01903#SignedProperties" URI="#idSignedProperties">
      <Transforms>
        <Transform Algorithm="http://www.w3.org/TR/2001/REC-xml-c14n-20010315"/>
      </Transforms>
      <DigestMethod Algorithm="http://www.w3.org/2001/04/xmlenc#sha256"/>
      <DigestValue>v6eS2wgma9pGfQaKa+PCCAwfq6hBFO9Xv4Pghk96Sek=</DigestValue>
    </Reference>
    <Reference Type="http://www.w3.org/2000/09/xmldsig#Object" URI="#idValidSigLnImg">
      <DigestMethod Algorithm="http://www.w3.org/2001/04/xmlenc#sha256"/>
      <DigestValue>InX1nOvoGfZxliP+9yxsFza+9Omn3cxhxhPY7ed1oMQ=</DigestValue>
    </Reference>
    <Reference Type="http://www.w3.org/2000/09/xmldsig#Object" URI="#idInvalidSigLnImg">
      <DigestMethod Algorithm="http://www.w3.org/2001/04/xmlenc#sha256"/>
      <DigestValue>+WN9TBc0ZwML665fupU4T1oRk8HZRaAXuHFpCb20eDM=</DigestValue>
    </Reference>
  </SignedInfo>
  <SignatureValue>KUylpAQbEc30Yz+7ecRvZ2PXkSGq/S7Lv0k9VP3Y0ADTRSRoBtZhCnzPO0hN9uFBQwR6/8IbWmEY
DV8SfiGi8ZLzKFrm+RUM+tByXKgllltqrFaz2+2UIZfvfoAs9Wet058WYRgCLR3yorDRgBgV7slY
TAXTgWzfozTmQli12XvIWcVYzLnjVUVP3Oy50ge5q2X0YFGts0WtEecy7RA2aiO/mjATlWbjafgd
kFOEgDU4TalNvvKmKa1cYrZ3TPZLZgr1EMxcunPEub3+27Eur9+0sZn3oeerIzyEZzR0S/yUaxaZ
rlE/lZw3W02INmSAB0/0o5fx2x+O83K08xNPTg==</SignatureValue>
  <KeyInfo>
    <X509Data>
      <X509Certificate>MIIIoTCCBomgAwIBAgIId6JfhdIwL1IwDQYJKoZIhvcNAQELBQAwWjEaMBgGA1UEAwwRQ0EtRE9DVU1FTlRBIFMuQS4xFjAUBgNVBAUTDVJVQzgwMDUwMTcyLTExFzAVBgNVBAoMDkRPQ1VNRU5UQSBTLkEuMQswCQYDVQQGEwJQWTAeFw0yMzA0MTMxODU3MDBaFw0yNTA0MTIxODU3MDBaMIHVMTEwLwYDVQQDDChGRURFUklDTyBTRUJBU1RJQU4gT1BPUlRPIExFSVZBIEVTUElOT0xBMRIwEAYDVQQFEwlDSTcxNzM5OTMxGzAZBgNVBCoMEkZFREVSSUNPIFNFQkFTVElBTjEeMBwGA1UEBAwVT1BPUlRPIExFSVZBIEVTUElOT0xBMQswCQYDVQQLDAJGMjE1MDMGA1UECgwsQ0VSVElGSUNBRE8gQ1VBTElGSUNBRE8gREUgRklSTUEgRUxFQ1RST05JQ0ExCzAJBgNVBAYTAlBZMIIBIjANBgkqhkiG9w0BAQEFAAOCAQ8AMIIBCgKCAQEA7ehxuzTr9lUqc3Zu5W20kxP5N0l77gNINkJgvJcT2wMkqLyC5mD2iIB9RdEs+JPPqiUmkW4s64hmHSUV5fxbl3mA98ADbig4aXoCMAD1VQtkxuYnQntxvk0+/Dc8hDtTSgdia8PJABprAYeiAv6j9FpLH8spA84Go2gDoIKcyWXJjYZv0Z+NqxKSJHjCT1u6vBviL/MnM5OqF4NeCLfRL8ubAI0DIxSo182AIlziJr09r3VZdBRrbhClFTfJHlUM7e6yG3hZKM5OrhwPQ9k8r1y1f++eXIDV/MJxbQ15Z3puw+zGvL426C3wfZQEhEH6AZShUzFhFf/UM6QJkdr7zwIDAQABo4ID7TCCA+kwDAYDVR0TAQH/BAIwADAfBgNVHSMEGDAWgBShPYUrzdgslh85AgyfUztY2JULezCBlAYIKwYBBQUHAQEEgYcwgYQwVQYIKwYBBQUHMAKGSWh0dHBzOi8vd3d3LmRpZ2l0by5jb20ucHkvdXBsb2Fkcy9jZXJ0aWZpY2Fkby1kb2N1bWVudGEtc2EtMTUzNTExNzc3MS5jcnQwKwYIKwYBBQUHMAGGH2h0dHBzOi8vd3d3LmRpZ2l0by5jb20ucHkvb2NzcC8wUAYDVR0RBEkwR4EZc2ViYXN0aWFub3BvcnRvQGd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Gt3vzhmsKWIwc7bdFlgjm1zmTMGMA4GA1UdDwEB/wQEAwIF4DANBgkqhkiG9w0BAQsFAAOCAgEAIw2+mKWx0cdBN8RJLbSqhKRJTMtUO0R0CP5LABk7ePGVKG7nGR4kYBzloC9FoDAfYCmFrIn1t8zYggGn1FE9t+rW26BSIDYD8SpLuA4ys4UlF/xmv18vYbJJ38WDx9G571HkbLRGq9FTsOo9rPWXK2A0LOugpHWIZx2BULa3FW3n7gArNlIdBfUtA989G8WWZyjB4BU0+SAYf9rYo3ceOCgGLW5e5+Oq7Je++1rwkQXoTgUAKp6GfzD4qHPOLO2UGwXDfTwKcBegT3VZYgzOu8+tW6tsLTfE38We4JTaz1HzrEIRTJjUWxteHjUOGqHkl4PQH/jy57YK5uXNp4PqMFetvn7OFv0UDJ7LU8F+IOQiLCigP2myn5sgM+EBGlxQacIa6RzRTVvx17IBEPLA6IkCjXFsm45AK/udTBYEG1H6hpGfTfHOSxNrtvkRpIFmFqd726H5X6LpwV8kcV8dBHIAC3Q6GbUauvYwNZylP3Tq5RgqEFfspHtTEGOhbn6LHqVyZcsjxg+VLtRLY5zQeS8l8wa5vdipOpD+LEwlCAfuCOJWctHLMxfgq94p3DC3tgb2R2Ec2GtTKtHQZw4JcXRswks/Vgv6juR5YxY++Pto0CaSNkr7pupCVu4cK/fHCEfG+cYU8FdUMVORjDUmBdXJwCnr3F8FLCFcxrdYoQ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GftFG++9N6IfxrjT0dGhTRZ56rA9V4WS5LsoGqIjsss=</DigestValue>
      </Reference>
      <Reference URI="/xl/calcChain.xml?ContentType=application/vnd.openxmlformats-officedocument.spreadsheetml.calcChain+xml">
        <DigestMethod Algorithm="http://www.w3.org/2001/04/xmlenc#sha256"/>
        <DigestValue>tGdyU8OqhWmfwsksnurKIwsbNaAcbZhAgLf0DKO6+R0=</DigestValue>
      </Reference>
      <Reference URI="/xl/comments1.xml?ContentType=application/vnd.openxmlformats-officedocument.spreadsheetml.comments+xml">
        <DigestMethod Algorithm="http://www.w3.org/2001/04/xmlenc#sha256"/>
        <DigestValue>GgIistqq6lM8eThMspEkWjkNNXXsxJnQ99rUviUumEE=</DigestValue>
      </Reference>
      <Reference URI="/xl/comments2.xml?ContentType=application/vnd.openxmlformats-officedocument.spreadsheetml.comments+xml">
        <DigestMethod Algorithm="http://www.w3.org/2001/04/xmlenc#sha256"/>
        <DigestValue>bpXGtA7Fbj1NOg3fSsXOe0URuwKjYldqlHRmtUhXUbg=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QBGRECwR0XOmOfLaC+mT0g4rVxEIMgWxf6UbzIzBS2M=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7uvnapVg0/Y3PmP7gmt4GR0ywN9FnOr8ujPWXu0tkj4=</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rJxMnzeU9eTlC6zMQFEz88mU6dcMOQWWzK0onhOH5Rg=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wiVXcumh6XRk4gh9ePNTZYLp6zAWq5kSxnA3Dnf6ChM=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MWO52TusuC6HBjk/jKqQbr4b/cGPk1HPL5gMkQXvhjg=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WucWt59+Ya9ds73FAtdeK0yBo3jdFNm8cEbwTlEVgog=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sFkbjBQ210f/6OZ2/s0ZyG6fwKVn1+Q/VUMl+RfdppA=</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jcdjE7CI5cOc8SWLiXvvSgcAJQTkajAMN9vCiRmxV5s=</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2XEJzTeHFmlBxwDTFLW04cOe0zHEItv5/9XmjJ/7zSc=</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NdrNV4OTE/kTC6PmJWNAw3AXczhtLiDBpKGMk859sIg=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tZ/VXIVJP/94RMYzaAXufLc42FzGsqsL6XY7jc6JzAA=</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jyhYPhXJVl9Z6NquIRkNP5P8m5FLQxYEOhh/7hLUceY=</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bAiF7p/DurY4h7897uGkjqNg+hAkgDlUMXRhqN+v87I=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UBiG4OO9pO3Buq2Hy9XWt8W76p4HRSLuhF2Z+smRGfE=</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6uUBpchHakqQDChgLemNyI2cKWqBIOFCUSJJMq3HYkA=</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9oZOvz116V2KJExU+fflxJ2HMBOVSpuYRl6+lYugQdA=</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t4ijl1+v8IzzX/jMcI30Wqf1ef/NpgEjiPHxDPAoTmM=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8lZnWYrt8tB8aouUUDyUhZImLeEXtf0jolkx+Yi7024=</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j79VH7ko70R7pttbrbb54NwBUX8PiGH2zPclev8hocs=</DigestValue>
      </Reference>
      <Reference URI="/xl/drawings/drawing1.xml?ContentType=application/vnd.openxmlformats-officedocument.drawing+xml">
        <DigestMethod Algorithm="http://www.w3.org/2001/04/xmlenc#sha256"/>
        <DigestValue>iLEv8NOi2g5DFtsizk6NwXSs3DdSHVB4TDwoEa+Xi7U=</DigestValue>
      </Reference>
      <Reference URI="/xl/drawings/drawing10.xml?ContentType=application/vnd.openxmlformats-officedocument.drawing+xml">
        <DigestMethod Algorithm="http://www.w3.org/2001/04/xmlenc#sha256"/>
        <DigestValue>bMzYlbFZlOEYZv6ldxn5d/Z1Eq0AbQdo7DWU2i59c94=</DigestValue>
      </Reference>
      <Reference URI="/xl/drawings/drawing11.xml?ContentType=application/vnd.openxmlformats-officedocument.drawing+xml">
        <DigestMethod Algorithm="http://www.w3.org/2001/04/xmlenc#sha256"/>
        <DigestValue>Xvp9BookUB0BzQsQYq4bwje4z8wm6CLZYYgtuMeYr88=</DigestValue>
      </Reference>
      <Reference URI="/xl/drawings/drawing12.xml?ContentType=application/vnd.openxmlformats-officedocument.drawing+xml">
        <DigestMethod Algorithm="http://www.w3.org/2001/04/xmlenc#sha256"/>
        <DigestValue>f6u2xoqNEL+BUwRIWmL7dMP7SRFmGq3QtwE5X6zU4Kk=</DigestValue>
      </Reference>
      <Reference URI="/xl/drawings/drawing13.xml?ContentType=application/vnd.openxmlformats-officedocument.drawing+xml">
        <DigestMethod Algorithm="http://www.w3.org/2001/04/xmlenc#sha256"/>
        <DigestValue>U9WtVfh7rGAdkTjGMWLpeyqnhlY0Xk24Ey0GbRDv49g=</DigestValue>
      </Reference>
      <Reference URI="/xl/drawings/drawing14.xml?ContentType=application/vnd.openxmlformats-officedocument.drawing+xml">
        <DigestMethod Algorithm="http://www.w3.org/2001/04/xmlenc#sha256"/>
        <DigestValue>qTWU9BqpiouEqOPjZgTuJBwVvE+oowdwo87CeeFxToI=</DigestValue>
      </Reference>
      <Reference URI="/xl/drawings/drawing15.xml?ContentType=application/vnd.openxmlformats-officedocument.drawing+xml">
        <DigestMethod Algorithm="http://www.w3.org/2001/04/xmlenc#sha256"/>
        <DigestValue>DY5d5tOu5ol11c1rR9aBxWeETX6Q/gTzY+te+bSCScs=</DigestValue>
      </Reference>
      <Reference URI="/xl/drawings/drawing16.xml?ContentType=application/vnd.openxmlformats-officedocument.drawing+xml">
        <DigestMethod Algorithm="http://www.w3.org/2001/04/xmlenc#sha256"/>
        <DigestValue>9FasjpDIeJUvN2dZlk+ETa//qrbRncZtphhYCeo2RH8=</DigestValue>
      </Reference>
      <Reference URI="/xl/drawings/drawing17.xml?ContentType=application/vnd.openxmlformats-officedocument.drawing+xml">
        <DigestMethod Algorithm="http://www.w3.org/2001/04/xmlenc#sha256"/>
        <DigestValue>4jQGTbe4TSqtisgr6X5El+GKU0rCzLY6f+s0riMXims=</DigestValue>
      </Reference>
      <Reference URI="/xl/drawings/drawing18.xml?ContentType=application/vnd.openxmlformats-officedocument.drawing+xml">
        <DigestMethod Algorithm="http://www.w3.org/2001/04/xmlenc#sha256"/>
        <DigestValue>hXlbdPeAhyWc8mQb7p5KTOQzyArfalSY4VuHQ8UbTvc=</DigestValue>
      </Reference>
      <Reference URI="/xl/drawings/drawing19.xml?ContentType=application/vnd.openxmlformats-officedocument.drawing+xml">
        <DigestMethod Algorithm="http://www.w3.org/2001/04/xmlenc#sha256"/>
        <DigestValue>pGOHBayKv3B0S6jHpNrCTUOm/uPtsSZIuHveVHfh+A8=</DigestValue>
      </Reference>
      <Reference URI="/xl/drawings/drawing2.xml?ContentType=application/vnd.openxmlformats-officedocument.drawing+xml">
        <DigestMethod Algorithm="http://www.w3.org/2001/04/xmlenc#sha256"/>
        <DigestValue>M2S/Po87/G8I/qOB0nxRJP+upmsrM3RCjITsiU9gG3c=</DigestValue>
      </Reference>
      <Reference URI="/xl/drawings/drawing20.xml?ContentType=application/vnd.openxmlformats-officedocument.drawing+xml">
        <DigestMethod Algorithm="http://www.w3.org/2001/04/xmlenc#sha256"/>
        <DigestValue>7ybzdYLBjXrq98Lz4L0pIhCcXYspACI4LY8zuqVQfMw=</DigestValue>
      </Reference>
      <Reference URI="/xl/drawings/drawing21.xml?ContentType=application/vnd.openxmlformats-officedocument.drawing+xml">
        <DigestMethod Algorithm="http://www.w3.org/2001/04/xmlenc#sha256"/>
        <DigestValue>v8B94MfOtXxV5lkFQEoOJo9qIYsIbMZecvjUin0EP5g=</DigestValue>
      </Reference>
      <Reference URI="/xl/drawings/drawing22.xml?ContentType=application/vnd.openxmlformats-officedocument.drawing+xml">
        <DigestMethod Algorithm="http://www.w3.org/2001/04/xmlenc#sha256"/>
        <DigestValue>foRcl0CrqMKI33rDsN5eUYuqmwk9+ts0mN1N8ChkamQ=</DigestValue>
      </Reference>
      <Reference URI="/xl/drawings/drawing23.xml?ContentType=application/vnd.openxmlformats-officedocument.drawing+xml">
        <DigestMethod Algorithm="http://www.w3.org/2001/04/xmlenc#sha256"/>
        <DigestValue>z9Sbs9xjHXL9UNx3qh2F4ksvf5y0aK0J4T7q6ROICOU=</DigestValue>
      </Reference>
      <Reference URI="/xl/drawings/drawing24.xml?ContentType=application/vnd.openxmlformats-officedocument.drawing+xml">
        <DigestMethod Algorithm="http://www.w3.org/2001/04/xmlenc#sha256"/>
        <DigestValue>fEvwN+EoGKfJNpB76l3PPgogAXPiPEdMr/xtfp6oCZk=</DigestValue>
      </Reference>
      <Reference URI="/xl/drawings/drawing25.xml?ContentType=application/vnd.openxmlformats-officedocument.drawing+xml">
        <DigestMethod Algorithm="http://www.w3.org/2001/04/xmlenc#sha256"/>
        <DigestValue>mFE5xjCi3TisXDu4Arkr1mCggWKoYLJAW5OyhhbFOVs=</DigestValue>
      </Reference>
      <Reference URI="/xl/drawings/drawing26.xml?ContentType=application/vnd.openxmlformats-officedocument.drawing+xml">
        <DigestMethod Algorithm="http://www.w3.org/2001/04/xmlenc#sha256"/>
        <DigestValue>PJFjBWdWkjWOcQTXk/w89cwkSOV5Pr3a0/auuDPi9D4=</DigestValue>
      </Reference>
      <Reference URI="/xl/drawings/drawing27.xml?ContentType=application/vnd.openxmlformats-officedocument.drawing+xml">
        <DigestMethod Algorithm="http://www.w3.org/2001/04/xmlenc#sha256"/>
        <DigestValue>IwN0CwkULAx2mzdl3R1FngvHo6blF5sg0kFy8SrbAy4=</DigestValue>
      </Reference>
      <Reference URI="/xl/drawings/drawing3.xml?ContentType=application/vnd.openxmlformats-officedocument.drawing+xml">
        <DigestMethod Algorithm="http://www.w3.org/2001/04/xmlenc#sha256"/>
        <DigestValue>OUz7msnV5eaUOuClkRL5k4cANIAf4A66OGU4aAllZag=</DigestValue>
      </Reference>
      <Reference URI="/xl/drawings/drawing4.xml?ContentType=application/vnd.openxmlformats-officedocument.drawing+xml">
        <DigestMethod Algorithm="http://www.w3.org/2001/04/xmlenc#sha256"/>
        <DigestValue>wjT3Lg6pfPV6YBMx9IDQl1RnDrKTWSpq46waXF11eos=</DigestValue>
      </Reference>
      <Reference URI="/xl/drawings/drawing5.xml?ContentType=application/vnd.openxmlformats-officedocument.drawing+xml">
        <DigestMethod Algorithm="http://www.w3.org/2001/04/xmlenc#sha256"/>
        <DigestValue>Ucqep+Ao/ff3BQlS+/UpMIZYf3hBM97RZBtzo8utovw=</DigestValue>
      </Reference>
      <Reference URI="/xl/drawings/drawing6.xml?ContentType=application/vnd.openxmlformats-officedocument.drawing+xml">
        <DigestMethod Algorithm="http://www.w3.org/2001/04/xmlenc#sha256"/>
        <DigestValue>6la5PHoQGnBr/4Yb/oQFHRurvMqJZDugu/u5MmfnMmY=</DigestValue>
      </Reference>
      <Reference URI="/xl/drawings/drawing7.xml?ContentType=application/vnd.openxmlformats-officedocument.drawing+xml">
        <DigestMethod Algorithm="http://www.w3.org/2001/04/xmlenc#sha256"/>
        <DigestValue>Br/Ho7U6vf1fXmKSIFPkSTD6b72Q+4chd3Aq/Kgc0Fs=</DigestValue>
      </Reference>
      <Reference URI="/xl/drawings/drawing8.xml?ContentType=application/vnd.openxmlformats-officedocument.drawing+xml">
        <DigestMethod Algorithm="http://www.w3.org/2001/04/xmlenc#sha256"/>
        <DigestValue>hY3m3T/17Ca5Isy2gWkQyyfoYBrshJpspHD116ik1eE=</DigestValue>
      </Reference>
      <Reference URI="/xl/drawings/drawing9.xml?ContentType=application/vnd.openxmlformats-officedocument.drawing+xml">
        <DigestMethod Algorithm="http://www.w3.org/2001/04/xmlenc#sha256"/>
        <DigestValue>7Qctwc8D5t/29Dyurr23i5HnzA7Dqa1PFFOd791abHE=</DigestValue>
      </Reference>
      <Reference URI="/xl/drawings/vmlDrawing1.vml?ContentType=application/vnd.openxmlformats-officedocument.vmlDrawing">
        <DigestMethod Algorithm="http://www.w3.org/2001/04/xmlenc#sha256"/>
        <DigestValue>tj4pqVpza8Dujk8XDFiBFHlj775CyEe3fUyF6A6oBA0=</DigestValue>
      </Reference>
      <Reference URI="/xl/drawings/vmlDrawing2.vml?ContentType=application/vnd.openxmlformats-officedocument.vmlDrawing">
        <DigestMethod Algorithm="http://www.w3.org/2001/04/xmlenc#sha256"/>
        <DigestValue>gHHgOEnz7+NjpczU20I4ltuPxWf/GLuEybCcCzaAYb4=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/jUhTi6PhUZPDyfIvX9N+eGqtgSugQC4yomTlFwgBmU=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lQ82QnWwbz4cwqWmA0PvUVUEvxx4zrtn0uT8oTImCQY=</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QCUd4S2AR5kBEdM2lM/qKg2NIYxhQ+ilG7IzUn+1xxs=</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3Gd2H1nJT1Sx3nFe7U2sDmCKBVuSD4Qtb1t9J0F1J1Q=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dYYBBmfTTQH1mPZDrhnUNPno3ifUp2j0zoqBbQUu2pE=</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y9MX01g6/UDOj7q33DMU606MUG1NMLQWbdbSH5cmoOE=</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B33sTHauQ7zyatpG1aKTKbA2/dnVvARj+zfiETzw8i4=</DigestValue>
      </Reference>
      <Reference URI="/xl/externalLinks/externalLink1.xml?ContentType=application/vnd.openxmlformats-officedocument.spreadsheetml.externalLink+xml">
        <DigestMethod Algorithm="http://www.w3.org/2001/04/xmlenc#sha256"/>
        <DigestValue>IqPefeUpy+ijO4/1ven65jIeOx0unDo8SrtMc67xOi4=</DigestValue>
      </Reference>
      <Reference URI="/xl/externalLinks/externalLink2.xml?ContentType=application/vnd.openxmlformats-officedocument.spreadsheetml.externalLink+xml">
        <DigestMethod Algorithm="http://www.w3.org/2001/04/xmlenc#sha256"/>
        <DigestValue>x1cm+YeYjfgzfCEtiY6xufGA1LmuZojN2P+WATMeV1s=</DigestValue>
      </Reference>
      <Reference URI="/xl/externalLinks/externalLink3.xml?ContentType=application/vnd.openxmlformats-officedocument.spreadsheetml.externalLink+xml">
        <DigestMethod Algorithm="http://www.w3.org/2001/04/xmlenc#sha256"/>
        <DigestValue>x1cm+YeYjfgzfCEtiY6xufGA1LmuZojN2P+WATMeV1s=</DigestValue>
      </Reference>
      <Reference URI="/xl/externalLinks/externalLink4.xml?ContentType=application/vnd.openxmlformats-officedocument.spreadsheetml.externalLink+xml">
        <DigestMethod Algorithm="http://www.w3.org/2001/04/xmlenc#sha256"/>
        <DigestValue>6b6pBHkJx5j4NfTTJMgFElguvIv3gMzOLzOXKOW8HK8=</DigestValue>
      </Reference>
      <Reference URI="/xl/externalLinks/externalLink5.xml?ContentType=application/vnd.openxmlformats-officedocument.spreadsheetml.externalLink+xml">
        <DigestMethod Algorithm="http://www.w3.org/2001/04/xmlenc#sha256"/>
        <DigestValue>tsb5wmPJs7y8k5IWKJ48L38p0Uw0LEQhQm9WuUQJX1k=</DigestValue>
      </Reference>
      <Reference URI="/xl/externalLinks/externalLink6.xml?ContentType=application/vnd.openxmlformats-officedocument.spreadsheetml.externalLink+xml">
        <DigestMethod Algorithm="http://www.w3.org/2001/04/xmlenc#sha256"/>
        <DigestValue>rcUska0Bpgb2y+P3jDWAcCY+9LpfmDRvOmce4XtAVjk=</DigestValue>
      </Reference>
      <Reference URI="/xl/externalLinks/externalLink7.xml?ContentType=application/vnd.openxmlformats-officedocument.spreadsheetml.externalLink+xml">
        <DigestMethod Algorithm="http://www.w3.org/2001/04/xmlenc#sha256"/>
        <DigestValue>In1O/rA55nzxNRxuXS0F5o3/hwiY7nlhbKuXzHGO+RE=</DigestValue>
      </Reference>
      <Reference URI="/xl/media/image1.jpeg?ContentType=image/jpeg">
        <DigestMethod Algorithm="http://www.w3.org/2001/04/xmlenc#sha256"/>
        <DigestValue>n74/6hMahXOHJMx4WvzgWwhiD5xMpfB9meYG2iaBCD8=</DigestValue>
      </Reference>
      <Reference URI="/xl/media/image10.jpeg?ContentType=image/jpeg">
        <DigestMethod Algorithm="http://www.w3.org/2001/04/xmlenc#sha256"/>
        <DigestValue>WYRH0MEUOleVRkscz+WmIRxQHDJpCm3ryLZMOogskG4=</DigestValue>
      </Reference>
      <Reference URI="/xl/media/image11.jpeg?ContentType=image/jpeg">
        <DigestMethod Algorithm="http://www.w3.org/2001/04/xmlenc#sha256"/>
        <DigestValue>VhpKFb2/T+OWBPUXO/qatVnlu9l+ZSLSkFaJH61p424=</DigestValue>
      </Reference>
      <Reference URI="/xl/media/image12.jpeg?ContentType=image/jpeg">
        <DigestMethod Algorithm="http://www.w3.org/2001/04/xmlenc#sha256"/>
        <DigestValue>v28SkczqzYKIY3m9Kh4gXtfFKDfJxkq2eRQbOja+5Jo=</DigestValue>
      </Reference>
      <Reference URI="/xl/media/image13.jpeg?ContentType=image/jpeg">
        <DigestMethod Algorithm="http://www.w3.org/2001/04/xmlenc#sha256"/>
        <DigestValue>3p5aeG2UcdE2/Kh9O61/8IeChJCeZvmnLvNPrpEHwbQ=</DigestValue>
      </Reference>
      <Reference URI="/xl/media/image14.jpeg?ContentType=image/jpeg">
        <DigestMethod Algorithm="http://www.w3.org/2001/04/xmlenc#sha256"/>
        <DigestValue>L8wG8UlcngdGU5tCsCsGt+Tbi6yn55oVps1iZ2LkwSM=</DigestValue>
      </Reference>
      <Reference URI="/xl/media/image15.jpeg?ContentType=image/jpeg">
        <DigestMethod Algorithm="http://www.w3.org/2001/04/xmlenc#sha256"/>
        <DigestValue>0HwGJ+0rCoheXzKIWN2g9Ys/56ySRZ/4Q9gg0neSFyU=</DigestValue>
      </Reference>
      <Reference URI="/xl/media/image16.jpeg?ContentType=image/jpeg">
        <DigestMethod Algorithm="http://www.w3.org/2001/04/xmlenc#sha256"/>
        <DigestValue>ncTBDh7SVjtSas+YHM5m0WN1XOqpSZFHtGV5WmUnCog=</DigestValue>
      </Reference>
      <Reference URI="/xl/media/image17.jpeg?ContentType=image/jpeg">
        <DigestMethod Algorithm="http://www.w3.org/2001/04/xmlenc#sha256"/>
        <DigestValue>2TEGt8Wczr/kiZ3tEMFTgSYbynbK9qwPyLgHPvWKJEc=</DigestValue>
      </Reference>
      <Reference URI="/xl/media/image18.jpeg?ContentType=image/jpeg">
        <DigestMethod Algorithm="http://www.w3.org/2001/04/xmlenc#sha256"/>
        <DigestValue>w77tbw8DJXt4mramX19QNCMzvYIQmmIPu3sbunlU+5o=</DigestValue>
      </Reference>
      <Reference URI="/xl/media/image19.jpeg?ContentType=image/jpeg">
        <DigestMethod Algorithm="http://www.w3.org/2001/04/xmlenc#sha256"/>
        <DigestValue>OMIqJG6StErtoj41fjLC3sCX1GnQcM0pKU+iguq5plI=</DigestValue>
      </Reference>
      <Reference URI="/xl/media/image2.png?ContentType=image/png">
        <DigestMethod Algorithm="http://www.w3.org/2001/04/xmlenc#sha256"/>
        <DigestValue>2aiLeRWQ7DSEqYHtVtpWEVpYjwa80q5EAe0Y3H6bnqY=</DigestValue>
      </Reference>
      <Reference URI="/xl/media/image20.jpeg?ContentType=image/jpeg">
        <DigestMethod Algorithm="http://www.w3.org/2001/04/xmlenc#sha256"/>
        <DigestValue>IWpHvGq9Le3urmlOCxRcAuqwJvFrBpb0npGPUJUEHg8=</DigestValue>
      </Reference>
      <Reference URI="/xl/media/image21.jpeg?ContentType=image/jpeg">
        <DigestMethod Algorithm="http://www.w3.org/2001/04/xmlenc#sha256"/>
        <DigestValue>iaNHju07FGEJiz2KHUTB1Bf6Gy1QVlCftSRXIwdY2ec=</DigestValue>
      </Reference>
      <Reference URI="/xl/media/image22.jpeg?ContentType=image/jpeg">
        <DigestMethod Algorithm="http://www.w3.org/2001/04/xmlenc#sha256"/>
        <DigestValue>zWHsHt4tgdrtkEXOqpuBv6aG/gepmKuf/udpC4m3IrU=</DigestValue>
      </Reference>
      <Reference URI="/xl/media/image23.jpeg?ContentType=image/jpeg">
        <DigestMethod Algorithm="http://www.w3.org/2001/04/xmlenc#sha256"/>
        <DigestValue>vv0nhgohd9zE36puPfAgocgfUoQzp1kBNBx65LY7gr8=</DigestValue>
      </Reference>
      <Reference URI="/xl/media/image24.jpeg?ContentType=image/jpeg">
        <DigestMethod Algorithm="http://www.w3.org/2001/04/xmlenc#sha256"/>
        <DigestValue>RNzkHEpPXN32KTAkmCflxGznXjzHWKKLtC/oH6rRgD4=</DigestValue>
      </Reference>
      <Reference URI="/xl/media/image25.jpeg?ContentType=image/jpeg">
        <DigestMethod Algorithm="http://www.w3.org/2001/04/xmlenc#sha256"/>
        <DigestValue>7mO+vHuspRv90St6UvfTYiVNjS2+itw5wf1diqvThkM=</DigestValue>
      </Reference>
      <Reference URI="/xl/media/image3.jpeg?ContentType=image/jpeg">
        <DigestMethod Algorithm="http://www.w3.org/2001/04/xmlenc#sha256"/>
        <DigestValue>5qFfwcNuS6TfvBR7ui4zWbhKClxUf7Jd6nKLiGCjRWU=</DigestValue>
      </Reference>
      <Reference URI="/xl/media/image4.emf?ContentType=image/x-emf">
        <DigestMethod Algorithm="http://www.w3.org/2001/04/xmlenc#sha256"/>
        <DigestValue>5kPNP6oDPS3BzVY+Qacp7XxsrzoymrC2oQSU8mb4pcc=</DigestValue>
      </Reference>
      <Reference URI="/xl/media/image5.emf?ContentType=image/x-emf">
        <DigestMethod Algorithm="http://www.w3.org/2001/04/xmlenc#sha256"/>
        <DigestValue>k4BQwfslQhizGajQtbed5oMUIiuErLTNTcEuhwN7tZE=</DigestValue>
      </Reference>
      <Reference URI="/xl/media/image6.jpeg?ContentType=image/jpeg">
        <DigestMethod Algorithm="http://www.w3.org/2001/04/xmlenc#sha256"/>
        <DigestValue>Wse8dQ+/jsppl/DwZyUlgfYFTWXz8o8T/BokwhAYUow=</DigestValue>
      </Reference>
      <Reference URI="/xl/media/image7.jpeg?ContentType=image/jpeg">
        <DigestMethod Algorithm="http://www.w3.org/2001/04/xmlenc#sha256"/>
        <DigestValue>ogLhVgL8FD2NM+A8vwFwu6sjH6aBL1WHnFXNGDcigEk=</DigestValue>
      </Reference>
      <Reference URI="/xl/media/image8.jpeg?ContentType=image/jpeg">
        <DigestMethod Algorithm="http://www.w3.org/2001/04/xmlenc#sha256"/>
        <DigestValue>/BOqjwF/CUc/d78k006qoC8YfPCOD7ZjoJ4W0l/xmeE=</DigestValue>
      </Reference>
      <Reference URI="/xl/media/image9.jpeg?ContentType=image/jpeg">
        <DigestMethod Algorithm="http://www.w3.org/2001/04/xmlenc#sha256"/>
        <DigestValue>sAZdK2mFEYI3L4nsXVPouRrNFWWXXay2jxzLhN3VUlM=</DigestValue>
      </Reference>
      <Reference URI="/xl/persons/person.xml?ContentType=application/vnd.ms-excel.person+xml">
        <DigestMethod Algorithm="http://www.w3.org/2001/04/xmlenc#sha256"/>
        <DigestValue>xETDL4wweeeAvwYqCXlKrLkvwX+7HkZAY+jGD6uzKoc=</DigestValue>
      </Reference>
      <Reference URI="/xl/printerSettings/printerSettings1.bin?ContentType=application/vnd.openxmlformats-officedocument.spreadsheetml.printerSettings">
        <DigestMethod Algorithm="http://www.w3.org/2001/04/xmlenc#sha256"/>
        <DigestValue>26HqXRIPb6BZwT7U9IC6VtEL0dFpmbYLuhHRicgLN3w=</DigestValue>
      </Reference>
      <Reference URI="/xl/printerSettings/printerSettings10.bin?ContentType=application/vnd.openxmlformats-officedocument.spreadsheetml.printerSettings">
        <DigestMethod Algorithm="http://www.w3.org/2001/04/xmlenc#sha256"/>
        <DigestValue>3auKKYy+1zVh2/o2zFXt0gBsKnXg8b+IwT1iM49e1ek=</DigestValue>
      </Reference>
      <Reference URI="/xl/printerSettings/printerSettings2.bin?ContentType=application/vnd.openxmlformats-officedocument.spreadsheetml.printerSettings">
        <DigestMethod Algorithm="http://www.w3.org/2001/04/xmlenc#sha256"/>
        <DigestValue>eA/Fwsrhp9JJub8a3MIghHzaSlbH+/seBzvdXSGZYco=</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7FK+7ND2wkX5JRID7I5pGN2xS08AkOKCreOpDVpwU38=</DigestValue>
      </Reference>
      <Reference URI="/xl/printerSettings/printerSettings6.bin?ContentType=application/vnd.openxmlformats-officedocument.spreadsheetml.printerSettings">
        <DigestMethod Algorithm="http://www.w3.org/2001/04/xmlenc#sha256"/>
        <DigestValue>sLlVsMu/UmxdwdvPNZF0AY0+lC5fiUlO4f1F+aMCq5U=</DigestValue>
      </Reference>
      <Reference URI="/xl/printerSettings/printerSettings7.bin?ContentType=application/vnd.openxmlformats-officedocument.spreadsheetml.printerSettings">
        <DigestMethod Algorithm="http://www.w3.org/2001/04/xmlenc#sha256"/>
        <DigestValue>/rX1y3adr24Th3PbJvobWkO3TlxtNW/8csCTpEYOf48=</DigestValue>
      </Reference>
      <Reference URI="/xl/printerSettings/printerSettings8.bin?ContentType=application/vnd.openxmlformats-officedocument.spreadsheetml.printerSettings">
        <DigestMethod Algorithm="http://www.w3.org/2001/04/xmlenc#sha256"/>
        <DigestValue>sLlVsMu/UmxdwdvPNZF0AY0+lC5fiUlO4f1F+aMCq5U=</DigestValue>
      </Reference>
      <Reference URI="/xl/printerSettings/printerSettings9.bin?ContentType=application/vnd.openxmlformats-officedocument.spreadsheetml.printerSettings">
        <DigestMethod Algorithm="http://www.w3.org/2001/04/xmlenc#sha256"/>
        <DigestValue>kVk8PUww/KLBxPMDbbtfl+DscFooavbqVwRNUDoaaXQ=</DigestValue>
      </Reference>
      <Reference URI="/xl/sharedStrings.xml?ContentType=application/vnd.openxmlformats-officedocument.spreadsheetml.sharedStrings+xml">
        <DigestMethod Algorithm="http://www.w3.org/2001/04/xmlenc#sha256"/>
        <DigestValue>RW3jePmFLIfd/GCtzipkER0fRqui68LweuhbQT5bYLQ=</DigestValue>
      </Reference>
      <Reference URI="/xl/styles.xml?ContentType=application/vnd.openxmlformats-officedocument.spreadsheetml.styles+xml">
        <DigestMethod Algorithm="http://www.w3.org/2001/04/xmlenc#sha256"/>
        <DigestValue>YXimulVyx0+rRBLr3KGzu10bK+4UP3oPvlQKdl3AWNs=</DigestValue>
      </Reference>
      <Reference URI="/xl/theme/theme1.xml?ContentType=application/vnd.openxmlformats-officedocument.theme+xml">
        <DigestMethod Algorithm="http://www.w3.org/2001/04/xmlenc#sha256"/>
        <DigestValue>HpkhkEH/NfxYYunqn8gDSSXwsogmnmNBn70U95mIPRU=</DigestValue>
      </Reference>
      <Reference URI="/xl/threadedComments/threadedComment1.xml?ContentType=application/vnd.ms-excel.threadedcomments+xml">
        <DigestMethod Algorithm="http://www.w3.org/2001/04/xmlenc#sha256"/>
        <DigestValue>eHOanvuZtkLoibWsilz/SIVdSFbmd1zatAqwf3uQxPs=</DigestValue>
      </Reference>
      <Reference URI="/xl/workbook.xml?ContentType=application/vnd.openxmlformats-officedocument.spreadsheetml.sheet.main+xml">
        <DigestMethod Algorithm="http://www.w3.org/2001/04/xmlenc#sha256"/>
        <DigestValue>T6lE303GKkPhoy9CasCjKtonJ3v13flC2NwHvyjqvs4=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T1B0uRaS4Rdt4UR0fuU8A5BqcFtpt/Nsf6rux8r0cgc=</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hlX9gQHuzx56YhcKzgHvK3N5MwnGcFK7/Yfps5n9mUE=</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EhgEwQpnoBkaJ5GDhG7watcbCxRNooJcutk11/o397k=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kmO5tL9oNjKe1d/qAu4UzvToofm5VsLTx73Gv8SdExc=</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Jy8QUNxrX6WRT8nF6vEJpsGsfq5aqyxc0AcRfdPFR28=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tXlKTrMd35w/VGEq0pAUKGzoA7lDDEGfooykNcJtZd4=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jzmCIyjoG/vIfhaunuP+NU6Tdz/XzGx64KwcDaG18zY=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5GZR8kJIOaHvy2VnbUiRgyNB5menELbxKzlmtspM6QA=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sheet1.xml?ContentType=application/vnd.openxmlformats-officedocument.spreadsheetml.worksheet+xml">
        <DigestMethod Algorithm="http://www.w3.org/2001/04/xmlenc#sha256"/>
        <DigestValue>/Di0KK/kyiZNk5hmGaI/XPY31CibtxVxrE90/r3ULwY=</DigestValue>
      </Reference>
      <Reference URI="/xl/worksheets/sheet10.xml?ContentType=application/vnd.openxmlformats-officedocument.spreadsheetml.worksheet+xml">
        <DigestMethod Algorithm="http://www.w3.org/2001/04/xmlenc#sha256"/>
        <DigestValue>fOzHdr/l1aW2Kp5+Z3P5AN7L1ZAC+IxB26xJecfEXcU=</DigestValue>
      </Reference>
      <Reference URI="/xl/worksheets/sheet11.xml?ContentType=application/vnd.openxmlformats-officedocument.spreadsheetml.worksheet+xml">
        <DigestMethod Algorithm="http://www.w3.org/2001/04/xmlenc#sha256"/>
        <DigestValue>dxjkV7mKAYZ1mkqgyiwIBnc9r1paOzIqHq4xkeDXUow=</DigestValue>
      </Reference>
      <Reference URI="/xl/worksheets/sheet12.xml?ContentType=application/vnd.openxmlformats-officedocument.spreadsheetml.worksheet+xml">
        <DigestMethod Algorithm="http://www.w3.org/2001/04/xmlenc#sha256"/>
        <DigestValue>gffajZaeuc0aY0gwHNDRgcPhn9KM+829piYPnrUxiaM=</DigestValue>
      </Reference>
      <Reference URI="/xl/worksheets/sheet13.xml?ContentType=application/vnd.openxmlformats-officedocument.spreadsheetml.worksheet+xml">
        <DigestMethod Algorithm="http://www.w3.org/2001/04/xmlenc#sha256"/>
        <DigestValue>QdPYCYWs8khqOBpqKYcV9J3omqDutgl1EKU6rBfo46U=</DigestValue>
      </Reference>
      <Reference URI="/xl/worksheets/sheet14.xml?ContentType=application/vnd.openxmlformats-officedocument.spreadsheetml.worksheet+xml">
        <DigestMethod Algorithm="http://www.w3.org/2001/04/xmlenc#sha256"/>
        <DigestValue>Y3VMrA9pYDAw8fGq2J/LkRmG/yk4eEH3LJba12+ldU4=</DigestValue>
      </Reference>
      <Reference URI="/xl/worksheets/sheet15.xml?ContentType=application/vnd.openxmlformats-officedocument.spreadsheetml.worksheet+xml">
        <DigestMethod Algorithm="http://www.w3.org/2001/04/xmlenc#sha256"/>
        <DigestValue>6Z6tiHsZNnhtSSuNg+F1EoVai3FUah6CrsZlF/t8beU=</DigestValue>
      </Reference>
      <Reference URI="/xl/worksheets/sheet16.xml?ContentType=application/vnd.openxmlformats-officedocument.spreadsheetml.worksheet+xml">
        <DigestMethod Algorithm="http://www.w3.org/2001/04/xmlenc#sha256"/>
        <DigestValue>j75rLUyEPhqIN6GG6lV8IuUkoK1gDkHUCt9s3rX8UXA=</DigestValue>
      </Reference>
      <Reference URI="/xl/worksheets/sheet17.xml?ContentType=application/vnd.openxmlformats-officedocument.spreadsheetml.worksheet+xml">
        <DigestMethod Algorithm="http://www.w3.org/2001/04/xmlenc#sha256"/>
        <DigestValue>6B7c2FTtihIgvqgMMJFqRxMkZ4Kua0gJiH+Ykg+XCrM=</DigestValue>
      </Reference>
      <Reference URI="/xl/worksheets/sheet18.xml?ContentType=application/vnd.openxmlformats-officedocument.spreadsheetml.worksheet+xml">
        <DigestMethod Algorithm="http://www.w3.org/2001/04/xmlenc#sha256"/>
        <DigestValue>MVF8jswjDVY6f485KALQ15piS7jtb1KXHwzqCiXjHy4=</DigestValue>
      </Reference>
      <Reference URI="/xl/worksheets/sheet19.xml?ContentType=application/vnd.openxmlformats-officedocument.spreadsheetml.worksheet+xml">
        <DigestMethod Algorithm="http://www.w3.org/2001/04/xmlenc#sha256"/>
        <DigestValue>5Iifxtj01At3eO14mb5KUGTAp8PP4s6uW23iyVNYqrA=</DigestValue>
      </Reference>
      <Reference URI="/xl/worksheets/sheet2.xml?ContentType=application/vnd.openxmlformats-officedocument.spreadsheetml.worksheet+xml">
        <DigestMethod Algorithm="http://www.w3.org/2001/04/xmlenc#sha256"/>
        <DigestValue>t1XbiJTOfUHUUQK60bkgXAO//9Yyh4+eb1ZBkfHQnL0=</DigestValue>
      </Reference>
      <Reference URI="/xl/worksheets/sheet20.xml?ContentType=application/vnd.openxmlformats-officedocument.spreadsheetml.worksheet+xml">
        <DigestMethod Algorithm="http://www.w3.org/2001/04/xmlenc#sha256"/>
        <DigestValue>yEsyJkhG2VhrwO0vf0522x3tp7gyOTdD4Yz0qr4ke2U=</DigestValue>
      </Reference>
      <Reference URI="/xl/worksheets/sheet21.xml?ContentType=application/vnd.openxmlformats-officedocument.spreadsheetml.worksheet+xml">
        <DigestMethod Algorithm="http://www.w3.org/2001/04/xmlenc#sha256"/>
        <DigestValue>7nw5q5I4kzPau2ecIQv1tWatgRGHZc7y1ryxt05AO1A=</DigestValue>
      </Reference>
      <Reference URI="/xl/worksheets/sheet22.xml?ContentType=application/vnd.openxmlformats-officedocument.spreadsheetml.worksheet+xml">
        <DigestMethod Algorithm="http://www.w3.org/2001/04/xmlenc#sha256"/>
        <DigestValue>f2uIsSeEp5Aam80z+m+13AEmqZ/zrXhngBW1ZhrN5D4=</DigestValue>
      </Reference>
      <Reference URI="/xl/worksheets/sheet23.xml?ContentType=application/vnd.openxmlformats-officedocument.spreadsheetml.worksheet+xml">
        <DigestMethod Algorithm="http://www.w3.org/2001/04/xmlenc#sha256"/>
        <DigestValue>rvMTDIpELTp3M85ZTSJojibEW3DJmbWiiDUpWoJlVmc=</DigestValue>
      </Reference>
      <Reference URI="/xl/worksheets/sheet24.xml?ContentType=application/vnd.openxmlformats-officedocument.spreadsheetml.worksheet+xml">
        <DigestMethod Algorithm="http://www.w3.org/2001/04/xmlenc#sha256"/>
        <DigestValue>JtHauGEDQkbolR8wKEZTeZ8Tmuwtqz7ZUn3Dv35wPd4=</DigestValue>
      </Reference>
      <Reference URI="/xl/worksheets/sheet25.xml?ContentType=application/vnd.openxmlformats-officedocument.spreadsheetml.worksheet+xml">
        <DigestMethod Algorithm="http://www.w3.org/2001/04/xmlenc#sha256"/>
        <DigestValue>R6p/0ZsPoM58x8kqqI3wBCCT/fCMqDyBKYCKjx6r6s8=</DigestValue>
      </Reference>
      <Reference URI="/xl/worksheets/sheet26.xml?ContentType=application/vnd.openxmlformats-officedocument.spreadsheetml.worksheet+xml">
        <DigestMethod Algorithm="http://www.w3.org/2001/04/xmlenc#sha256"/>
        <DigestValue>7QYrYgUkCLBOXGYKzEUW4/hD3ifHgm/yZ3UQ1V3Xi0U=</DigestValue>
      </Reference>
      <Reference URI="/xl/worksheets/sheet27.xml?ContentType=application/vnd.openxmlformats-officedocument.spreadsheetml.worksheet+xml">
        <DigestMethod Algorithm="http://www.w3.org/2001/04/xmlenc#sha256"/>
        <DigestValue>0bHKvUZIs0mXmO0dj6fLRf8GiiNln+/MynCXOLYldiY=</DigestValue>
      </Reference>
      <Reference URI="/xl/worksheets/sheet28.xml?ContentType=application/vnd.openxmlformats-officedocument.spreadsheetml.worksheet+xml">
        <DigestMethod Algorithm="http://www.w3.org/2001/04/xmlenc#sha256"/>
        <DigestValue>ihnk3pqMzEamsKbfHRUdfvyfLshI0672ux/bDQ94pMY=</DigestValue>
      </Reference>
      <Reference URI="/xl/worksheets/sheet3.xml?ContentType=application/vnd.openxmlformats-officedocument.spreadsheetml.worksheet+xml">
        <DigestMethod Algorithm="http://www.w3.org/2001/04/xmlenc#sha256"/>
        <DigestValue>shqjdfUeAGvLlj2yamf33r2kjCBaxBwJh/s24e2bSmw=</DigestValue>
      </Reference>
      <Reference URI="/xl/worksheets/sheet4.xml?ContentType=application/vnd.openxmlformats-officedocument.spreadsheetml.worksheet+xml">
        <DigestMethod Algorithm="http://www.w3.org/2001/04/xmlenc#sha256"/>
        <DigestValue>6AfSOJIiZfxsExG15zDee0bdfbMCsjyhh5tUBu3JCic=</DigestValue>
      </Reference>
      <Reference URI="/xl/worksheets/sheet5.xml?ContentType=application/vnd.openxmlformats-officedocument.spreadsheetml.worksheet+xml">
        <DigestMethod Algorithm="http://www.w3.org/2001/04/xmlenc#sha256"/>
        <DigestValue>dquuT88mucsug71qy+aIZjny2BD3kT+5M2HVV2lsN+w=</DigestValue>
      </Reference>
      <Reference URI="/xl/worksheets/sheet6.xml?ContentType=application/vnd.openxmlformats-officedocument.spreadsheetml.worksheet+xml">
        <DigestMethod Algorithm="http://www.w3.org/2001/04/xmlenc#sha256"/>
        <DigestValue>dhl438ELyfziaiqGhy+pX12vlO8sXOubJMS3VsZqa3c=</DigestValue>
      </Reference>
      <Reference URI="/xl/worksheets/sheet7.xml?ContentType=application/vnd.openxmlformats-officedocument.spreadsheetml.worksheet+xml">
        <DigestMethod Algorithm="http://www.w3.org/2001/04/xmlenc#sha256"/>
        <DigestValue>72Z7eZ7haP1ctG3FQTELd/WJBY0JNitu5pLWtppMGXc=</DigestValue>
      </Reference>
      <Reference URI="/xl/worksheets/sheet8.xml?ContentType=application/vnd.openxmlformats-officedocument.spreadsheetml.worksheet+xml">
        <DigestMethod Algorithm="http://www.w3.org/2001/04/xmlenc#sha256"/>
        <DigestValue>LDOi5EN60cQWLwGIv+wM0YWgFd1Pdp8b4kar2btLk7k=</DigestValue>
      </Reference>
      <Reference URI="/xl/worksheets/sheet9.xml?ContentType=application/vnd.openxmlformats-officedocument.spreadsheetml.worksheet+xml">
        <DigestMethod Algorithm="http://www.w3.org/2001/04/xmlenc#sha256"/>
        <DigestValue>jad713iN47j+UpKQ+nleqq6phlZ3G5KGjwTrQc9fWyY=</DigestValue>
      </Reference>
    </Manifest>
    <SignatureProperties>
      <SignatureProperty Id="idSignatureTime" Target="#idPackageSignature">
        <mdssi:SignatureTime xmlns:mdssi="http://schemas.openxmlformats.org/package/2006/digital-signature">
          <mdssi:Format>YYYY-MM-DDThh:mm:ssTZD</mdssi:Format>
          <mdssi:Value>2023-05-17T20:06:08Z</mdssi:Value>
        </mdssi:SignatureTime>
      </SignatureProperty>
    </SignatureProperties>
  </Object>
  <Object Id="idOfficeObject">
    <SignatureProperties>
      <SignatureProperty Id="idOfficeV1Details" Target="#idPackageSignature">
        <SignatureInfoV1 xmlns="http://schemas.microsoft.com/office/2006/digsig">
          <SetupID>{65237113-31A1-49CF-B29F-3B8A1A4C7150}</SetupID>
          <SignatureText>Sebastian Oporto Leiva</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2023-05-17T20:06:08Z</xd:SigningTime>
          <xd:SigningCertificate>
            <xd:Cert>
              <xd:CertDigest>
                <DigestMethod Algorithm="http://www.w3.org/2001/04/xmlenc#sha256"/>
                <DigestValue>Cr/+y8AdH5jjuZsRugizcyBeUUjlVXqtxof52bXPEl8=</DigestValue>
              </xd:CertDigest>
              <xd:IssuerSerial>
                <X509IssuerName>C=PY, O=DOCUMENTA S.A., SERIALNUMBER=RUC80050172-1, CN=CA-DOCUMENTA S.A.</X509IssuerName>
                <X509SerialNumber>8620557665102212946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sBAAB/AAAAAAAAAAAAAAA9FwAA/AgAACBFTUYAAAEANBwAAKoAAAAGAAAAAAAAAAAAAAAAAAAAgAcAADgEAABYAQAAwgAAAAAAAAAAAAAAAAAAAMA/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AAAAAAAAAAAAAABM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AAAAAAAlAAAADAAAAAEAAABMAAAAZAAAAAAAAAAAAAAASwEAAH8AAAAAAAAAAAAAAEwBAACAAAAAIQDwAAAAAAAAAAAAAACAPwAAAAAAAAAAAACAPwAAAAAAAAAAAAAAAAAAAAAAAAAAAAAAAAAAAAAAAAAAJQAAAAwAAAAAAACAKAAAAAwAAAABAAAAJwAAABgAAAABAAAAAAAAAP///wAAAAAAJQAAAAwAAAABAAAATAAAAGQAAAAAAAAAAAAAAEsBAAB/AAAAAAAAAAAAAABM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VVWPQSa0j0HEAAAABAAAAAkAAABMAAAAAAAAAAAAAAAAAAAA//////////9gAAAAMQA3AC8ANQAvADIAMAAyADMAAAAGAAAABgAAAAQAAAAGAAAABAAAAAYAAAAGAAAABgAAAAYAAABLAAAAQAAAADAAAAAFAAAAIAAAAAEAAAABAAAAEAAAAAAAAAAAAAAATAEAAIAAAAAAAAAAAAAAAEw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JrSPQQoAAABLAAAAAQAAAEwAAAAEAAAACQAAACcAAAAgAAAASwAAAFAAAABYAOlm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sAAABHAAAAKQAAADMAAACj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wAAABIAAAAJQAAAAwAAAAEAAAAVAAAANAAAAAqAAAAMwAAAMoAAABHAAAAAQAAAFVVj0EmtI9BKgAAADMAAAAWAAAATAAAAAAAAAAAAAAAAAAAAP//////////eAAAAFMAZQBiAGEAcwB0AGkAYQBuACAATwBwAG8AcgB0AG8AIABMAGUAaQB2AGEACQAAAAgAAAAJAAAACAAAAAcAAAAFAAAABAAAAAgAAAAJAAAABAAAAAwAAAAJAAAACQAAAAYAAAAFAAAACQAAAAQAAAAIAAAACAAAAAQAAAAIAAAACAAAAEsAAABAAAAAMAAAAAUAAAAgAAAAAQAAAAEAAAAQAAAAAAAAAAAAAABMAQAAgAAAAAAAAAAAAAAATAEAAIAAAAAlAAAADAAAAAIAAAAnAAAAGAAAAAUAAAAAAAAA////AAAAAAAlAAAADAAAAAUAAABMAAAAZAAAAAAAAABQAAAASwEAAHwAAAAAAAAAUAAAAEw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AAAAACgAAAFAAAABvAAAAXAAAAAEAAABVVY9BJrSPQQoAAABQAAAAEwAAAEwAAAAAAAAAAAAAAAAAAAD//////////3QAAABTAGUAYgBhAHMAdABpAGEAbgAgAE8AcABvAHIAdABvACAATAAuANFOBgAAAAYAAAAHAAAABgAAAAUAAAAEAAAAAwAAAAYAAAAHAAAAAwAAAAkAAAAHAAAABwAAAAQAAAAEAAAABwAAAAMAAAAFAAAAAwAAAEsAAABAAAAAMAAAAAUAAAAgAAAAAQAAAAEAAAAQAAAAAAAAAAAAAABMAQAAgAAAAAAAAAAAAAAAT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gAAAAKAAAAYAAAAD8AAABsAAAAAQAAAFVVj0EmtI9BCgAAAGAAAAAKAAAATAAAAAAAAAAAAAAAAAAAAP//////////YAAAAFAAcgBlAHMAaQBkAGUAbgB0AGUABgAAAAQAAAAGAAAABQAAAAMAAAAHAAAABgAAAAcAAAAEAAAABgAAAEsAAABAAAAAMAAAAAUAAAAgAAAAAQAAAAEAAAAQAAAAAAAAAAAAAABMAQAAgAAAAAAAAAAAAAAATAEAAIAAAAAlAAAADAAAAAIAAAAnAAAAGAAAAAUAAAAAAAAA////AAAAAAAlAAAADAAAAAUAAABMAAAAZAAAAAkAAABwAAAAQgEAAHwAAAAJAAAAcAAAADoBAAANAAAAIQDwAAAAAAAAAAAAAACAPwAAAAAAAAAAAACAPwAAAAAAAAAAAAAAAAAAAAAAAAAAAAAAAAAAAAAAAAAAJQAAAAwAAAAAAACAKAAAAAwAAAAFAAAAJQAAAAwAAAABAAAAGAAAAAwAAAAAAAAAEgAAAAwAAAABAAAAFgAAAAwAAAAAAAAAVAAAAIwBAAAKAAAAcAAAAEEBAAB8AAAAAQAAAFVVj0EmtI9BCgAAAHAAAAA1AAAATAAAAAQAAAAJAAAAcAAAAEMBAAB9AAAAuAAAAEYAaQByAG0AYQBkAG8AIABwAG8AcgA6ACAARgBFAEQARQBSAEkAQwBPACAAUwBFAEIAQQBTAFQASQBBAE4AIABPAFAATwBSAFQATwAgAEwARQBJAFYAQQAgAEUAUwBQAEkATgBPAEwAQQBLpwYAAAADAAAABAAAAAkAAAAGAAAABwAAAAcAAAADAAAABwAAAAcAAAAEAAAAAwAAAAMAAAAGAAAABgAAAAgAAAAGAAAABwAAAAMAAAAHAAAACQAAAAMAAAAGAAAABgAAAAYAAAAHAAAABgAAAAYAAAADAAAABwAAAAgAAAADAAAACQAAAAYAAAAJAAAABwAAAAYAAAAJAAAAAwAAAAUAAAAGAAAAAwAAAAcAAAAHAAAAAwAAAAYAAAAGAAAABgAAAAMAAAAIAAAACQAAAAUAAAAHAAAAFgAAAAwAAAAAAAAAJQAAAAwAAAACAAAADgAAABQAAAAAAAAAEAAAABQAAAA=</Object>
  <Object Id="idInvalidSigLnImg">AQAAAGwAAAAAAAAAAAAAAEsBAAB/AAAAAAAAAAAAAAA9FwAA/AgAACBFTUYAAAEApCEAALEAAAAGAAAAAAAAAAAAAAAAAAAAgAcAADgEAABYAQAAwgAAAAAAAAAAAAAAAAAAAMA/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AAAAAAAAAAAAAABM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AAAAAAAlAAAADAAAAAEAAABMAAAAZAAAAAAAAAAAAAAASwEAAH8AAAAAAAAAAAAAAEwBAACAAAAAIQDwAAAAAAAAAAAAAACAPwAAAAAAAAAAAACAPwAAAAAAAAAAAAAAAAAAAAAAAAAAAAAAAAAAAAAAAAAAJQAAAAwAAAAAAACAKAAAAAwAAAABAAAAJwAAABgAAAABAAAAAAAAAP///wAAAAAAJQAAAAwAAAABAAAATAAAAGQAAAAAAAAAAAAAAEsBAAB/AAAAAAAAAAAAAABM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Sa0j0EjAAAABAAAAA8AAABMAAAAAAAAAAAAAAAAAAAA//////////9sAAAARgBpAHIAbQBhACAAbgBvACAAdgDhAGwAaQBkAGEAZQAGAAAAAwAAAAQAAAAJAAAABgAAAAMAAAAHAAAABwAAAAMAAAAFAAAABgAAAAMAAAADAAAABwAAAAYAAABLAAAAQAAAADAAAAAFAAAAIAAAAAEAAAABAAAAEAAAAAAAAAAAAAAATAEAAIAAAAAAAAAAAAAAAEw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JrSPQQoAAABLAAAAAQAAAEwAAAAEAAAACQAAACcAAAAgAAAASwAAAFAAAABYAHM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sAAABHAAAAKQAAADMAAACj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wAAABIAAAAJQAAAAwAAAAEAAAAVAAAANAAAAAqAAAAMwAAAMoAAABHAAAAAQAAAFVVj0EmtI9BKgAAADMAAAAWAAAATAAAAAAAAAAAAAAAAAAAAP//////////eAAAAFMAZQBiAGEAcwB0AGkAYQBuACAATwBwAG8AcgB0AG8AIABMAGUAaQB2AGEACQAAAAgAAAAJAAAACAAAAAcAAAAFAAAABAAAAAgAAAAJAAAABAAAAAwAAAAJAAAACQAAAAYAAAAFAAAACQAAAAQAAAAIAAAACAAAAAQAAAAIAAAACAAAAEsAAABAAAAAMAAAAAUAAAAgAAAAAQAAAAEAAAAQAAAAAAAAAAAAAABMAQAAgAAAAAAAAAAAAAAATAEAAIAAAAAlAAAADAAAAAIAAAAnAAAAGAAAAAUAAAAAAAAA////AAAAAAAlAAAADAAAAAUAAABMAAAAZAAAAAAAAABQAAAASwEAAHwAAAAAAAAAUAAAAEw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AAAAACgAAAFAAAABvAAAAXAAAAAEAAABVVY9BJrSPQQoAAABQAAAAEwAAAEwAAAAAAAAAAAAAAAAAAAD//////////3QAAABTAGUAYgBhAHMAdABpAGEAbgAgAE8AcABvAHIAdABvACAATAAuAG4ABgAAAAYAAAAHAAAABgAAAAUAAAAEAAAAAwAAAAYAAAAHAAAAAwAAAAkAAAAHAAAABwAAAAQAAAAEAAAABwAAAAMAAAAFAAAAAwAAAEsAAABAAAAAMAAAAAUAAAAgAAAAAQAAAAEAAAAQAAAAAAAAAAAAAABMAQAAgAAAAAAAAAAAAAAAT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gAAAAKAAAAYAAAAD8AAABsAAAAAQAAAFVVj0EmtI9BCgAAAGAAAAAKAAAATAAAAAAAAAAAAAAAAAAAAP//////////YAAAAFAAcgBlAHMAaQBkAGUAbgB0AGUABgAAAAQAAAAGAAAABQAAAAMAAAAHAAAABgAAAAcAAAAEAAAABgAAAEsAAABAAAAAMAAAAAUAAAAgAAAAAQAAAAEAAAAQAAAAAAAAAAAAAABMAQAAgAAAAAAAAAAAAAAATAEAAIAAAAAlAAAADAAAAAIAAAAnAAAAGAAAAAUAAAAAAAAA////AAAAAAAlAAAADAAAAAUAAABMAAAAZAAAAAkAAABwAAAAQgEAAHwAAAAJAAAAcAAAADoBAAANAAAAIQDwAAAAAAAAAAAAAACAPwAAAAAAAAAAAACAPwAAAAAAAAAAAAAAAAAAAAAAAAAAAAAAAAAAAAAAAAAAJQAAAAwAAAAAAACAKAAAAAwAAAAFAAAAJQAAAAwAAAABAAAAGAAAAAwAAAAAAAAAEgAAAAwAAAABAAAAFgAAAAwAAAAAAAAAVAAAAIwBAAAKAAAAcAAAAEEBAAB8AAAAAQAAAFVVj0EmtI9BCgAAAHAAAAA1AAAATAAAAAQAAAAJAAAAcAAAAEMBAAB9AAAAuAAAAEYAaQByAG0AYQBkAG8AIABwAG8AcgA6ACAARgBFAEQARQBSAEkAQwBPACAAUwBFAEIAQQBTAFQASQBBAE4AIABPAFAATwBSAFQATwAgAEwARQBJAFYAQQAgAEUAUwBQAEkATgBPAEwAQQBpAAYAAAADAAAABAAAAAkAAAAGAAAABwAAAAcAAAADAAAABwAAAAcAAAAEAAAAAwAAAAMAAAAGAAAABgAAAAgAAAAGAAAABwAAAAMAAAAHAAAACQAAAAMAAAAGAAAABgAAAAYAAAAHAAAABgAAAAYAAAADAAAABwAAAAgAAAADAAAACQAAAAYAAAAJAAAABwAAAAYAAAAJAAAAAwAAAAUAAAAGAAAAAwAAAAcAAAAHAAAAAwAAAAYAAAAGAAAABgAAAAMAAAAIAAAACQAAAAUAAAAH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Indice</vt:lpstr>
      <vt:lpstr>I.Infomac Gral Emp </vt:lpstr>
      <vt:lpstr>Balance Gral. Resol. 30</vt:lpstr>
      <vt:lpstr>Estado de Resultado Resol. 30</vt:lpstr>
      <vt:lpstr>Flujo de Efectivo Resol. Res 30</vt:lpstr>
      <vt:lpstr>Estado de Variacion PN </vt:lpstr>
      <vt:lpstr> Flujo de Fondos Calculo INVEST</vt:lpstr>
      <vt:lpstr>NOTA A LOS ESTADOS CONTA. 1-4</vt:lpstr>
      <vt:lpstr>NOTA 5 A-C CRITERIOS ESPECIF.</vt:lpstr>
      <vt:lpstr>NOTA D - DISPONIBILIDADES</vt:lpstr>
      <vt:lpstr>NOTA E - INVERSIONES TEMP Y PER</vt:lpstr>
      <vt:lpstr>NOTA F - CREDITOS</vt:lpstr>
      <vt:lpstr>NOTA G BIENES DE USO</vt:lpstr>
      <vt:lpstr>NOTA H CARGOS DIFERIDOS</vt:lpstr>
      <vt:lpstr> NOTA I INTANGIBLES</vt:lpstr>
      <vt:lpstr>NOTA J OTROS ACTIVOS CTES y NO </vt:lpstr>
      <vt:lpstr>NOTA K PRESTAMOS</vt:lpstr>
      <vt:lpstr>NOTA L DOCUM y CTAS A PAG</vt:lpstr>
      <vt:lpstr>NOTAS M-Q ACREED y CTAS A PAG</vt:lpstr>
      <vt:lpstr>NOTA R SALDOS Y TRANSACC</vt:lpstr>
      <vt:lpstr>NOTA S RESULTADOS CON PERS</vt:lpstr>
      <vt:lpstr> NOTA T PATRIMONIO Y PREVIS</vt:lpstr>
      <vt:lpstr>NOTA V INGRESOS OPERATIVOS</vt:lpstr>
      <vt:lpstr>NOTA W OTROS GASTOS OPER</vt:lpstr>
      <vt:lpstr>NOTA X OTROS INGRESOS Y EGR</vt:lpstr>
      <vt:lpstr>NOTA Y RESULTADOS FINANC</vt:lpstr>
      <vt:lpstr>NOTA Z RESULT EXTRA</vt:lpstr>
      <vt:lpstr>NOTA 6 INFORMACION REFERENTE</vt:lpstr>
      <vt:lpstr>' Flujo de Fondos Calculo INVEST'!Área_de_impresión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Sady Pereira</cp:lastModifiedBy>
  <cp:revision/>
  <cp:lastPrinted>2021-11-14T19:15:35Z</cp:lastPrinted>
  <dcterms:created xsi:type="dcterms:W3CDTF">2019-11-21T14:06:50Z</dcterms:created>
  <dcterms:modified xsi:type="dcterms:W3CDTF">2023-05-17T16:20:07Z</dcterms:modified>
  <cp:category/>
  <cp:contentStatus/>
</cp:coreProperties>
</file>