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4.xml" ContentType="application/vnd.openxmlformats-officedocument.drawing+xml"/>
  <Override PartName="/xl/worksheets/sheet1.xml" ContentType="application/vnd.openxmlformats-officedocument.spreadsheetml.worksheet+xml"/>
  <Override PartName="/xl/drawings/drawing32.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7.xml" ContentType="application/vnd.openxmlformats-officedocument.drawing+xml"/>
  <Override PartName="/xl/drawings/drawing33.xml" ContentType="application/vnd.openxmlformats-officedocument.drawing+xml"/>
  <Override PartName="/xl/worksheets/sheet46.xml" ContentType="application/vnd.openxmlformats-officedocument.spreadsheetml.worksheet+xml"/>
  <Override PartName="/xl/worksheets/sheet3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35.xml" ContentType="application/vnd.openxmlformats-officedocument.spreadsheetml.worksheet+xml"/>
  <Override PartName="/xl/drawings/drawing3.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worksheets/sheet45.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4.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43.xml" ContentType="application/vnd.openxmlformats-officedocument.spreadsheetml.worksheet+xml"/>
  <Override PartName="/xl/worksheets/sheet42.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drawings/drawing2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22.xml" ContentType="application/vnd.openxmlformats-officedocument.drawing+xml"/>
  <Override PartName="/xl/drawings/drawing2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4.xml" ContentType="application/vnd.openxmlformats-officedocument.drawing+xml"/>
  <Override PartName="/xl/drawings/drawing23.xml" ContentType="application/vnd.openxmlformats-officedocument.drawing+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ENCARGOS ANA\2- SOCIEDADES\6- MILLENIA CAPITAL\5-C.N.V\INFORMES\INFORMES 2022\4. INFORME ANUAL 2022\PARA ENVIAR\"/>
    </mc:Choice>
  </mc:AlternateContent>
  <bookViews>
    <workbookView xWindow="0" yWindow="0" windowWidth="20490" windowHeight="7755" tabRatio="883" firstSheet="6" activeTab="6"/>
  </bookViews>
  <sheets>
    <sheet name="Balance (2)" sheetId="20" state="hidden" r:id="rId1"/>
    <sheet name="Resultado" sheetId="21" state="hidden" r:id="rId2"/>
    <sheet name="ACTIVO" sheetId="1" state="hidden" r:id="rId3"/>
    <sheet name="PASIVO" sheetId="2" state="hidden" r:id="rId4"/>
    <sheet name="EGRESOS" sheetId="3" state="hidden" r:id="rId5"/>
    <sheet name="INGRESOS" sheetId="4" state="hidden" r:id="rId6"/>
    <sheet name="IDENTIFICACION" sheetId="44" r:id="rId7"/>
    <sheet name="ANTECEDENTES" sheetId="57" r:id="rId8"/>
    <sheet name="ADMINISTRACION" sheetId="56" r:id="rId9"/>
    <sheet name="CAPITAL Y PROP" sheetId="84" r:id="rId10"/>
    <sheet name="AUDITOR EXT IND" sheetId="78" r:id="rId11"/>
    <sheet name="PERS VINCULADAS" sheetId="79" r:id="rId12"/>
    <sheet name="BALANCE" sheetId="48" r:id="rId13"/>
    <sheet name="RESULTAD" sheetId="26" r:id="rId14"/>
    <sheet name="FLUJO" sheetId="22" r:id="rId15"/>
    <sheet name="EVOL" sheetId="49" r:id="rId16"/>
    <sheet name="NOTAS" sheetId="58" r:id="rId17"/>
    <sheet name="Flujocaja" sheetId="9" state="hidden" r:id="rId18"/>
    <sheet name="VAL. M.E." sheetId="60" r:id="rId19"/>
    <sheet name="AYPMEXT" sheetId="85" r:id="rId20"/>
    <sheet name="DIF CAMBIO ME" sheetId="33" r:id="rId21"/>
    <sheet name="DISPONIB" sheetId="86" r:id="rId22"/>
    <sheet name="INVERS" sheetId="12" r:id="rId23"/>
    <sheet name="OTRAINV" sheetId="13" r:id="rId24"/>
    <sheet name="CREDITOS" sheetId="61" r:id="rId25"/>
    <sheet name="BIENDEUSO" sheetId="47" r:id="rId26"/>
    <sheet name="CARGOS DIFERIDOS" sheetId="62" r:id="rId27"/>
    <sheet name="ACTIVOS INTANGIBLES" sheetId="38" r:id="rId28"/>
    <sheet name="OTROS ACTIVOS CTE Y NO CTE" sheetId="63" r:id="rId29"/>
    <sheet name="PTMOS. FINANCIEROS" sheetId="64" r:id="rId30"/>
    <sheet name="DOC. Y CTAS POR PAGAR" sheetId="65" r:id="rId31"/>
    <sheet name="ACREEDORES POR INTERM" sheetId="39" r:id="rId32"/>
    <sheet name="ADM DE CARTERA" sheetId="66" r:id="rId33"/>
    <sheet name="CTAS A PAGAR A PERS. RELAC" sheetId="67" r:id="rId34"/>
    <sheet name="OBLIG. POR CONTRATO UNDER" sheetId="68" r:id="rId35"/>
    <sheet name="OTROS PASIVOS CTE Y NO CTE" sheetId="69" r:id="rId36"/>
    <sheet name="SALDOS PERS RELAC" sheetId="70" r:id="rId37"/>
    <sheet name="RESULTADO PERS VINC" sheetId="71" r:id="rId38"/>
    <sheet name="PATRIMONIO" sheetId="72" r:id="rId39"/>
    <sheet name="PREVISIONES" sheetId="73" r:id="rId40"/>
    <sheet name="INGRESOS OPERATIVOS" sheetId="40" r:id="rId41"/>
    <sheet name="OTROS GASTOS OP, COM Y ADM" sheetId="41" r:id="rId42"/>
    <sheet name="OTROS INGRESOS Y EGRESOS" sheetId="75" r:id="rId43"/>
    <sheet name="RESULTADOS FIN" sheetId="76" r:id="rId44"/>
    <sheet name="RESULTADOS EXTRAORD" sheetId="77" r:id="rId45"/>
    <sheet name="NOTAS2" sheetId="82" r:id="rId46"/>
    <sheet name="ANEX A - PERS VINCULADAS" sheetId="42" r:id="rId47"/>
    <sheet name="BIENUSO" sheetId="10" state="hidden" r:id="rId48"/>
    <sheet name="CostosyGastos" sheetId="17" state="hidden" r:id="rId49"/>
    <sheet name="Anexo H F2" sheetId="29" state="hidden" r:id="rId50"/>
  </sheets>
  <externalReferences>
    <externalReference r:id="rId51"/>
    <externalReference r:id="rId52"/>
    <externalReference r:id="rId53"/>
  </externalReferences>
  <definedNames>
    <definedName name="_GoBack" localSheetId="46">'ANEX A - PERS VINCULADAS'!$B$138</definedName>
    <definedName name="_xlnm.Print_Area" localSheetId="2">ACTIVO!$A$1:$G$104</definedName>
    <definedName name="_xlnm.Print_Area" localSheetId="4">EGRESOS!$A$1:$F$48</definedName>
    <definedName name="_xlnm.Print_Area" localSheetId="17">Flujocaja!$A$1:$E$57</definedName>
    <definedName name="_xlnm.Print_Area" localSheetId="5">INGRESOS!$A$1:$F$45</definedName>
    <definedName name="_xlnm.Print_Area" localSheetId="3">PASIVO!$A$1:$F$67</definedName>
    <definedName name="_xlnm.Print_Area" localSheetId="1">Resultado!$A$1:$N$128</definedName>
    <definedName name="Beg_Bal">'[1]Tabla de amortización'!$C$18:$C$377</definedName>
    <definedName name="Data">'[1]Tabla de amortización'!$A$18:$I$377</definedName>
    <definedName name="End_Bal">'[1]Tabla de amortización'!$I$18:$I$377</definedName>
    <definedName name="Excel_BuiltIn__FilterDatabase_10" localSheetId="19">#REF!</definedName>
    <definedName name="Excel_BuiltIn__FilterDatabase_10" localSheetId="21">#REF!</definedName>
    <definedName name="Excel_BuiltIn__FilterDatabase_10">#REF!</definedName>
    <definedName name="Excel_BuiltIn__FilterDatabase_11" localSheetId="19">#REF!</definedName>
    <definedName name="Excel_BuiltIn__FilterDatabase_11" localSheetId="21">#REF!</definedName>
    <definedName name="Excel_BuiltIn__FilterDatabase_11">#REF!</definedName>
    <definedName name="Excel_BuiltIn__FilterDatabase_12" localSheetId="19">#REF!</definedName>
    <definedName name="Excel_BuiltIn__FilterDatabase_12" localSheetId="21">#REF!</definedName>
    <definedName name="Excel_BuiltIn__FilterDatabase_12">#REF!</definedName>
    <definedName name="Excel_BuiltIn__FilterDatabase_13" localSheetId="19">#REF!</definedName>
    <definedName name="Excel_BuiltIn__FilterDatabase_13" localSheetId="21">#REF!</definedName>
    <definedName name="Excel_BuiltIn__FilterDatabase_13">#REF!</definedName>
    <definedName name="Excel_BuiltIn__FilterDatabase_14" localSheetId="19">#REF!</definedName>
    <definedName name="Excel_BuiltIn__FilterDatabase_14" localSheetId="21">#REF!</definedName>
    <definedName name="Excel_BuiltIn__FilterDatabase_14">#REF!</definedName>
    <definedName name="Excel_BuiltIn__FilterDatabase_7" localSheetId="19">#REF!</definedName>
    <definedName name="Excel_BuiltIn__FilterDatabase_7" localSheetId="21">#REF!</definedName>
    <definedName name="Excel_BuiltIn__FilterDatabase_7">#REF!</definedName>
    <definedName name="Excel_BuiltIn__FilterDatabase_8" localSheetId="19">#REF!</definedName>
    <definedName name="Excel_BuiltIn__FilterDatabase_8" localSheetId="21">#REF!</definedName>
    <definedName name="Excel_BuiltIn__FilterDatabase_8">#REF!</definedName>
    <definedName name="Excel_BuiltIn__FilterDatabase_9" localSheetId="19">#REF!</definedName>
    <definedName name="Excel_BuiltIn__FilterDatabase_9" localSheetId="21">#REF!</definedName>
    <definedName name="Excel_BuiltIn__FilterDatabase_9">#REF!</definedName>
    <definedName name="Excel_BuiltIn_Print_Area_6" localSheetId="19">#REF!</definedName>
    <definedName name="Excel_BuiltIn_Print_Area_6" localSheetId="9">#REF!</definedName>
    <definedName name="Excel_BuiltIn_Print_Area_6" localSheetId="21">#REF!</definedName>
    <definedName name="Excel_BuiltIn_Print_Area_6" localSheetId="13">[2]BALANCE!#REF!</definedName>
    <definedName name="Excel_BuiltIn_Print_Area_6">#REF!</definedName>
    <definedName name="Excel_BuiltIn_Print_Titles_9" localSheetId="19">Flujocaja!#REF!</definedName>
    <definedName name="Excel_BuiltIn_Print_Titles_9" localSheetId="9">Flujocaja!#REF!</definedName>
    <definedName name="Excel_BuiltIn_Print_Titles_9" localSheetId="21">Flujocaja!#REF!</definedName>
    <definedName name="Excel_BuiltIn_Print_Titles_9">Flujocaja!#REF!</definedName>
    <definedName name="Extra_Pay">'[1]Tabla de amortización'!$E$18:$E$377</definedName>
    <definedName name="fas" localSheetId="19">#REF!</definedName>
    <definedName name="fas" localSheetId="9">#REF!</definedName>
    <definedName name="fas" localSheetId="21">#REF!</definedName>
    <definedName name="fas">#REF!</definedName>
    <definedName name="Full_Print">'[1]Tabla de amortización'!$A$1:$I$377</definedName>
    <definedName name="Header_Row">ROW('[1]Tabla de amortización'!$17:$17)</definedName>
    <definedName name="hoja7" localSheetId="19">#REF!</definedName>
    <definedName name="hoja7" localSheetId="9">#REF!</definedName>
    <definedName name="hoja7" localSheetId="21">#REF!</definedName>
    <definedName name="hoja7">#REF!</definedName>
    <definedName name="Int">'[1]Tabla de amortización'!$H$18:$H$377</definedName>
    <definedName name="Interest_Rate">'[1]Tabla de amortización'!$D$7</definedName>
    <definedName name="Last_Row">#N/A</definedName>
    <definedName name="Loan_Amount">'[1]Tabla de amortización'!$D$6</definedName>
    <definedName name="Loan_Start">'[1]Tabla de amortización'!$D$10</definedName>
    <definedName name="Loan_Years">'[1]Tabla de amortización'!$D$8</definedName>
    <definedName name="Num_Pmt_Per_Year">'[1]Tabla de amortización'!$D$9</definedName>
    <definedName name="Number_of_Payments">MATCH(0.01,End_Bal,-1)+1</definedName>
    <definedName name="Pay_Date">'[1]Tabla de amortización'!$B$18:$B$377</definedName>
    <definedName name="Pay_Num">'[1]Tabla de amortización'!$A$18:$A$377</definedName>
    <definedName name="Payment_Date" localSheetId="19">DATE(YEAR([0]!Loan_Start),MONTH([0]!Loan_Start)+Payment_Number,DAY([0]!Loan_Start))</definedName>
    <definedName name="Payment_Date" localSheetId="21">DATE(YEAR([0]!Loan_Start),MONTH([0]!Loan_Start)+Payment_Number,DAY([0]!Loan_Start))</definedName>
    <definedName name="Payment_Date">DATE(YEAR(Loan_Start),MONTH(Loan_Start)+Payment_Number,DAY(Loan_Start))</definedName>
    <definedName name="Princ">'[1]Tabla de amortización'!$G$18:$G$377</definedName>
    <definedName name="Print_Area_Reset">OFFSET(Full_Print,0,0,Last_Row)</definedName>
    <definedName name="Sched_Pay">'[1]Tabla de amortización'!$D$18:$D$377</definedName>
    <definedName name="Scheduled_Extra_Payments">'[1]Tabla de amortización'!$D$11</definedName>
    <definedName name="Scheduled_Interest_Rate">'[1]Tabla de amortización'!$D$7</definedName>
    <definedName name="Scheduled_Monthly_Payment">'[1]Tabla de amortización'!$H$6</definedName>
    <definedName name="_xlnm.Print_Titles" localSheetId="0">'Balance (2)'!$1:$20</definedName>
    <definedName name="_xlnm.Print_Titles" localSheetId="1">Resultado!$1:$20</definedName>
    <definedName name="total_cost">'[3]W 1 Proj budget'!$E$170</definedName>
    <definedName name="Total_Interest">'[1]Tabla de amortización'!$H$10</definedName>
    <definedName name="Total_Pay">'[1]Tabla de amortización'!$F$18:$F$377</definedName>
    <definedName name="Total_Payment" localSheetId="19">Scheduled_Payment+Extra_Payment</definedName>
    <definedName name="Total_Payment" localSheetId="21">Scheduled_Payment+Extra_Payment</definedName>
    <definedName name="Total_Payment">Scheduled_Payment+Extra_Payment</definedName>
    <definedName name="Values_Entered">IF(Loan_Amount*Interest_Rate*Loan_Years*Loan_Start&gt;0,1,0)</definedName>
  </definedNames>
  <calcPr calcId="152511"/>
  <fileRecoveryPr autoRecover="0"/>
</workbook>
</file>

<file path=xl/calcChain.xml><?xml version="1.0" encoding="utf-8"?>
<calcChain xmlns="http://schemas.openxmlformats.org/spreadsheetml/2006/main">
  <c r="E160" i="42" l="1"/>
  <c r="D160" i="42"/>
  <c r="F146" i="42"/>
  <c r="E146" i="42"/>
  <c r="F145" i="42"/>
  <c r="E145" i="42"/>
  <c r="D123" i="42"/>
  <c r="C123" i="42"/>
  <c r="D111" i="42"/>
  <c r="C111" i="42"/>
  <c r="D102" i="42"/>
  <c r="D116" i="42" s="1"/>
  <c r="C102" i="42"/>
  <c r="C116" i="42" s="1"/>
  <c r="D97" i="42"/>
  <c r="C97" i="42"/>
  <c r="D82" i="42"/>
  <c r="C82" i="42"/>
  <c r="D13" i="63" l="1"/>
  <c r="D82" i="48" l="1"/>
  <c r="G23" i="67"/>
  <c r="D84" i="48" l="1"/>
  <c r="C84" i="48"/>
  <c r="C82" i="48"/>
  <c r="D79" i="48"/>
  <c r="C79" i="48"/>
  <c r="D72" i="48"/>
  <c r="C72" i="48"/>
  <c r="H67" i="48"/>
  <c r="G67" i="48"/>
  <c r="D67" i="48"/>
  <c r="C67" i="48"/>
  <c r="H66" i="48"/>
  <c r="G66" i="48"/>
  <c r="D55" i="48"/>
  <c r="C55" i="48"/>
  <c r="H43" i="48"/>
  <c r="G43" i="48"/>
  <c r="D39" i="48"/>
  <c r="C39" i="48"/>
  <c r="H38" i="48"/>
  <c r="G38" i="48"/>
  <c r="D27" i="48"/>
  <c r="C27" i="48"/>
  <c r="H23" i="48"/>
  <c r="H46" i="48" s="1"/>
  <c r="H72" i="48" s="1"/>
  <c r="H86" i="48" s="1"/>
  <c r="G23" i="48"/>
  <c r="D21" i="48"/>
  <c r="C21" i="48"/>
  <c r="C46" i="48" s="1"/>
  <c r="C86" i="48" s="1"/>
  <c r="C13" i="63"/>
  <c r="C22" i="61"/>
  <c r="D46" i="48" l="1"/>
  <c r="D86" i="48" s="1"/>
  <c r="G46" i="48"/>
  <c r="G72" i="48" s="1"/>
  <c r="G86" i="48" s="1"/>
  <c r="E33" i="13" l="1"/>
  <c r="E34" i="13"/>
  <c r="E32" i="13"/>
  <c r="D33" i="13"/>
  <c r="D34" i="13"/>
  <c r="D32" i="13"/>
  <c r="F29" i="13"/>
  <c r="E29" i="13"/>
  <c r="D30" i="13"/>
  <c r="D29" i="13"/>
  <c r="E23" i="13"/>
  <c r="F23" i="13" s="1"/>
  <c r="E24" i="13"/>
  <c r="F24" i="13"/>
  <c r="E25" i="13"/>
  <c r="F25" i="13" s="1"/>
  <c r="E26" i="13"/>
  <c r="F26" i="13"/>
  <c r="F22" i="13"/>
  <c r="E22" i="13"/>
  <c r="D24" i="13"/>
  <c r="D27" i="13" s="1"/>
  <c r="D25" i="13"/>
  <c r="D26" i="13"/>
  <c r="D23" i="13"/>
  <c r="D22" i="13"/>
  <c r="E27" i="13" l="1"/>
  <c r="F27" i="13"/>
  <c r="D20" i="13" l="1"/>
  <c r="F36" i="12"/>
  <c r="F37" i="12"/>
  <c r="F35" i="12"/>
  <c r="F32" i="12"/>
  <c r="F31" i="12"/>
  <c r="F29" i="12"/>
  <c r="E29" i="12"/>
  <c r="F25" i="12"/>
  <c r="F26" i="12"/>
  <c r="F27" i="12"/>
  <c r="F28" i="12"/>
  <c r="F24" i="12"/>
  <c r="F21" i="12"/>
  <c r="H13" i="33"/>
  <c r="H12" i="33"/>
  <c r="H11" i="33"/>
  <c r="C56" i="26" l="1"/>
  <c r="C45" i="26"/>
  <c r="C39" i="26"/>
  <c r="C67" i="26"/>
  <c r="G31" i="22" l="1"/>
  <c r="G25" i="22"/>
  <c r="C46" i="26" l="1"/>
  <c r="E25" i="70" l="1"/>
  <c r="E18" i="12" l="1"/>
  <c r="F18" i="12"/>
  <c r="E22" i="12"/>
  <c r="F22" i="12"/>
  <c r="E33" i="12"/>
  <c r="F33" i="12"/>
  <c r="E38" i="12"/>
  <c r="F38" i="12"/>
  <c r="E40" i="12" l="1"/>
  <c r="E41" i="12" s="1"/>
  <c r="F40" i="12"/>
  <c r="F41" i="12" s="1"/>
  <c r="C12" i="39" l="1"/>
  <c r="H27" i="67"/>
  <c r="G27" i="67"/>
  <c r="E19" i="71"/>
  <c r="D19" i="71"/>
  <c r="F24" i="49" l="1"/>
  <c r="C41" i="41" l="1"/>
  <c r="F34" i="13" l="1"/>
  <c r="F33" i="13"/>
  <c r="F32" i="13"/>
  <c r="F30" i="13"/>
  <c r="E30" i="13"/>
  <c r="D41" i="41" l="1"/>
  <c r="K18" i="49" l="1"/>
  <c r="K19" i="49"/>
  <c r="K20" i="49"/>
  <c r="K21" i="49"/>
  <c r="K22" i="49"/>
  <c r="K23" i="49"/>
  <c r="K17" i="49"/>
  <c r="D57" i="26" l="1"/>
  <c r="E35" i="13" l="1"/>
  <c r="F35" i="13"/>
  <c r="D35" i="13"/>
  <c r="C16" i="41" l="1"/>
  <c r="D16" i="40" l="1"/>
  <c r="F25" i="70"/>
  <c r="E24" i="70" l="1"/>
  <c r="C16" i="40" l="1"/>
  <c r="F15" i="33" l="1"/>
  <c r="D15" i="33"/>
  <c r="J46" i="84" l="1"/>
  <c r="J35" i="84"/>
  <c r="I46" i="84" l="1"/>
  <c r="H46" i="84"/>
  <c r="F46" i="84"/>
  <c r="I35" i="84"/>
  <c r="H35" i="84"/>
  <c r="F35" i="84"/>
  <c r="D46" i="26" l="1"/>
  <c r="D35" i="26"/>
  <c r="C35" i="26"/>
  <c r="D40" i="26" l="1"/>
  <c r="D58" i="26" s="1"/>
  <c r="D31" i="13"/>
  <c r="E31" i="13"/>
  <c r="D21" i="13"/>
  <c r="E20" i="13"/>
  <c r="F20" i="13" s="1"/>
  <c r="F21" i="13" s="1"/>
  <c r="E16" i="13"/>
  <c r="D16" i="13"/>
  <c r="F16" i="13"/>
  <c r="E21" i="13" l="1"/>
  <c r="D82" i="26"/>
  <c r="D85" i="26" s="1"/>
  <c r="D36" i="13"/>
  <c r="D37" i="13" s="1"/>
  <c r="E36" i="13"/>
  <c r="F31" i="13"/>
  <c r="E37" i="13" l="1"/>
  <c r="F36" i="13"/>
  <c r="F37" i="13" s="1"/>
  <c r="D16" i="75" l="1"/>
  <c r="D15" i="77" l="1"/>
  <c r="C36" i="65" l="1"/>
  <c r="C57" i="26" l="1"/>
  <c r="D12" i="75" l="1"/>
  <c r="L17" i="47" l="1"/>
  <c r="D14" i="76" l="1"/>
  <c r="C14" i="76"/>
  <c r="D10" i="76"/>
  <c r="C10" i="76"/>
  <c r="C16" i="75"/>
  <c r="C15" i="77" l="1"/>
  <c r="C10" i="77"/>
  <c r="C12" i="75" l="1"/>
  <c r="F12" i="72" l="1"/>
  <c r="F23" i="47"/>
  <c r="L22" i="47"/>
  <c r="G22" i="47"/>
  <c r="K23" i="47"/>
  <c r="J23" i="47"/>
  <c r="I23" i="47"/>
  <c r="H23" i="47"/>
  <c r="E23" i="47"/>
  <c r="D23" i="47"/>
  <c r="C23" i="47"/>
  <c r="M22" i="47" l="1"/>
  <c r="G17" i="47"/>
  <c r="M17" i="47" s="1"/>
  <c r="F31" i="22" l="1"/>
  <c r="F25" i="22"/>
  <c r="F20" i="22"/>
  <c r="G20" i="22"/>
  <c r="F33" i="22" l="1"/>
  <c r="F35" i="22" s="1"/>
  <c r="G33" i="22"/>
  <c r="G35" i="22" s="1"/>
  <c r="C13" i="38" l="1"/>
  <c r="L18" i="47" l="1"/>
  <c r="L19" i="47"/>
  <c r="L20" i="47"/>
  <c r="L21" i="47"/>
  <c r="C26" i="61"/>
  <c r="L23" i="47" l="1"/>
  <c r="E15" i="72" l="1"/>
  <c r="D15" i="72"/>
  <c r="C15" i="72"/>
  <c r="F14" i="72"/>
  <c r="F13" i="72"/>
  <c r="F11" i="72"/>
  <c r="F10" i="72"/>
  <c r="F15" i="72" l="1"/>
  <c r="D10" i="77"/>
  <c r="D19" i="41"/>
  <c r="C19" i="41"/>
  <c r="D16" i="41"/>
  <c r="C40" i="26"/>
  <c r="D11" i="69"/>
  <c r="C11" i="69"/>
  <c r="C22" i="65"/>
  <c r="E12" i="62"/>
  <c r="D12" i="62"/>
  <c r="F12" i="62"/>
  <c r="F13" i="62" s="1"/>
  <c r="G18" i="47"/>
  <c r="G19" i="47"/>
  <c r="G20" i="47"/>
  <c r="G21" i="47"/>
  <c r="D33" i="61"/>
  <c r="C33" i="61"/>
  <c r="D26" i="61"/>
  <c r="C58" i="26" l="1"/>
  <c r="G23" i="47"/>
  <c r="M23" i="47" s="1"/>
  <c r="C82" i="26" l="1"/>
  <c r="C85" i="26" s="1"/>
  <c r="K24" i="49"/>
  <c r="I24" i="49" l="1"/>
  <c r="G24" i="49" l="1"/>
  <c r="E13" i="38" l="1"/>
  <c r="D13" i="38"/>
  <c r="F12" i="38"/>
  <c r="F13" i="38" s="1"/>
  <c r="I31" i="29" l="1"/>
  <c r="H31" i="29"/>
  <c r="G31" i="29"/>
  <c r="F31" i="29"/>
  <c r="C31" i="29"/>
  <c r="E30" i="29"/>
  <c r="D30" i="29"/>
  <c r="K29" i="29"/>
  <c r="H29" i="29"/>
  <c r="G29" i="29"/>
  <c r="F29" i="29"/>
  <c r="J29" i="29" s="1"/>
  <c r="K28" i="29"/>
  <c r="G28" i="29"/>
  <c r="J28" i="29" s="1"/>
  <c r="K27" i="29"/>
  <c r="G27" i="29"/>
  <c r="J27" i="29" s="1"/>
  <c r="K26" i="29"/>
  <c r="C26" i="29"/>
  <c r="C30" i="29" s="1"/>
  <c r="C32" i="29" s="1"/>
  <c r="K25" i="29"/>
  <c r="I25" i="29"/>
  <c r="J25" i="29" s="1"/>
  <c r="K24" i="29"/>
  <c r="I24" i="29"/>
  <c r="J24" i="29" s="1"/>
  <c r="J23" i="29"/>
  <c r="K22" i="29"/>
  <c r="F22" i="29"/>
  <c r="J22" i="29" s="1"/>
  <c r="K21" i="29"/>
  <c r="H21" i="29"/>
  <c r="J21" i="29" s="1"/>
  <c r="K20" i="29"/>
  <c r="I20" i="29"/>
  <c r="I30" i="29" s="1"/>
  <c r="I32" i="29" s="1"/>
  <c r="K19" i="29"/>
  <c r="F19" i="29"/>
  <c r="J19" i="29" s="1"/>
  <c r="K18" i="29"/>
  <c r="F18" i="29"/>
  <c r="J18" i="29" s="1"/>
  <c r="K17" i="29"/>
  <c r="G17" i="29"/>
  <c r="J17" i="29" s="1"/>
  <c r="K16" i="29"/>
  <c r="G16" i="29"/>
  <c r="G30" i="29" s="1"/>
  <c r="G32" i="29" s="1"/>
  <c r="K15" i="29"/>
  <c r="F15" i="29"/>
  <c r="J15" i="29" s="1"/>
  <c r="K14" i="29"/>
  <c r="F14" i="29"/>
  <c r="J14" i="29" s="1"/>
  <c r="K13" i="29"/>
  <c r="F13" i="29"/>
  <c r="J13" i="29" s="1"/>
  <c r="K12" i="29"/>
  <c r="K31" i="29" s="1"/>
  <c r="K32" i="29" s="1"/>
  <c r="F12" i="29"/>
  <c r="F30" i="29" s="1"/>
  <c r="F32" i="29" s="1"/>
  <c r="G44" i="17"/>
  <c r="I43" i="17"/>
  <c r="D41" i="17"/>
  <c r="G41" i="17" s="1"/>
  <c r="F39" i="17"/>
  <c r="G39" i="17" s="1"/>
  <c r="F38" i="17"/>
  <c r="G38" i="17" s="1"/>
  <c r="G37" i="17"/>
  <c r="G35" i="17"/>
  <c r="G34" i="17"/>
  <c r="D33" i="17"/>
  <c r="G33" i="17" s="1"/>
  <c r="E32" i="17"/>
  <c r="G32" i="17" s="1"/>
  <c r="E31" i="17"/>
  <c r="G31" i="17" s="1"/>
  <c r="D30" i="17"/>
  <c r="G30" i="17" s="1"/>
  <c r="C29" i="17"/>
  <c r="G29" i="17" s="1"/>
  <c r="C28" i="17"/>
  <c r="G28" i="17" s="1"/>
  <c r="D27" i="17"/>
  <c r="G27" i="17" s="1"/>
  <c r="C26" i="17"/>
  <c r="G26" i="17" s="1"/>
  <c r="C25" i="17"/>
  <c r="G25" i="17" s="1"/>
  <c r="C24" i="17"/>
  <c r="G24" i="17" s="1"/>
  <c r="C23" i="17"/>
  <c r="G23" i="17" s="1"/>
  <c r="C22" i="17"/>
  <c r="G22" i="17" s="1"/>
  <c r="D21" i="17"/>
  <c r="G21" i="17" s="1"/>
  <c r="C20" i="17"/>
  <c r="D19" i="17"/>
  <c r="G19" i="17" s="1"/>
  <c r="D18" i="17"/>
  <c r="D40" i="40"/>
  <c r="C40" i="40"/>
  <c r="C41" i="40" s="1"/>
  <c r="M36" i="10"/>
  <c r="G36" i="10"/>
  <c r="M32" i="10"/>
  <c r="L32" i="10"/>
  <c r="K32" i="10"/>
  <c r="J32" i="10"/>
  <c r="I32" i="10"/>
  <c r="H32" i="10"/>
  <c r="F32" i="10"/>
  <c r="E32" i="10"/>
  <c r="D32" i="10"/>
  <c r="C32" i="10"/>
  <c r="B32" i="10"/>
  <c r="G31" i="10"/>
  <c r="L27" i="10"/>
  <c r="K27" i="10"/>
  <c r="J27" i="10"/>
  <c r="H27" i="10"/>
  <c r="F27" i="10"/>
  <c r="D27" i="10"/>
  <c r="D34" i="10" s="1"/>
  <c r="C27" i="10"/>
  <c r="C34" i="10" s="1"/>
  <c r="B27" i="10"/>
  <c r="G25" i="10"/>
  <c r="I24" i="10"/>
  <c r="M24" i="10" s="1"/>
  <c r="G24" i="10"/>
  <c r="G23" i="10"/>
  <c r="I22" i="10"/>
  <c r="M22" i="10" s="1"/>
  <c r="G22" i="10"/>
  <c r="I21" i="10"/>
  <c r="M21" i="10" s="1"/>
  <c r="G21" i="10"/>
  <c r="I20" i="10"/>
  <c r="M20" i="10" s="1"/>
  <c r="E20" i="10"/>
  <c r="E27" i="10" s="1"/>
  <c r="I19" i="10"/>
  <c r="M19" i="10" s="1"/>
  <c r="G19" i="10"/>
  <c r="I18" i="10"/>
  <c r="M18" i="10" s="1"/>
  <c r="G18" i="10"/>
  <c r="I17" i="10"/>
  <c r="M17" i="10" s="1"/>
  <c r="G17" i="10"/>
  <c r="I16" i="10"/>
  <c r="M16" i="10" s="1"/>
  <c r="G16" i="10"/>
  <c r="I15" i="10"/>
  <c r="M15" i="10" s="1"/>
  <c r="G15" i="10"/>
  <c r="M20" i="47"/>
  <c r="E40" i="9"/>
  <c r="D40" i="9"/>
  <c r="E30" i="9"/>
  <c r="E34" i="9" s="1"/>
  <c r="D30" i="9"/>
  <c r="D34" i="9" s="1"/>
  <c r="E24" i="9"/>
  <c r="E21" i="9"/>
  <c r="D21" i="9"/>
  <c r="D27" i="9" s="1"/>
  <c r="E17" i="9"/>
  <c r="D15" i="9"/>
  <c r="D16" i="9" s="1"/>
  <c r="D14" i="9"/>
  <c r="J24" i="49"/>
  <c r="H24" i="49"/>
  <c r="E24" i="49"/>
  <c r="D24" i="49"/>
  <c r="C24" i="49"/>
  <c r="F44" i="4"/>
  <c r="F39" i="4"/>
  <c r="E36" i="4"/>
  <c r="E33" i="4"/>
  <c r="E23" i="4"/>
  <c r="E14" i="4"/>
  <c r="E10" i="4"/>
  <c r="G63" i="3"/>
  <c r="I56" i="3"/>
  <c r="E47" i="3"/>
  <c r="C40" i="17" s="1"/>
  <c r="G40" i="17" s="1"/>
  <c r="E46" i="3"/>
  <c r="E42" i="3"/>
  <c r="F36" i="17" s="1"/>
  <c r="E30" i="3"/>
  <c r="E26" i="3"/>
  <c r="E10" i="3"/>
  <c r="F68" i="2"/>
  <c r="F54" i="2"/>
  <c r="E44" i="2"/>
  <c r="E41" i="2"/>
  <c r="E38" i="2"/>
  <c r="E33" i="2"/>
  <c r="E30" i="2"/>
  <c r="E26" i="2"/>
  <c r="E22" i="2"/>
  <c r="E18" i="2"/>
  <c r="E10" i="2"/>
  <c r="A5" i="2"/>
  <c r="A5" i="3" s="1"/>
  <c r="A5" i="4" s="1"/>
  <c r="G106" i="1"/>
  <c r="H96" i="1"/>
  <c r="I25" i="10" s="1"/>
  <c r="M25" i="10" s="1"/>
  <c r="N25" i="10" s="1"/>
  <c r="F89" i="1"/>
  <c r="F73" i="1"/>
  <c r="D72" i="1"/>
  <c r="F71" i="1" s="1"/>
  <c r="F69" i="1"/>
  <c r="F67" i="1"/>
  <c r="D66" i="1"/>
  <c r="F64" i="1" s="1"/>
  <c r="H65" i="1"/>
  <c r="F60" i="1"/>
  <c r="F54" i="1"/>
  <c r="F52" i="1"/>
  <c r="D49" i="1"/>
  <c r="F48" i="1" s="1"/>
  <c r="F46" i="1"/>
  <c r="F36" i="1"/>
  <c r="F31" i="1"/>
  <c r="H26" i="1"/>
  <c r="F10" i="1"/>
  <c r="F115" i="21"/>
  <c r="L112" i="21"/>
  <c r="L111" i="21"/>
  <c r="I110" i="21"/>
  <c r="G110" i="21"/>
  <c r="L110" i="21" s="1"/>
  <c r="L108" i="21"/>
  <c r="L107" i="21"/>
  <c r="L106" i="21"/>
  <c r="M106" i="21" s="1"/>
  <c r="L105" i="21"/>
  <c r="M105" i="21" s="1"/>
  <c r="L104" i="21"/>
  <c r="M104" i="21" s="1"/>
  <c r="F104" i="21"/>
  <c r="L103" i="21"/>
  <c r="M103" i="21" s="1"/>
  <c r="F103" i="21"/>
  <c r="M102" i="21"/>
  <c r="L102" i="21"/>
  <c r="F102" i="21"/>
  <c r="L101" i="21"/>
  <c r="M101" i="21" s="1"/>
  <c r="F101" i="21"/>
  <c r="L100" i="21"/>
  <c r="M100" i="21" s="1"/>
  <c r="F100" i="21"/>
  <c r="L99" i="21"/>
  <c r="M99" i="21" s="1"/>
  <c r="F99" i="21"/>
  <c r="L98" i="21"/>
  <c r="M98" i="21" s="1"/>
  <c r="L97" i="21"/>
  <c r="M97" i="21" s="1"/>
  <c r="F97" i="21"/>
  <c r="L96" i="21"/>
  <c r="M96" i="21" s="1"/>
  <c r="F96" i="21"/>
  <c r="L95" i="21"/>
  <c r="M95" i="21" s="1"/>
  <c r="F95" i="21"/>
  <c r="L94" i="21"/>
  <c r="M94" i="21" s="1"/>
  <c r="F94" i="21"/>
  <c r="L93" i="21"/>
  <c r="M93" i="21" s="1"/>
  <c r="F93" i="21"/>
  <c r="L92" i="21"/>
  <c r="M92" i="21" s="1"/>
  <c r="F92" i="21"/>
  <c r="I91" i="21"/>
  <c r="G91" i="21"/>
  <c r="F91" i="21"/>
  <c r="F90" i="21"/>
  <c r="L89" i="21"/>
  <c r="M89" i="21" s="1"/>
  <c r="F89" i="21"/>
  <c r="L88" i="21"/>
  <c r="M88" i="21" s="1"/>
  <c r="F88" i="21"/>
  <c r="L87" i="21"/>
  <c r="M87" i="21" s="1"/>
  <c r="F87" i="21"/>
  <c r="L86" i="21"/>
  <c r="M86" i="21" s="1"/>
  <c r="F86" i="21"/>
  <c r="I85" i="21"/>
  <c r="G85" i="21"/>
  <c r="F85" i="21"/>
  <c r="F84" i="21"/>
  <c r="L83" i="21"/>
  <c r="M83" i="21" s="1"/>
  <c r="F83" i="21"/>
  <c r="L82" i="21"/>
  <c r="F82" i="21"/>
  <c r="L81" i="21"/>
  <c r="M81" i="21" s="1"/>
  <c r="F81" i="21"/>
  <c r="L80" i="21"/>
  <c r="M80" i="21" s="1"/>
  <c r="F80" i="21"/>
  <c r="M79" i="21"/>
  <c r="L79" i="21"/>
  <c r="F79" i="21"/>
  <c r="L78" i="21"/>
  <c r="F78" i="21"/>
  <c r="L77" i="21"/>
  <c r="M77" i="21" s="1"/>
  <c r="F77" i="21"/>
  <c r="L76" i="21"/>
  <c r="M76" i="21" s="1"/>
  <c r="F76" i="21"/>
  <c r="L75" i="21"/>
  <c r="M75" i="21" s="1"/>
  <c r="F75" i="21"/>
  <c r="L74" i="21"/>
  <c r="M74" i="21" s="1"/>
  <c r="F74" i="21"/>
  <c r="L73" i="21"/>
  <c r="M73" i="21" s="1"/>
  <c r="F73" i="21"/>
  <c r="L72" i="21"/>
  <c r="M72" i="21" s="1"/>
  <c r="F72" i="21"/>
  <c r="L71" i="21"/>
  <c r="M71" i="21" s="1"/>
  <c r="F71" i="21"/>
  <c r="L70" i="21"/>
  <c r="M70" i="21" s="1"/>
  <c r="F70" i="21"/>
  <c r="L69" i="21"/>
  <c r="M69" i="21" s="1"/>
  <c r="F69" i="21"/>
  <c r="L68" i="21"/>
  <c r="M68" i="21" s="1"/>
  <c r="F68" i="21"/>
  <c r="L67" i="21"/>
  <c r="M67" i="21" s="1"/>
  <c r="F67" i="21"/>
  <c r="L66" i="21"/>
  <c r="M66" i="21" s="1"/>
  <c r="F66" i="21"/>
  <c r="L65" i="21"/>
  <c r="M65" i="21" s="1"/>
  <c r="F65" i="21"/>
  <c r="L64" i="21"/>
  <c r="M64" i="21" s="1"/>
  <c r="F64" i="21"/>
  <c r="L63" i="21"/>
  <c r="M63" i="21" s="1"/>
  <c r="F63" i="21"/>
  <c r="L62" i="21"/>
  <c r="M62" i="21" s="1"/>
  <c r="F62" i="21"/>
  <c r="I61" i="21"/>
  <c r="G61" i="21"/>
  <c r="F61" i="21"/>
  <c r="F60" i="21"/>
  <c r="L59" i="21"/>
  <c r="F59" i="21"/>
  <c r="L58" i="21"/>
  <c r="M58" i="21" s="1"/>
  <c r="F58" i="21"/>
  <c r="L57" i="21"/>
  <c r="M57" i="21" s="1"/>
  <c r="F57" i="21"/>
  <c r="L56" i="21"/>
  <c r="M56" i="21" s="1"/>
  <c r="F56" i="21"/>
  <c r="L55" i="21"/>
  <c r="M55" i="21" s="1"/>
  <c r="F55" i="21"/>
  <c r="L54" i="21"/>
  <c r="M54" i="21" s="1"/>
  <c r="L53" i="21"/>
  <c r="M53" i="21" s="1"/>
  <c r="F53" i="21"/>
  <c r="L52" i="21"/>
  <c r="M52" i="21" s="1"/>
  <c r="F52" i="21"/>
  <c r="L51" i="21"/>
  <c r="M51" i="21" s="1"/>
  <c r="F51" i="21"/>
  <c r="L50" i="21"/>
  <c r="M50" i="21" s="1"/>
  <c r="F50" i="21"/>
  <c r="L49" i="21"/>
  <c r="M49" i="21" s="1"/>
  <c r="F49" i="21"/>
  <c r="I48" i="21"/>
  <c r="G48" i="21"/>
  <c r="F48" i="21"/>
  <c r="L46" i="21"/>
  <c r="M46" i="21" s="1"/>
  <c r="F46" i="21"/>
  <c r="M45" i="21"/>
  <c r="I44" i="21"/>
  <c r="G44" i="21"/>
  <c r="F44" i="21"/>
  <c r="F42" i="21"/>
  <c r="L38" i="21"/>
  <c r="M38" i="21" s="1"/>
  <c r="L37" i="21"/>
  <c r="F37" i="21"/>
  <c r="L36" i="21"/>
  <c r="M36" i="21" s="1"/>
  <c r="F36" i="21"/>
  <c r="L35" i="21"/>
  <c r="M35" i="21" s="1"/>
  <c r="F35" i="21"/>
  <c r="L34" i="21"/>
  <c r="M34" i="21" s="1"/>
  <c r="F34" i="21"/>
  <c r="M33" i="21"/>
  <c r="I32" i="21"/>
  <c r="G32" i="21"/>
  <c r="F32" i="21"/>
  <c r="F31" i="21"/>
  <c r="L30" i="21"/>
  <c r="M30" i="21" s="1"/>
  <c r="F30" i="21"/>
  <c r="L29" i="21"/>
  <c r="M29" i="21" s="1"/>
  <c r="F29" i="21"/>
  <c r="I28" i="21"/>
  <c r="G28" i="21"/>
  <c r="G27" i="21" s="1"/>
  <c r="F28" i="21"/>
  <c r="F27" i="21"/>
  <c r="F26" i="21"/>
  <c r="L25" i="21"/>
  <c r="M25" i="21" s="1"/>
  <c r="F25" i="21"/>
  <c r="I24" i="21"/>
  <c r="G24" i="21"/>
  <c r="F24" i="21"/>
  <c r="F23" i="21"/>
  <c r="F22" i="21"/>
  <c r="D9" i="21"/>
  <c r="E162" i="20"/>
  <c r="F154" i="20"/>
  <c r="F153" i="20"/>
  <c r="L152" i="20"/>
  <c r="M152" i="20" s="1"/>
  <c r="F152" i="20"/>
  <c r="I151" i="20"/>
  <c r="G151" i="20"/>
  <c r="F151" i="20"/>
  <c r="F150" i="20"/>
  <c r="L149" i="20"/>
  <c r="F149" i="20"/>
  <c r="L148" i="20"/>
  <c r="M148" i="20" s="1"/>
  <c r="F148" i="20"/>
  <c r="L147" i="20"/>
  <c r="M147" i="20" s="1"/>
  <c r="F147" i="20"/>
  <c r="L146" i="20"/>
  <c r="M146" i="20" s="1"/>
  <c r="F146" i="20"/>
  <c r="I145" i="20"/>
  <c r="G145" i="20"/>
  <c r="F145" i="20"/>
  <c r="F144" i="20"/>
  <c r="F143" i="20"/>
  <c r="L142" i="20"/>
  <c r="M142" i="20" s="1"/>
  <c r="L141" i="20"/>
  <c r="F141" i="20"/>
  <c r="L140" i="20"/>
  <c r="M140" i="20" s="1"/>
  <c r="F140" i="20"/>
  <c r="I139" i="20"/>
  <c r="I138" i="20" s="1"/>
  <c r="G139" i="20"/>
  <c r="F139" i="20"/>
  <c r="G138" i="20"/>
  <c r="F138" i="20"/>
  <c r="F137" i="20"/>
  <c r="F136" i="20"/>
  <c r="L135" i="20"/>
  <c r="M135" i="20" s="1"/>
  <c r="F135" i="20"/>
  <c r="L134" i="20"/>
  <c r="M134" i="20" s="1"/>
  <c r="F134" i="20"/>
  <c r="I133" i="20"/>
  <c r="G133" i="20"/>
  <c r="F133" i="20"/>
  <c r="F132" i="20"/>
  <c r="L131" i="20"/>
  <c r="M131" i="20" s="1"/>
  <c r="F131" i="20"/>
  <c r="L130" i="20"/>
  <c r="F130" i="20"/>
  <c r="L129" i="20"/>
  <c r="F129" i="20"/>
  <c r="L128" i="20"/>
  <c r="M128" i="20" s="1"/>
  <c r="F128" i="20"/>
  <c r="L127" i="20"/>
  <c r="M127" i="20" s="1"/>
  <c r="F127" i="20"/>
  <c r="L126" i="20"/>
  <c r="F126" i="20"/>
  <c r="L125" i="20"/>
  <c r="M125" i="20" s="1"/>
  <c r="F125" i="20"/>
  <c r="L124" i="20"/>
  <c r="M124" i="20" s="1"/>
  <c r="F124" i="20"/>
  <c r="L123" i="20"/>
  <c r="F123" i="20"/>
  <c r="L122" i="20"/>
  <c r="M122" i="20" s="1"/>
  <c r="F122" i="20"/>
  <c r="I121" i="20"/>
  <c r="G121" i="20"/>
  <c r="F121" i="20"/>
  <c r="L119" i="20"/>
  <c r="F119" i="20"/>
  <c r="L118" i="20"/>
  <c r="F118" i="20"/>
  <c r="L117" i="20"/>
  <c r="M117" i="20" s="1"/>
  <c r="F117" i="20"/>
  <c r="L116" i="20"/>
  <c r="F116" i="20"/>
  <c r="L115" i="20"/>
  <c r="M115" i="20" s="1"/>
  <c r="F115" i="20"/>
  <c r="L114" i="20"/>
  <c r="M114" i="20" s="1"/>
  <c r="F114" i="20"/>
  <c r="L113" i="20"/>
  <c r="M113" i="20" s="1"/>
  <c r="F113" i="20"/>
  <c r="I112" i="20"/>
  <c r="G112" i="20"/>
  <c r="F112" i="20"/>
  <c r="F111" i="20"/>
  <c r="L110" i="20"/>
  <c r="L109" i="20"/>
  <c r="F109" i="20"/>
  <c r="L108" i="20"/>
  <c r="F108" i="20"/>
  <c r="L107" i="20"/>
  <c r="M107" i="20" s="1"/>
  <c r="F107" i="20"/>
  <c r="L106" i="20"/>
  <c r="M106" i="20" s="1"/>
  <c r="F106" i="20"/>
  <c r="L105" i="20"/>
  <c r="F105" i="20"/>
  <c r="I104" i="20"/>
  <c r="G104" i="20"/>
  <c r="F104" i="20"/>
  <c r="L102" i="20"/>
  <c r="M102" i="20" s="1"/>
  <c r="F102" i="20"/>
  <c r="L101" i="20"/>
  <c r="F101" i="20"/>
  <c r="I100" i="20"/>
  <c r="G100" i="20"/>
  <c r="F100" i="20"/>
  <c r="F99" i="20"/>
  <c r="F98" i="20"/>
  <c r="F97" i="20"/>
  <c r="L96" i="20"/>
  <c r="M96" i="20" s="1"/>
  <c r="F96" i="20"/>
  <c r="L95" i="20"/>
  <c r="M95" i="20" s="1"/>
  <c r="F95" i="20"/>
  <c r="I94" i="20"/>
  <c r="G94" i="20"/>
  <c r="F94" i="20"/>
  <c r="F93" i="20"/>
  <c r="L92" i="20"/>
  <c r="M92" i="20" s="1"/>
  <c r="F92" i="20"/>
  <c r="I91" i="20"/>
  <c r="G91" i="20"/>
  <c r="F91" i="20"/>
  <c r="F90" i="20"/>
  <c r="L89" i="20"/>
  <c r="M89" i="20" s="1"/>
  <c r="F89" i="20"/>
  <c r="L88" i="20"/>
  <c r="M88" i="20" s="1"/>
  <c r="F88" i="20"/>
  <c r="L87" i="20"/>
  <c r="M87" i="20" s="1"/>
  <c r="F87" i="20"/>
  <c r="L86" i="20"/>
  <c r="M86" i="20" s="1"/>
  <c r="F86" i="20"/>
  <c r="L85" i="20"/>
  <c r="M85" i="20" s="1"/>
  <c r="F85" i="20"/>
  <c r="L84" i="20"/>
  <c r="M84" i="20" s="1"/>
  <c r="F84" i="20"/>
  <c r="L83" i="20"/>
  <c r="M83" i="20" s="1"/>
  <c r="F83" i="20"/>
  <c r="L82" i="20"/>
  <c r="M82" i="20" s="1"/>
  <c r="F82" i="20"/>
  <c r="L81" i="20"/>
  <c r="F81" i="20"/>
  <c r="L80" i="20"/>
  <c r="M80" i="20" s="1"/>
  <c r="F80" i="20"/>
  <c r="L79" i="20"/>
  <c r="M79" i="20" s="1"/>
  <c r="F79" i="20"/>
  <c r="L78" i="20"/>
  <c r="M78" i="20" s="1"/>
  <c r="F78" i="20"/>
  <c r="L77" i="20"/>
  <c r="M77" i="20" s="1"/>
  <c r="F77" i="20"/>
  <c r="L76" i="20"/>
  <c r="M76" i="20" s="1"/>
  <c r="F76" i="20"/>
  <c r="L75" i="20"/>
  <c r="M75" i="20" s="1"/>
  <c r="F75" i="20"/>
  <c r="I74" i="20"/>
  <c r="G74" i="20"/>
  <c r="F74" i="20"/>
  <c r="F73" i="20"/>
  <c r="F72" i="20"/>
  <c r="L71" i="20"/>
  <c r="M71" i="20" s="1"/>
  <c r="F71" i="20"/>
  <c r="L70" i="20"/>
  <c r="M70" i="20" s="1"/>
  <c r="F70" i="20"/>
  <c r="L69" i="20"/>
  <c r="M69" i="20" s="1"/>
  <c r="F69" i="20"/>
  <c r="L68" i="20"/>
  <c r="M68" i="20" s="1"/>
  <c r="F68" i="20"/>
  <c r="L67" i="20"/>
  <c r="M67" i="20" s="1"/>
  <c r="F67" i="20"/>
  <c r="I66" i="20"/>
  <c r="G66" i="20"/>
  <c r="F66" i="20"/>
  <c r="L65" i="20"/>
  <c r="F65" i="20"/>
  <c r="L64" i="20"/>
  <c r="F64" i="20"/>
  <c r="L63" i="20"/>
  <c r="M63" i="20" s="1"/>
  <c r="F63" i="20"/>
  <c r="L62" i="20"/>
  <c r="M62" i="20" s="1"/>
  <c r="F62" i="20"/>
  <c r="L61" i="20"/>
  <c r="F61" i="20"/>
  <c r="L60" i="20"/>
  <c r="F60" i="20"/>
  <c r="L59" i="20"/>
  <c r="M59" i="20" s="1"/>
  <c r="F59" i="20"/>
  <c r="L58" i="20"/>
  <c r="F58" i="20"/>
  <c r="L57" i="20"/>
  <c r="M57" i="20" s="1"/>
  <c r="F57" i="20"/>
  <c r="L56" i="20"/>
  <c r="L55" i="20"/>
  <c r="F55" i="20"/>
  <c r="L54" i="20"/>
  <c r="M54" i="20" s="1"/>
  <c r="F54" i="20"/>
  <c r="L53" i="20"/>
  <c r="M53" i="20" s="1"/>
  <c r="F53" i="20"/>
  <c r="L52" i="20"/>
  <c r="M52" i="20" s="1"/>
  <c r="F52" i="20"/>
  <c r="F51" i="20"/>
  <c r="I50" i="20"/>
  <c r="G50" i="20"/>
  <c r="F50" i="20"/>
  <c r="L48" i="20"/>
  <c r="M48" i="20" s="1"/>
  <c r="F48" i="20"/>
  <c r="I47" i="20"/>
  <c r="G47" i="20"/>
  <c r="F47" i="20"/>
  <c r="L45" i="20"/>
  <c r="M45" i="20" s="1"/>
  <c r="F45" i="20"/>
  <c r="L44" i="20"/>
  <c r="M44" i="20" s="1"/>
  <c r="F44" i="20"/>
  <c r="I43" i="20"/>
  <c r="G43" i="20"/>
  <c r="F43" i="20"/>
  <c r="L42" i="20"/>
  <c r="F42" i="20"/>
  <c r="L41" i="20"/>
  <c r="F41" i="20"/>
  <c r="L40" i="20"/>
  <c r="F40" i="20"/>
  <c r="L39" i="20"/>
  <c r="M39" i="20" s="1"/>
  <c r="F39" i="20"/>
  <c r="L38" i="20"/>
  <c r="M38" i="20" s="1"/>
  <c r="F38" i="20"/>
  <c r="L37" i="20"/>
  <c r="M37" i="20" s="1"/>
  <c r="F37" i="20"/>
  <c r="L36" i="20"/>
  <c r="M36" i="20" s="1"/>
  <c r="F36" i="20"/>
  <c r="L35" i="20"/>
  <c r="M35" i="20" s="1"/>
  <c r="F35" i="20"/>
  <c r="L34" i="20"/>
  <c r="M34" i="20" s="1"/>
  <c r="F34" i="20"/>
  <c r="L33" i="20"/>
  <c r="M33" i="20" s="1"/>
  <c r="F33" i="20"/>
  <c r="L32" i="20"/>
  <c r="M32" i="20" s="1"/>
  <c r="F32" i="20"/>
  <c r="L31" i="20"/>
  <c r="M31" i="20" s="1"/>
  <c r="L30" i="20"/>
  <c r="M30" i="20" s="1"/>
  <c r="L29" i="20"/>
  <c r="F29" i="20"/>
  <c r="L28" i="20"/>
  <c r="L27" i="20"/>
  <c r="M27" i="20" s="1"/>
  <c r="L26" i="20"/>
  <c r="L25" i="20"/>
  <c r="M25" i="20" s="1"/>
  <c r="F25" i="20"/>
  <c r="I24" i="20"/>
  <c r="G24" i="20"/>
  <c r="F24" i="20"/>
  <c r="F23" i="20"/>
  <c r="F22" i="20"/>
  <c r="L66" i="20" l="1"/>
  <c r="M66" i="20" s="1"/>
  <c r="L104" i="20"/>
  <c r="M104" i="20" s="1"/>
  <c r="L94" i="20"/>
  <c r="M94" i="20" s="1"/>
  <c r="N36" i="10"/>
  <c r="L47" i="20"/>
  <c r="M47" i="20" s="1"/>
  <c r="L24" i="21"/>
  <c r="M24" i="21" s="1"/>
  <c r="L91" i="20"/>
  <c r="M91" i="20" s="1"/>
  <c r="L100" i="20"/>
  <c r="M100" i="20" s="1"/>
  <c r="E34" i="10"/>
  <c r="L133" i="20"/>
  <c r="M133" i="20" s="1"/>
  <c r="G43" i="21"/>
  <c r="G42" i="21" s="1"/>
  <c r="G23" i="21"/>
  <c r="G22" i="21" s="1"/>
  <c r="H85" i="21" s="1"/>
  <c r="L48" i="21"/>
  <c r="M48" i="21" s="1"/>
  <c r="P26" i="21"/>
  <c r="J34" i="10"/>
  <c r="L151" i="20"/>
  <c r="M151" i="20" s="1"/>
  <c r="L145" i="20"/>
  <c r="M145" i="20" s="1"/>
  <c r="K34" i="10"/>
  <c r="J26" i="29"/>
  <c r="J20" i="29"/>
  <c r="L85" i="21"/>
  <c r="M85" i="21" s="1"/>
  <c r="E27" i="9"/>
  <c r="E43" i="9" s="1"/>
  <c r="E46" i="9" s="1"/>
  <c r="N22" i="10"/>
  <c r="G99" i="20"/>
  <c r="G98" i="20" s="1"/>
  <c r="L32" i="21"/>
  <c r="M32" i="21" s="1"/>
  <c r="H97" i="1"/>
  <c r="I23" i="10" s="1"/>
  <c r="M23" i="10" s="1"/>
  <c r="N23" i="10" s="1"/>
  <c r="L138" i="20"/>
  <c r="M138" i="20" s="1"/>
  <c r="I137" i="20"/>
  <c r="G73" i="20"/>
  <c r="L121" i="20"/>
  <c r="M121" i="20" s="1"/>
  <c r="L28" i="21"/>
  <c r="M28" i="21" s="1"/>
  <c r="H42" i="1"/>
  <c r="C43" i="17"/>
  <c r="N18" i="10"/>
  <c r="L34" i="10"/>
  <c r="G20" i="17"/>
  <c r="E43" i="17"/>
  <c r="H30" i="29"/>
  <c r="H32" i="29" s="1"/>
  <c r="L24" i="20"/>
  <c r="M24" i="20" s="1"/>
  <c r="L43" i="20"/>
  <c r="M43" i="20" s="1"/>
  <c r="L139" i="20"/>
  <c r="M139" i="20" s="1"/>
  <c r="I144" i="20"/>
  <c r="L91" i="21"/>
  <c r="M91" i="21" s="1"/>
  <c r="G35" i="1"/>
  <c r="F9" i="2"/>
  <c r="D17" i="9"/>
  <c r="D43" i="9" s="1"/>
  <c r="D46" i="9" s="1"/>
  <c r="B34" i="10"/>
  <c r="I99" i="20"/>
  <c r="L61" i="21"/>
  <c r="M61" i="21" s="1"/>
  <c r="N16" i="10"/>
  <c r="N19" i="10"/>
  <c r="G9" i="1"/>
  <c r="H62" i="1"/>
  <c r="F34" i="10"/>
  <c r="D43" i="17"/>
  <c r="J12" i="29"/>
  <c r="J30" i="29" s="1"/>
  <c r="J32" i="29" s="1"/>
  <c r="L50" i="20"/>
  <c r="M50" i="20" s="1"/>
  <c r="I73" i="20"/>
  <c r="F7" i="3"/>
  <c r="G7" i="3" s="1"/>
  <c r="F9" i="4"/>
  <c r="F7" i="4" s="1"/>
  <c r="G7" i="4" s="1"/>
  <c r="N17" i="10"/>
  <c r="N24" i="10"/>
  <c r="G18" i="17"/>
  <c r="J16" i="29"/>
  <c r="G23" i="20"/>
  <c r="N31" i="10"/>
  <c r="N32" i="10" s="1"/>
  <c r="G32" i="10"/>
  <c r="F36" i="2"/>
  <c r="G36" i="17"/>
  <c r="F43" i="17"/>
  <c r="I27" i="10"/>
  <c r="I34" i="10" s="1"/>
  <c r="L74" i="20"/>
  <c r="M74" i="20" s="1"/>
  <c r="I23" i="20"/>
  <c r="G27" i="10"/>
  <c r="G137" i="20"/>
  <c r="G144" i="20"/>
  <c r="L144" i="20" s="1"/>
  <c r="M144" i="20" s="1"/>
  <c r="G51" i="1"/>
  <c r="L44" i="21"/>
  <c r="M44" i="21" s="1"/>
  <c r="I43" i="21"/>
  <c r="L112" i="20"/>
  <c r="M112" i="20" s="1"/>
  <c r="N15" i="10"/>
  <c r="N21" i="10"/>
  <c r="G20" i="10"/>
  <c r="N20" i="10" s="1"/>
  <c r="I27" i="21"/>
  <c r="H34" i="10"/>
  <c r="M18" i="47"/>
  <c r="M19" i="47"/>
  <c r="M21" i="47"/>
  <c r="H110" i="21" l="1"/>
  <c r="F7" i="2"/>
  <c r="H27" i="21"/>
  <c r="G7" i="1"/>
  <c r="H91" i="21"/>
  <c r="H43" i="21"/>
  <c r="H98" i="1"/>
  <c r="G7" i="2"/>
  <c r="G43" i="17"/>
  <c r="G34" i="10"/>
  <c r="M27" i="10"/>
  <c r="M34" i="10" s="1"/>
  <c r="L99" i="20"/>
  <c r="M99" i="20" s="1"/>
  <c r="I98" i="20"/>
  <c r="I162" i="20" s="1"/>
  <c r="L73" i="20"/>
  <c r="M73" i="20" s="1"/>
  <c r="G22" i="20"/>
  <c r="H137" i="20" s="1"/>
  <c r="H42" i="21"/>
  <c r="G121" i="21"/>
  <c r="L23" i="20"/>
  <c r="M23" i="20" s="1"/>
  <c r="I22" i="20"/>
  <c r="J23" i="20" s="1"/>
  <c r="H107" i="21"/>
  <c r="H105" i="21"/>
  <c r="H100" i="21"/>
  <c r="H88" i="21"/>
  <c r="H81" i="21"/>
  <c r="H76" i="21"/>
  <c r="H68" i="21"/>
  <c r="H36" i="21"/>
  <c r="H103" i="21"/>
  <c r="H93" i="21"/>
  <c r="H71" i="21"/>
  <c r="H63" i="21"/>
  <c r="H56" i="21"/>
  <c r="H51" i="21"/>
  <c r="H30" i="21"/>
  <c r="H24" i="21"/>
  <c r="H112" i="21"/>
  <c r="H96" i="21"/>
  <c r="H86" i="21"/>
  <c r="H79" i="21"/>
  <c r="H74" i="21"/>
  <c r="H66" i="21"/>
  <c r="H59" i="21"/>
  <c r="H45" i="21"/>
  <c r="H34" i="21"/>
  <c r="H101" i="21"/>
  <c r="H89" i="21"/>
  <c r="H82" i="21"/>
  <c r="H77" i="21"/>
  <c r="H69" i="21"/>
  <c r="H54" i="21"/>
  <c r="H49" i="21"/>
  <c r="H37" i="21"/>
  <c r="H25" i="21"/>
  <c r="H106" i="21"/>
  <c r="H104" i="21"/>
  <c r="H94" i="21"/>
  <c r="H72" i="21"/>
  <c r="H64" i="21"/>
  <c r="H57" i="21"/>
  <c r="H52" i="21"/>
  <c r="H28" i="21"/>
  <c r="H111" i="21"/>
  <c r="H108" i="21"/>
  <c r="H99" i="21"/>
  <c r="H97" i="21"/>
  <c r="H87" i="21"/>
  <c r="H80" i="21"/>
  <c r="H75" i="21"/>
  <c r="H67" i="21"/>
  <c r="H35" i="21"/>
  <c r="H33" i="21"/>
  <c r="H95" i="21"/>
  <c r="H83" i="21"/>
  <c r="H73" i="21"/>
  <c r="H65" i="21"/>
  <c r="G120" i="21"/>
  <c r="G122" i="21" s="1"/>
  <c r="H44" i="21"/>
  <c r="H62" i="21"/>
  <c r="H53" i="21"/>
  <c r="H50" i="21"/>
  <c r="H102" i="21"/>
  <c r="H22" i="21"/>
  <c r="H70" i="21"/>
  <c r="H58" i="21"/>
  <c r="H92" i="21"/>
  <c r="H55" i="21"/>
  <c r="H46" i="21"/>
  <c r="H78" i="21"/>
  <c r="H29" i="21"/>
  <c r="H61" i="21"/>
  <c r="I42" i="21"/>
  <c r="L43" i="21"/>
  <c r="M43" i="21" s="1"/>
  <c r="N27" i="10"/>
  <c r="H23" i="21"/>
  <c r="G162" i="20"/>
  <c r="H48" i="21"/>
  <c r="L137" i="20"/>
  <c r="M137" i="20" s="1"/>
  <c r="H32" i="21"/>
  <c r="L27" i="21"/>
  <c r="M27" i="21" s="1"/>
  <c r="I23" i="21"/>
  <c r="H98" i="20" l="1"/>
  <c r="H144" i="20"/>
  <c r="L98" i="20"/>
  <c r="M98" i="20" s="1"/>
  <c r="N34" i="10"/>
  <c r="J133" i="20"/>
  <c r="J131" i="20"/>
  <c r="J129" i="20"/>
  <c r="J124" i="20"/>
  <c r="J118" i="20"/>
  <c r="J113" i="20"/>
  <c r="J107" i="20"/>
  <c r="J84" i="20"/>
  <c r="J79" i="20"/>
  <c r="I158" i="20"/>
  <c r="I157" i="20" s="1"/>
  <c r="J147" i="20"/>
  <c r="J122" i="20"/>
  <c r="J116" i="20"/>
  <c r="J105" i="20"/>
  <c r="J92" i="20"/>
  <c r="J87" i="20"/>
  <c r="J152" i="20"/>
  <c r="J140" i="20"/>
  <c r="J136" i="20"/>
  <c r="J127" i="20"/>
  <c r="J101" i="20"/>
  <c r="J97" i="20"/>
  <c r="J82" i="20"/>
  <c r="J134" i="20"/>
  <c r="J125" i="20"/>
  <c r="J114" i="20"/>
  <c r="J108" i="20"/>
  <c r="J103" i="20"/>
  <c r="J95" i="20"/>
  <c r="J90" i="20"/>
  <c r="J85" i="20"/>
  <c r="J80" i="20"/>
  <c r="J154" i="20"/>
  <c r="J150" i="20"/>
  <c r="J148" i="20"/>
  <c r="J130" i="20"/>
  <c r="J123" i="20"/>
  <c r="J119" i="20"/>
  <c r="J110" i="20"/>
  <c r="J88" i="20"/>
  <c r="D15" i="21"/>
  <c r="D16" i="21" s="1"/>
  <c r="D17" i="21" s="1"/>
  <c r="D18" i="21" s="1"/>
  <c r="I161" i="20"/>
  <c r="I163" i="20" s="1"/>
  <c r="J141" i="20"/>
  <c r="J128" i="20"/>
  <c r="J117" i="20"/>
  <c r="J106" i="20"/>
  <c r="J93" i="20"/>
  <c r="J83" i="20"/>
  <c r="J78" i="20"/>
  <c r="E161" i="20"/>
  <c r="E163" i="20" s="1"/>
  <c r="J115" i="20"/>
  <c r="J81" i="20"/>
  <c r="J72" i="20"/>
  <c r="J67" i="20"/>
  <c r="J53" i="20"/>
  <c r="J51" i="20"/>
  <c r="J45" i="20"/>
  <c r="J42" i="20"/>
  <c r="J40" i="20"/>
  <c r="J32" i="20"/>
  <c r="L22" i="20"/>
  <c r="M22" i="20" s="1"/>
  <c r="J77" i="20"/>
  <c r="J55" i="20"/>
  <c r="J100" i="20"/>
  <c r="J75" i="20"/>
  <c r="J64" i="20"/>
  <c r="J57" i="20"/>
  <c r="J102" i="20"/>
  <c r="J89" i="20"/>
  <c r="J70" i="20"/>
  <c r="J62" i="20"/>
  <c r="J60" i="20"/>
  <c r="J35" i="20"/>
  <c r="J22" i="20"/>
  <c r="D15" i="20"/>
  <c r="D16" i="20" s="1"/>
  <c r="D17" i="20" s="1"/>
  <c r="D18" i="20" s="1"/>
  <c r="J69" i="20"/>
  <c r="J25" i="20"/>
  <c r="J151" i="20"/>
  <c r="J153" i="20"/>
  <c r="J138" i="20"/>
  <c r="J86" i="20"/>
  <c r="J76" i="20"/>
  <c r="J58" i="20"/>
  <c r="J38" i="20"/>
  <c r="J29" i="20"/>
  <c r="J68" i="20"/>
  <c r="J65" i="20"/>
  <c r="J56" i="20"/>
  <c r="J54" i="20"/>
  <c r="J33" i="20"/>
  <c r="J139" i="20"/>
  <c r="J59" i="20"/>
  <c r="J34" i="20"/>
  <c r="J109" i="20"/>
  <c r="J135" i="20"/>
  <c r="J126" i="20"/>
  <c r="J74" i="20"/>
  <c r="J71" i="20"/>
  <c r="J63" i="20"/>
  <c r="J48" i="20"/>
  <c r="J41" i="20"/>
  <c r="J36" i="20"/>
  <c r="J37" i="20"/>
  <c r="J149" i="20"/>
  <c r="J146" i="20"/>
  <c r="J143" i="20"/>
  <c r="J96" i="20"/>
  <c r="J61" i="20"/>
  <c r="J52" i="20"/>
  <c r="J44" i="20"/>
  <c r="J39" i="20"/>
  <c r="J31" i="20"/>
  <c r="J94" i="20"/>
  <c r="J43" i="20"/>
  <c r="J145" i="20"/>
  <c r="J104" i="20"/>
  <c r="J144" i="20"/>
  <c r="J47" i="20"/>
  <c r="J24" i="20"/>
  <c r="J137" i="20"/>
  <c r="J73" i="20"/>
  <c r="J121" i="20"/>
  <c r="J66" i="20"/>
  <c r="J98" i="20"/>
  <c r="J91" i="20"/>
  <c r="J112" i="20"/>
  <c r="J50" i="20"/>
  <c r="J99" i="20"/>
  <c r="L42" i="21"/>
  <c r="M42" i="21" s="1"/>
  <c r="I121" i="21"/>
  <c r="L23" i="21"/>
  <c r="M23" i="21" s="1"/>
  <c r="I22" i="21"/>
  <c r="J23" i="21" s="1"/>
  <c r="H149" i="20"/>
  <c r="H109" i="20"/>
  <c r="H91" i="20"/>
  <c r="H89" i="20"/>
  <c r="H131" i="20"/>
  <c r="H129" i="20"/>
  <c r="H124" i="20"/>
  <c r="H118" i="20"/>
  <c r="H113" i="20"/>
  <c r="H107" i="20"/>
  <c r="H84" i="20"/>
  <c r="H79" i="20"/>
  <c r="G158" i="20"/>
  <c r="G159" i="20" s="1"/>
  <c r="H147" i="20"/>
  <c r="H122" i="20"/>
  <c r="H116" i="20"/>
  <c r="H105" i="20"/>
  <c r="H92" i="20"/>
  <c r="H87" i="20"/>
  <c r="H152" i="20"/>
  <c r="H142" i="20"/>
  <c r="H140" i="20"/>
  <c r="H127" i="20"/>
  <c r="H101" i="20"/>
  <c r="H82" i="20"/>
  <c r="H134" i="20"/>
  <c r="H125" i="20"/>
  <c r="H114" i="20"/>
  <c r="H108" i="20"/>
  <c r="H95" i="20"/>
  <c r="H85" i="20"/>
  <c r="H148" i="20"/>
  <c r="H130" i="20"/>
  <c r="H123" i="20"/>
  <c r="H119" i="20"/>
  <c r="H110" i="20"/>
  <c r="H88" i="20"/>
  <c r="H75" i="20"/>
  <c r="H64" i="20"/>
  <c r="H57" i="20"/>
  <c r="H37" i="20"/>
  <c r="H31" i="20"/>
  <c r="H69" i="20"/>
  <c r="H25" i="20"/>
  <c r="H141" i="20"/>
  <c r="H115" i="20"/>
  <c r="H112" i="20"/>
  <c r="H81" i="20"/>
  <c r="H67" i="20"/>
  <c r="H53" i="20"/>
  <c r="H51" i="20"/>
  <c r="H45" i="20"/>
  <c r="H42" i="20"/>
  <c r="H40" i="20"/>
  <c r="H32" i="20"/>
  <c r="H27" i="20"/>
  <c r="H35" i="20"/>
  <c r="H22" i="20"/>
  <c r="H146" i="20"/>
  <c r="H128" i="20"/>
  <c r="H106" i="20"/>
  <c r="H117" i="20"/>
  <c r="H102" i="20"/>
  <c r="H78" i="20"/>
  <c r="H70" i="20"/>
  <c r="H62" i="20"/>
  <c r="H60" i="20"/>
  <c r="H96" i="20"/>
  <c r="H52" i="20"/>
  <c r="H28" i="20"/>
  <c r="H59" i="20"/>
  <c r="H50" i="20"/>
  <c r="H86" i="20"/>
  <c r="H83" i="20"/>
  <c r="H76" i="20"/>
  <c r="H58" i="20"/>
  <c r="H38" i="20"/>
  <c r="H29" i="20"/>
  <c r="H26" i="20"/>
  <c r="H33" i="20"/>
  <c r="H80" i="20"/>
  <c r="H68" i="20"/>
  <c r="H65" i="20"/>
  <c r="H56" i="20"/>
  <c r="H54" i="20"/>
  <c r="H43" i="20"/>
  <c r="H44" i="20"/>
  <c r="G161" i="20"/>
  <c r="G163" i="20" s="1"/>
  <c r="H135" i="20"/>
  <c r="H126" i="20"/>
  <c r="H71" i="20"/>
  <c r="H63" i="20"/>
  <c r="H48" i="20"/>
  <c r="H41" i="20"/>
  <c r="H36" i="20"/>
  <c r="H61" i="20"/>
  <c r="H39" i="20"/>
  <c r="H77" i="20"/>
  <c r="H66" i="20"/>
  <c r="H55" i="20"/>
  <c r="H34" i="20"/>
  <c r="H47" i="20"/>
  <c r="H94" i="20"/>
  <c r="H121" i="20"/>
  <c r="H139" i="20"/>
  <c r="H73" i="20"/>
  <c r="H99" i="20"/>
  <c r="H133" i="20"/>
  <c r="H24" i="20"/>
  <c r="H104" i="20"/>
  <c r="H138" i="20"/>
  <c r="H100" i="20"/>
  <c r="H74" i="20"/>
  <c r="H151" i="20"/>
  <c r="H145" i="20"/>
  <c r="H23" i="20"/>
  <c r="J103" i="21" l="1"/>
  <c r="J93" i="21"/>
  <c r="J71" i="21"/>
  <c r="J63" i="21"/>
  <c r="J56" i="21"/>
  <c r="J51" i="21"/>
  <c r="J38" i="21"/>
  <c r="J30" i="21"/>
  <c r="J112" i="21"/>
  <c r="J98" i="21"/>
  <c r="J96" i="21"/>
  <c r="J86" i="21"/>
  <c r="J79" i="21"/>
  <c r="J74" i="21"/>
  <c r="J66" i="21"/>
  <c r="J59" i="21"/>
  <c r="J34" i="21"/>
  <c r="J101" i="21"/>
  <c r="J89" i="21"/>
  <c r="J82" i="21"/>
  <c r="J77" i="21"/>
  <c r="J69" i="21"/>
  <c r="J54" i="21"/>
  <c r="J49" i="21"/>
  <c r="J37" i="21"/>
  <c r="J25" i="21"/>
  <c r="J106" i="21"/>
  <c r="J104" i="21"/>
  <c r="J94" i="21"/>
  <c r="J72" i="21"/>
  <c r="J64" i="21"/>
  <c r="J57" i="21"/>
  <c r="J52" i="21"/>
  <c r="J111" i="21"/>
  <c r="J108" i="21"/>
  <c r="J99" i="21"/>
  <c r="J97" i="21"/>
  <c r="J87" i="21"/>
  <c r="J80" i="21"/>
  <c r="J75" i="21"/>
  <c r="J67" i="21"/>
  <c r="J35" i="21"/>
  <c r="L22" i="21"/>
  <c r="M22" i="21" s="1"/>
  <c r="I120" i="21"/>
  <c r="I122" i="21" s="1"/>
  <c r="J102" i="21"/>
  <c r="J92" i="21"/>
  <c r="J78" i="21"/>
  <c r="J70" i="21"/>
  <c r="J62" i="21"/>
  <c r="J55" i="21"/>
  <c r="J50" i="21"/>
  <c r="J29" i="21"/>
  <c r="J22" i="21"/>
  <c r="J110" i="21"/>
  <c r="J107" i="21"/>
  <c r="J105" i="21"/>
  <c r="J100" i="21"/>
  <c r="J88" i="21"/>
  <c r="J81" i="21"/>
  <c r="J76" i="21"/>
  <c r="J68" i="21"/>
  <c r="J53" i="21"/>
  <c r="J83" i="21"/>
  <c r="J73" i="21"/>
  <c r="J48" i="21"/>
  <c r="J58" i="21"/>
  <c r="J24" i="21"/>
  <c r="J95" i="21"/>
  <c r="J85" i="21"/>
  <c r="J46" i="21"/>
  <c r="J36" i="21"/>
  <c r="J65" i="21"/>
  <c r="J28" i="21"/>
  <c r="J61" i="21"/>
  <c r="J91" i="21"/>
  <c r="J32" i="21"/>
  <c r="J44" i="21"/>
  <c r="J27" i="21"/>
  <c r="J42" i="21"/>
</calcChain>
</file>

<file path=xl/sharedStrings.xml><?xml version="1.0" encoding="utf-8"?>
<sst xmlns="http://schemas.openxmlformats.org/spreadsheetml/2006/main" count="2127" uniqueCount="1351">
  <si>
    <t>BEPSA DEL PARAGUAY S.A.E.C.A.</t>
  </si>
  <si>
    <t>BALANCE GENERAL</t>
  </si>
  <si>
    <t>Sistema de Contabilidad</t>
  </si>
  <si>
    <t>RUC 80011012-9</t>
  </si>
  <si>
    <t>ACTIVO</t>
  </si>
  <si>
    <t>ACTIVO CORRIENTE</t>
  </si>
  <si>
    <t>DISPONIBILIDADES</t>
  </si>
  <si>
    <t>BANCOS Y FINANCIERAS</t>
  </si>
  <si>
    <t>INVERSIONES FINANCIERAS</t>
  </si>
  <si>
    <t>BANCO UNION</t>
  </si>
  <si>
    <t>D14 + D16</t>
  </si>
  <si>
    <t>BANCO UNION A COMPENSAR</t>
  </si>
  <si>
    <t>TRADE &amp; COMMERCE BANK</t>
  </si>
  <si>
    <t>GARANTIA AHORRO EN US$</t>
  </si>
  <si>
    <t>BANCO ALEMAN CDA EN Gs.</t>
  </si>
  <si>
    <t>CREDITOS</t>
  </si>
  <si>
    <t>GARANTIA EN GUARANIES</t>
  </si>
  <si>
    <t>DEUDORES POR SERVICIOS - CLIENTES</t>
  </si>
  <si>
    <t>BANALEMAN FONDOS MUTUOS</t>
  </si>
  <si>
    <t>CUENTAS VARIAS A COBRAR</t>
  </si>
  <si>
    <t>BANALEMAN FONDOS MUTUOS US$</t>
  </si>
  <si>
    <t>BCO. NAC. DE FOMENTO CDA US$</t>
  </si>
  <si>
    <t>OTROS ACTIVOS CORRIENTES</t>
  </si>
  <si>
    <t>BCO. SUDAMERIS DPF EN US$</t>
  </si>
  <si>
    <t>ADELANTOS VARIOS</t>
  </si>
  <si>
    <t>VISIÓN S.A. DE FINANZAS E.C.A. US$</t>
  </si>
  <si>
    <t>ADELANTO A PROVEEDORES</t>
  </si>
  <si>
    <t>BANQUE SUDAMERIS US$</t>
  </si>
  <si>
    <t>PAPELES Y UTILES EN DEPOSITO</t>
  </si>
  <si>
    <t>PRUDENCIAL SECURITIES JUQ-9513</t>
  </si>
  <si>
    <t>VARIAS CUENTAS A COBRAR</t>
  </si>
  <si>
    <t>INTERNATIONAL BANK OF MIAMI</t>
  </si>
  <si>
    <t>GTOS. PAGADOS X ADELANTADO</t>
  </si>
  <si>
    <t>WACHOVIA SECURITIES 1480-3977</t>
  </si>
  <si>
    <t>ADELANTOS AL PERSONAL</t>
  </si>
  <si>
    <t>CUENTAS A COBRAR AL PERSONAL</t>
  </si>
  <si>
    <t>E24 + E34</t>
  </si>
  <si>
    <t>GARANTIA DE ALQUILER</t>
  </si>
  <si>
    <t>PRESTAMOS AL PERSONAL</t>
  </si>
  <si>
    <t>TRANSFERENCIAS COMPRAS EN COMERCIOS</t>
  </si>
  <si>
    <t>ANTICIPOS</t>
  </si>
  <si>
    <t>DEUDORES PROVISORIOS A FACTURAR</t>
  </si>
  <si>
    <t>CARGOS A VENCER</t>
  </si>
  <si>
    <t>BIENES DE CAMBIO</t>
  </si>
  <si>
    <t>TERRENO</t>
  </si>
  <si>
    <t>INMUEBLES, TERRENOS Y MATER. P/ POS</t>
  </si>
  <si>
    <t>ACTIVO NO CORRIENTE</t>
  </si>
  <si>
    <t>BPO</t>
  </si>
  <si>
    <t>INTERES TRADE</t>
  </si>
  <si>
    <t>VARIAS CUENTAS DEUDORAS</t>
  </si>
  <si>
    <t>DEUDORES POR TARJETA DE CRÉDITO</t>
  </si>
  <si>
    <t>CUENTAS EN GESTION DE COBRO</t>
  </si>
  <si>
    <t>CUENTAS A COBRAR</t>
  </si>
  <si>
    <t>INVERSIONES</t>
  </si>
  <si>
    <t>VALORES EN OTRAS EMPRESAS</t>
  </si>
  <si>
    <t>DINELCO INTERNACIONAL S.A.</t>
  </si>
  <si>
    <t>MTEL PARAGUAY S.A.E.C.A.</t>
  </si>
  <si>
    <t>OTRAS INVERSIONES</t>
  </si>
  <si>
    <t>CEREGRAL S.A.E.C.A.</t>
  </si>
  <si>
    <t>INMUEBLE C/C 27-1226.08</t>
  </si>
  <si>
    <t>Capital DISA</t>
  </si>
  <si>
    <t>PROYECTOS ESPECIALES</t>
  </si>
  <si>
    <t>PAGO FÁCIL</t>
  </si>
  <si>
    <t>Obras de Arte</t>
  </si>
  <si>
    <t>ACTIVO INTANGIBLE</t>
  </si>
  <si>
    <t>TERRENOS EN URBANIZACION PANAMBI</t>
  </si>
  <si>
    <t>LLAVE DE NEGOCIO - CREDIT BUREAU</t>
  </si>
  <si>
    <t>GASTOS DE REORGANIZACION</t>
  </si>
  <si>
    <t>PROYECTOS Y REORGANIZACION</t>
  </si>
  <si>
    <t>ACTIVO FIJO</t>
  </si>
  <si>
    <t>MUEBLES Y EQUIPOS EN GENERAL</t>
  </si>
  <si>
    <t>MAQUINARIAS</t>
  </si>
  <si>
    <t>HERRAMIENTAS Y EQUIPOS</t>
  </si>
  <si>
    <t>EQUIPOS DE INFORMÁTICA</t>
  </si>
  <si>
    <t>MAQUINARIAS POS</t>
  </si>
  <si>
    <t>SOFTWARE</t>
  </si>
  <si>
    <t>EQ. DE INF. BIENES RETASADOS</t>
  </si>
  <si>
    <t>SOFTWARE EN DESARROLLO</t>
  </si>
  <si>
    <t>IMPORTACION EN CURSO MAQ. POS</t>
  </si>
  <si>
    <t>AUTOMÓVILES, CAMIONES</t>
  </si>
  <si>
    <t>MOTOCICLETAS, MOTONETAS</t>
  </si>
  <si>
    <t>BIENES RESTANTES</t>
  </si>
  <si>
    <t>MONTAJES E INSTALACIONES</t>
  </si>
  <si>
    <t>DERECHOS ADQUIRIDOS</t>
  </si>
  <si>
    <t>CONSTR. O MEJORAS EN PREDIO AJEN</t>
  </si>
  <si>
    <t>DEPRECIACIONES ACUMULADAS</t>
  </si>
  <si>
    <t>CONTRUCCION</t>
  </si>
  <si>
    <t>SOFTWARE 6 AÑOS</t>
  </si>
  <si>
    <t>MONTAJE</t>
  </si>
  <si>
    <t>SOFTWARE 3 AÑOS</t>
  </si>
  <si>
    <t>PERDIDAS DEL EJERCICIO</t>
  </si>
  <si>
    <t>CUENTA DE ORDEN</t>
  </si>
  <si>
    <t>B.N.F. CORRESP. CTA. C.I.A.</t>
  </si>
  <si>
    <t>PASIVO</t>
  </si>
  <si>
    <t>PASIVO CORRIENTE</t>
  </si>
  <si>
    <t>CUENTAS A PAGAR - DEUDAS COM,</t>
  </si>
  <si>
    <t>PROVEEDORES</t>
  </si>
  <si>
    <t>CUENTAS VARIAS A PAGAR</t>
  </si>
  <si>
    <t>PROVEEDORES DEL EXTERIOR</t>
  </si>
  <si>
    <t>OBLIGACIONES FINANCIERAS</t>
  </si>
  <si>
    <t>ACREEDORES POR SERVICIOS</t>
  </si>
  <si>
    <t>DESCUENTOS DE DOCUMENTOS</t>
  </si>
  <si>
    <t>RETENCIONES A PAGAR</t>
  </si>
  <si>
    <t>CARGAS SOCIALES</t>
  </si>
  <si>
    <t>IMPUESTOS</t>
  </si>
  <si>
    <t>OTRAS CUENTAS POR PAGAR</t>
  </si>
  <si>
    <t>CUPONES DEL EXT, PEND. DE CANC.</t>
  </si>
  <si>
    <t>PROVISIONES A PAGAR</t>
  </si>
  <si>
    <t>DEUDAS SOCIALES</t>
  </si>
  <si>
    <t>GASTOS ACUMULADOS</t>
  </si>
  <si>
    <t>VARIAS CUENTAS ACREEDORAS</t>
  </si>
  <si>
    <t>INGRESOS DIFERIDOS</t>
  </si>
  <si>
    <t>OTRAS CUENTAS A PAGAR</t>
  </si>
  <si>
    <t>CTAS. A PAGAR A ENTIDADES USD</t>
  </si>
  <si>
    <t>PASIVO NO CORRIENTE</t>
  </si>
  <si>
    <t>DEUDAS COMERCIALES</t>
  </si>
  <si>
    <t>OBLIGACIONES EMISION DE BONOS</t>
  </si>
  <si>
    <t>BONOS EMITIDOS</t>
  </si>
  <si>
    <t>PREVISIONES</t>
  </si>
  <si>
    <t>CLIENTES EN MONEDA LOCAL</t>
  </si>
  <si>
    <t>CLIENTES EN MONEDA EXTRANJERA</t>
  </si>
  <si>
    <t>INVERSIÓN</t>
  </si>
  <si>
    <t>DISA A RECUPERAR</t>
  </si>
  <si>
    <t>MTEL PARAGUAY S.A. A COBRAR</t>
  </si>
  <si>
    <t>MTEL PARAGUAY S.A. INVERSIONES</t>
  </si>
  <si>
    <t>Participacion en otras sociedades</t>
  </si>
  <si>
    <t>CTAS. EN GESTION DE COBRO</t>
  </si>
  <si>
    <t>Inversiones</t>
  </si>
  <si>
    <t>PATRIMONIO NETO</t>
  </si>
  <si>
    <t>CAPITAL</t>
  </si>
  <si>
    <t>AUMENTO DE CAPITAL</t>
  </si>
  <si>
    <t>RESERVA LEGAL</t>
  </si>
  <si>
    <t>RESERVA FACULTATIVA</t>
  </si>
  <si>
    <t>RESERVA REVALUO</t>
  </si>
  <si>
    <t>RESULTADO 2006</t>
  </si>
  <si>
    <t>RESULTADO 1998</t>
  </si>
  <si>
    <t>RESULTADO 1999</t>
  </si>
  <si>
    <t>RESULTADO 2000</t>
  </si>
  <si>
    <t>RESULTADO 2001</t>
  </si>
  <si>
    <t>GANANCIAS DEL EJERCICIO</t>
  </si>
  <si>
    <t>EGRESOS</t>
  </si>
  <si>
    <t>GASTOS OPERATIVOS</t>
  </si>
  <si>
    <t>GASTOS DEL PERSONAL</t>
  </si>
  <si>
    <t>REMUNERACION PERSONAL</t>
  </si>
  <si>
    <t>AGUINALDO DEL PERSONAL</t>
  </si>
  <si>
    <t>BONIFICACIÓN FAMILIAR</t>
  </si>
  <si>
    <t>HORAS EXTRAS</t>
  </si>
  <si>
    <t>INDEMNIZACION Y PREAVISO</t>
  </si>
  <si>
    <t>GRATIFIC. ESPECIAL AL PERSONAL</t>
  </si>
  <si>
    <t>VACACIONES PAGADAS</t>
  </si>
  <si>
    <t>APORTE IPS</t>
  </si>
  <si>
    <t>OTRAS REMUNERACIONES</t>
  </si>
  <si>
    <t>REFRIGERIO AL PERSONAL</t>
  </si>
  <si>
    <t>OTROS GASTOS AL PERSONAL</t>
  </si>
  <si>
    <t>COMISIONES PAGADAS</t>
  </si>
  <si>
    <t>ADIESTRAMIENTO AL PERSONAL</t>
  </si>
  <si>
    <t>SEGURO MEDICO/APORTE BEPSA</t>
  </si>
  <si>
    <t>GASTOS COMERCIALES</t>
  </si>
  <si>
    <t>PUBLICIDAD Y PROPAGANDA</t>
  </si>
  <si>
    <t>GASTOS DE REPRESENTACIÓN</t>
  </si>
  <si>
    <t>GASTOS DE ESTRUCTURA</t>
  </si>
  <si>
    <t>GASTOS DE COMUNICACIÓN</t>
  </si>
  <si>
    <t>GASTOS DE CORRESPONDENCIA</t>
  </si>
  <si>
    <t>SERVICIOS PUBLICOS</t>
  </si>
  <si>
    <t>ALQUILERES Y EXPENSAS PAGADAS</t>
  </si>
  <si>
    <t>Impuesto</t>
  </si>
  <si>
    <t>MANTEN. Y REPARAC. DE B. USO</t>
  </si>
  <si>
    <t>Renta 2007</t>
  </si>
  <si>
    <t>LICENCIA DE SOFTWARE</t>
  </si>
  <si>
    <t>MANTEN. Y REPARAC. DE AUTOMOVIL</t>
  </si>
  <si>
    <t>LIMPIEZA Y MANT. LOCAL Y VEHIC.</t>
  </si>
  <si>
    <t>PAP. FORM. UT. DE OF. Y FOTOC.</t>
  </si>
  <si>
    <t>Sev. Personales</t>
  </si>
  <si>
    <t>Honor.</t>
  </si>
  <si>
    <t>Sindico</t>
  </si>
  <si>
    <t>Comisión</t>
  </si>
  <si>
    <t>SERVICIOS EXTERNOS</t>
  </si>
  <si>
    <t>TASAS E IMPUESTOS PAGADOS</t>
  </si>
  <si>
    <t>GASTOS FINANCIEROS</t>
  </si>
  <si>
    <t>OTROS GASTOS OPERATIVOS</t>
  </si>
  <si>
    <t>DEPRECIACIONES DEL EJERCICIO</t>
  </si>
  <si>
    <t>EGRESOS EXTRAORDINARIOS</t>
  </si>
  <si>
    <t>COSTOS P/ UNIDADES DE NEGOCIO</t>
  </si>
  <si>
    <t>Gtos. Extraordinarios</t>
  </si>
  <si>
    <t>Previsiones</t>
  </si>
  <si>
    <t>Amortizaciones</t>
  </si>
  <si>
    <t>Pos</t>
  </si>
  <si>
    <t>Atm</t>
  </si>
  <si>
    <t>Varios</t>
  </si>
  <si>
    <t>Actual</t>
  </si>
  <si>
    <t>BNF</t>
  </si>
  <si>
    <t>Adq. Bnf</t>
  </si>
  <si>
    <t>Credencial</t>
  </si>
  <si>
    <t>Procard</t>
  </si>
  <si>
    <t>Adq. Procard</t>
  </si>
  <si>
    <t>Entidades</t>
  </si>
  <si>
    <t>INGRESOS</t>
  </si>
  <si>
    <t>UNIDADES DE NEGOCIO</t>
  </si>
  <si>
    <t>DINELCO POS</t>
  </si>
  <si>
    <t>ALQUILER INST. Y TRANS. EN POS</t>
  </si>
  <si>
    <t>REPARAC. Y SUMINISTROS POS</t>
  </si>
  <si>
    <t>INGRESOS DEBITO</t>
  </si>
  <si>
    <t>TRANSACCIONES</t>
  </si>
  <si>
    <t>TRANSACCIONES DEBITOS EN POS</t>
  </si>
  <si>
    <t>ALQUILER DE CAJEROS</t>
  </si>
  <si>
    <t>ALQUILER DE POS AL BNF</t>
  </si>
  <si>
    <t>INGRESOS POR PROCESAMIENTOS</t>
  </si>
  <si>
    <t>INGRESOS POR SERVICIOS VARIOS</t>
  </si>
  <si>
    <t>COMISIONES POR ADQUIRENCIA DEB</t>
  </si>
  <si>
    <t>INGRESOS CREDITO</t>
  </si>
  <si>
    <t>INGRESOS POR EMISIONES</t>
  </si>
  <si>
    <t>INGRESOS POR TRANSACCIONES</t>
  </si>
  <si>
    <t>PROCESAMIENTO DINELCO BNF</t>
  </si>
  <si>
    <t>COMISION ADQUIRENCIA CRED</t>
  </si>
  <si>
    <t>COMISION ADQUIRENCIA VISA</t>
  </si>
  <si>
    <t>ENTREGA ESPECIAL DE TARJETAS</t>
  </si>
  <si>
    <t>INGRESOS VARIOS DINELCO</t>
  </si>
  <si>
    <t>SERVICIOS DE CREDITOS VISA</t>
  </si>
  <si>
    <t>SERVICIOS DINELCO</t>
  </si>
  <si>
    <t>OTROS INGRESOS OPERATIVOS</t>
  </si>
  <si>
    <t>SERVICIOS VARIOS / ENTIDADES</t>
  </si>
  <si>
    <t>INGRESOS SERVICIOS VARIOS</t>
  </si>
  <si>
    <t>EMBOZADOS DE TARJETAS</t>
  </si>
  <si>
    <t>INGRESOS NO OPERATIVOS</t>
  </si>
  <si>
    <t>INGRESOS VARIOS</t>
  </si>
  <si>
    <t>INGRESOS FINANCIEROS</t>
  </si>
  <si>
    <t>INGRESOS EXTRAORDINARIOS</t>
  </si>
  <si>
    <t>PÉRDIDAS DEL EJERCICIO</t>
  </si>
  <si>
    <t xml:space="preserve"> </t>
  </si>
  <si>
    <t>Capital</t>
  </si>
  <si>
    <t>Acciones</t>
  </si>
  <si>
    <t>Clase</t>
  </si>
  <si>
    <t>Lic. Pedro M. Báez M.</t>
  </si>
  <si>
    <t>Lic. Nery Fulgencio Medina</t>
  </si>
  <si>
    <t>Econ. Eleonora Scavone</t>
  </si>
  <si>
    <t>Contador</t>
  </si>
  <si>
    <t>Síndico</t>
  </si>
  <si>
    <t>Presidente</t>
  </si>
  <si>
    <t>RUC 1664831-5</t>
  </si>
  <si>
    <t>BEPSA DEL PARAGUAY S.A.</t>
  </si>
  <si>
    <t>EMISORA DE CAPITAL ABIERTO</t>
  </si>
  <si>
    <t>PASIVO Y PATRIMONIO NETO</t>
  </si>
  <si>
    <t xml:space="preserve">POR EL EJERCICIO COMPRENDIDO ENTRE EL 1º DE ENERO Y EL </t>
  </si>
  <si>
    <t>31 DE DICIEMBRE DE 2007 y 2006</t>
  </si>
  <si>
    <t>Impuesto a la Renta</t>
  </si>
  <si>
    <t>(Expresado en guaraníes)</t>
  </si>
  <si>
    <t>Resultados</t>
  </si>
  <si>
    <t>Total</t>
  </si>
  <si>
    <t>Reservas</t>
  </si>
  <si>
    <t>Neto</t>
  </si>
  <si>
    <t>ESTADO DE FLUJOS DE EFECTIVO</t>
  </si>
  <si>
    <t>Conciliación del Resultado Neto con el Efectivo y equivalente</t>
  </si>
  <si>
    <t>de efectivo proveniente de las actividades de operación,</t>
  </si>
  <si>
    <t>Utilidad del Ejercicio</t>
  </si>
  <si>
    <t>Más:</t>
  </si>
  <si>
    <t>Ajustes a la Utilidad del ejercicio</t>
  </si>
  <si>
    <t>Depreciaciones Bienes de Uso</t>
  </si>
  <si>
    <t>Amortización, Proyectos y Reorganización, Previsiones</t>
  </si>
  <si>
    <t>Menos</t>
  </si>
  <si>
    <t>Ingresos que no representan origenes de fondos</t>
  </si>
  <si>
    <t>Resultado neto antes de cambios en el Capital Operativo</t>
  </si>
  <si>
    <t>Cargos y abonos por cambios en el activo y pasivo</t>
  </si>
  <si>
    <t>Aumento Neto de Créditos</t>
  </si>
  <si>
    <t>Aumento Neto de Otros Activos</t>
  </si>
  <si>
    <t>Aumento Neto de Deudas Comerciales</t>
  </si>
  <si>
    <t>Disminución de Retenciones a Pagar</t>
  </si>
  <si>
    <t>Disminucióm Neta de Cuentas por Pagar Diversos</t>
  </si>
  <si>
    <t>Disminución Neta de Previsiones Especiales</t>
  </si>
  <si>
    <t>Aumento (Disminución) del efectivo y equivalente de</t>
  </si>
  <si>
    <t>efectivo proveniente de la actividad de operación</t>
  </si>
  <si>
    <t>Actividad de Inversión</t>
  </si>
  <si>
    <t>Adquisición de Activo Fijo</t>
  </si>
  <si>
    <t>Disminución Neta de Inversiones Financieras</t>
  </si>
  <si>
    <t>Aumento Neto de Otras Inversiones</t>
  </si>
  <si>
    <t>efectivo proveniente de la actividad de Inversión</t>
  </si>
  <si>
    <t>Actividad de Financiamiento</t>
  </si>
  <si>
    <t>Préstamo a corto plazo</t>
  </si>
  <si>
    <t>Distribución de Dividendos</t>
  </si>
  <si>
    <t>efectivo proveniente de la actividad de Financiamiento</t>
  </si>
  <si>
    <t>Aumento neto de efectivo y equivalente de efectivo</t>
  </si>
  <si>
    <t>Saldo efectivo y equivalente de efectivo al inicio</t>
  </si>
  <si>
    <t>Saldo efectivo y equivalente de efectivo al finalizar el efercicio</t>
  </si>
  <si>
    <t>Lic. Pedro Miguel Báez M.</t>
  </si>
  <si>
    <t xml:space="preserve">                   EMISORA DE CAPITAL ABIERTO</t>
  </si>
  <si>
    <t>ANEXO A</t>
  </si>
  <si>
    <t>BIENES DE USO Y DEPRECIACIONES</t>
  </si>
  <si>
    <t>Correspondiente al 31 de diciembre de 2007</t>
  </si>
  <si>
    <t>Con cifras comparativas del ejercicio anterior</t>
  </si>
  <si>
    <t xml:space="preserve">V A L O R E S   D E   O R I G E N </t>
  </si>
  <si>
    <t>D E P R E C I A C I O N E S</t>
  </si>
  <si>
    <t>Saldo al</t>
  </si>
  <si>
    <t>Cuentas</t>
  </si>
  <si>
    <t>Altas</t>
  </si>
  <si>
    <t>Bajas</t>
  </si>
  <si>
    <t>Revalúo</t>
  </si>
  <si>
    <t>Ajustes</t>
  </si>
  <si>
    <t>Resultante</t>
  </si>
  <si>
    <t>Bienes sujetos a depreciación</t>
  </si>
  <si>
    <t>Muebles y Equipos en general</t>
  </si>
  <si>
    <t>Maquinarias</t>
  </si>
  <si>
    <t>Herramientas y Equipos</t>
  </si>
  <si>
    <t>Equipos de Informática</t>
  </si>
  <si>
    <t>Maquinarias POS</t>
  </si>
  <si>
    <t>Software</t>
  </si>
  <si>
    <t>Automóviles, Camionetas, Camiones</t>
  </si>
  <si>
    <t>Bienes Restantes</t>
  </si>
  <si>
    <t>Montajes e Instalaciones</t>
  </si>
  <si>
    <t>Derechos Adquiridos</t>
  </si>
  <si>
    <t>Constr. o Mejoras en Predio Ajeno</t>
  </si>
  <si>
    <t>Sub -Total</t>
  </si>
  <si>
    <t>Bienes no sujetos a depreciación</t>
  </si>
  <si>
    <t>Terrenos</t>
  </si>
  <si>
    <t>Total general</t>
  </si>
  <si>
    <t xml:space="preserve">Total ejercicio anterior </t>
  </si>
  <si>
    <t>Lic. Pedro M. Báez. M.</t>
  </si>
  <si>
    <t>Aumentos</t>
  </si>
  <si>
    <t>C U E N T A S</t>
  </si>
  <si>
    <t>de</t>
  </si>
  <si>
    <t xml:space="preserve">de </t>
  </si>
  <si>
    <t>Resultado</t>
  </si>
  <si>
    <t>Patrimonio Neto</t>
  </si>
  <si>
    <t>Inversiones Permanentes</t>
  </si>
  <si>
    <t>Inversiones Corrientes</t>
  </si>
  <si>
    <t>Inversiones no Corrientes</t>
  </si>
  <si>
    <t>Deducidas del Activo</t>
  </si>
  <si>
    <t>ACTIVOS Y PASIVOS EN MONEDA EXTRANJERA</t>
  </si>
  <si>
    <t>(Expresado en Guaraníes)</t>
  </si>
  <si>
    <t>Moneda Extranjera</t>
  </si>
  <si>
    <t>Monto</t>
  </si>
  <si>
    <t>A C T I V O</t>
  </si>
  <si>
    <t>Clientes</t>
  </si>
  <si>
    <t>TOTAL ACTIVO</t>
  </si>
  <si>
    <t>PASIVOS CORRIENTES</t>
  </si>
  <si>
    <t>ANEXO H</t>
  </si>
  <si>
    <t>INFORMACION REQUERIDA SOBRE COSTOS Y GASTOS</t>
  </si>
  <si>
    <t xml:space="preserve">Gastos </t>
  </si>
  <si>
    <t>Gastos</t>
  </si>
  <si>
    <t xml:space="preserve">Financieros </t>
  </si>
  <si>
    <t>TOTAL</t>
  </si>
  <si>
    <t xml:space="preserve">y otros </t>
  </si>
  <si>
    <t>Ejercicio</t>
  </si>
  <si>
    <t>Otros</t>
  </si>
  <si>
    <t>RUBROS</t>
  </si>
  <si>
    <t>Operación</t>
  </si>
  <si>
    <t>Administración</t>
  </si>
  <si>
    <t>Comercialización</t>
  </si>
  <si>
    <t>Egresos</t>
  </si>
  <si>
    <t>Anterior</t>
  </si>
  <si>
    <t>Remuneración de directores y Síndicos</t>
  </si>
  <si>
    <t>Honorarios y remuneraciones por servicios</t>
  </si>
  <si>
    <t>Sueldos y otras remuneraciones</t>
  </si>
  <si>
    <t>Contribuciones sociales</t>
  </si>
  <si>
    <t>Capacitación al personal y seguro médico</t>
  </si>
  <si>
    <t>Alquiler pagados</t>
  </si>
  <si>
    <t>Manten. y reparación de Bienes de Uso</t>
  </si>
  <si>
    <t>Depreciaciones de bienes de uso</t>
  </si>
  <si>
    <t>Licencia de Software</t>
  </si>
  <si>
    <t>Agua, luz y telefono</t>
  </si>
  <si>
    <t>Gastos de correspondencia</t>
  </si>
  <si>
    <t>Papelería y útiles</t>
  </si>
  <si>
    <t>Impuestos, tasas y patentes</t>
  </si>
  <si>
    <t>Gastos comerciales</t>
  </si>
  <si>
    <t>Gastos de representación</t>
  </si>
  <si>
    <t>Gastos de limpieza</t>
  </si>
  <si>
    <t>Gastos de seguridad</t>
  </si>
  <si>
    <t>Gastos de intercambios</t>
  </si>
  <si>
    <t>Int.,Com., Dif. de Cambio y Otras Pérd.</t>
  </si>
  <si>
    <t>Fraudes asumidos</t>
  </si>
  <si>
    <t>Previsiones y Amortizaciones</t>
  </si>
  <si>
    <t>Gastos Extraordinarios</t>
  </si>
  <si>
    <t>Costos por unidades de negocio</t>
  </si>
  <si>
    <t>Otros Gastos</t>
  </si>
  <si>
    <t>Total al 31/12/07</t>
  </si>
  <si>
    <t>Total al 31/12/06</t>
  </si>
  <si>
    <t>Total del                  Ejercicio</t>
  </si>
  <si>
    <t>01/01/11 AL 31/12/11</t>
  </si>
  <si>
    <t>CAJA - Casa Central</t>
  </si>
  <si>
    <t>Caja- Suc. San Lorenzo 3</t>
  </si>
  <si>
    <t>CAJA - SUC. SAN LORENZO 3</t>
  </si>
  <si>
    <t>Reacudaciones a Depositar</t>
  </si>
  <si>
    <t>BNF- Cta Cte</t>
  </si>
  <si>
    <t>BNF- Caja de Ahorro</t>
  </si>
  <si>
    <t>Bco Amambay Cta Cte</t>
  </si>
  <si>
    <t>Bco Continental Cta Cte</t>
  </si>
  <si>
    <t>Bco de Itapua SAECA Cta Cte</t>
  </si>
  <si>
    <t>Bco Sudameris S.A. Cta Cte</t>
  </si>
  <si>
    <t>Bco Integración S.A.</t>
  </si>
  <si>
    <t>BBVA</t>
  </si>
  <si>
    <t>Vision Bco SAECA</t>
  </si>
  <si>
    <t>PKF</t>
  </si>
  <si>
    <t>Controller Contadores &amp; Auditores</t>
  </si>
  <si>
    <t>CLIENTE:</t>
  </si>
  <si>
    <t>Metal Dorado S.A.</t>
  </si>
  <si>
    <t>HECHO POR:</t>
  </si>
  <si>
    <t>GM</t>
  </si>
  <si>
    <t>PERIODO:</t>
  </si>
  <si>
    <t>31.12.11</t>
  </si>
  <si>
    <t>FECHA:</t>
  </si>
  <si>
    <t>RUBRO:</t>
  </si>
  <si>
    <t>BALANCE COMPARATIVO</t>
  </si>
  <si>
    <t>VERIF. POR:</t>
  </si>
  <si>
    <t>HOJA LLAVE</t>
  </si>
  <si>
    <t>Activo</t>
  </si>
  <si>
    <t>DATOS DEL BALANCE:</t>
  </si>
  <si>
    <t>Materialidad 1%</t>
  </si>
  <si>
    <t>Periodo:</t>
  </si>
  <si>
    <t>Error Tolerable 50%</t>
  </si>
  <si>
    <t>Fecha de emisión:</t>
  </si>
  <si>
    <t>Ajustes Menores 5%</t>
  </si>
  <si>
    <t>Fecha de PPC:</t>
  </si>
  <si>
    <t>CODIGO</t>
  </si>
  <si>
    <t>CUENTA / RUBRO</t>
  </si>
  <si>
    <t>SALDOS AL 31.12.09</t>
  </si>
  <si>
    <t>%</t>
  </si>
  <si>
    <t>SALDOS AL 31.12.10</t>
  </si>
  <si>
    <t>SALDOS AL 31.12.11</t>
  </si>
  <si>
    <t xml:space="preserve">REF. </t>
  </si>
  <si>
    <t>Variación Analítica</t>
  </si>
  <si>
    <t>1.0.0.00</t>
  </si>
  <si>
    <t xml:space="preserve">ACTIVO </t>
  </si>
  <si>
    <t>Caja- Casa Central</t>
  </si>
  <si>
    <t>Caja- Suc. Mariano Roque Alonso 2</t>
  </si>
  <si>
    <t>Caja- Casa Central- Nuevo</t>
  </si>
  <si>
    <t>Bco Itau</t>
  </si>
  <si>
    <t>Ajuste de Sucursales</t>
  </si>
  <si>
    <t>Bco Regional</t>
  </si>
  <si>
    <t>Bco Atlas</t>
  </si>
  <si>
    <t>1-1-2-00</t>
  </si>
  <si>
    <t>Prestamos Prendarios</t>
  </si>
  <si>
    <t>Empeños</t>
  </si>
  <si>
    <t>Empeños CE y CF</t>
  </si>
  <si>
    <t>1-1-3-00</t>
  </si>
  <si>
    <t>Mercaderias</t>
  </si>
  <si>
    <t>1-1-5-00</t>
  </si>
  <si>
    <t>Otros Activos</t>
  </si>
  <si>
    <t>Anticipo Impuesto a la Renta</t>
  </si>
  <si>
    <t>IVA-Credito</t>
  </si>
  <si>
    <t>Garantia de Alquiler</t>
  </si>
  <si>
    <t>Clientes-Dev p/ Giraduría-BNF</t>
  </si>
  <si>
    <t>Anticipo de remuneración</t>
  </si>
  <si>
    <t>Anticipo de Varios</t>
  </si>
  <si>
    <t>Deudores Varios</t>
  </si>
  <si>
    <t>Documentos a Cobrar</t>
  </si>
  <si>
    <t>Cobros p/ Tarjetas de Credito</t>
  </si>
  <si>
    <t>Otras Retenc. De Anticipo Imp. a la Renta</t>
  </si>
  <si>
    <t>Otras Retenc. IVA</t>
  </si>
  <si>
    <t>Cheques Devueltos</t>
  </si>
  <si>
    <t>Intereses Pagados x Adelantado</t>
  </si>
  <si>
    <t>Anticipo al Personal</t>
  </si>
  <si>
    <t>Prestamos al Personal</t>
  </si>
  <si>
    <t>1-1-6-00</t>
  </si>
  <si>
    <t>Creditos</t>
  </si>
  <si>
    <t>Clientes en Gestión de Cobro</t>
  </si>
  <si>
    <t>(-) Clientes Dsctos Vtas de Documentos</t>
  </si>
  <si>
    <t>(-) Prevision p/ Creditos de Dudoso Cobro</t>
  </si>
  <si>
    <t>(-) Clientes Cobros p/ Aplicar</t>
  </si>
  <si>
    <t>1-2-0-00</t>
  </si>
  <si>
    <t>Activo No Corriente</t>
  </si>
  <si>
    <t>1-2-1-00</t>
  </si>
  <si>
    <t>Bienes de Uso</t>
  </si>
  <si>
    <t>Rodados</t>
  </si>
  <si>
    <t>Muebles y Utiles</t>
  </si>
  <si>
    <t>Maquinas y Equipos de Oficina</t>
  </si>
  <si>
    <t>Equipos de Computación</t>
  </si>
  <si>
    <t>Sistemas Informaticos</t>
  </si>
  <si>
    <t>Mejoras en Propiedad Ajena</t>
  </si>
  <si>
    <t>Depreciaciones Acumuladas</t>
  </si>
  <si>
    <t>Equipos Varios</t>
  </si>
  <si>
    <t>Depreciaciones Acumuladas- Rodados</t>
  </si>
  <si>
    <t>Depreciaciones Acumuladas- Muebles y Utiles</t>
  </si>
  <si>
    <t>Depreciaciones Acumuladas- Maquinarias y Equipos</t>
  </si>
  <si>
    <t>Depreciaciones Acumuladas- Equipos de Computación</t>
  </si>
  <si>
    <t>Depreciaciones Acumuladas- Mejoras en Prop. Ajena</t>
  </si>
  <si>
    <t>Depreciaciones Acumuladas- Sistema Informatico</t>
  </si>
  <si>
    <t>Depreciaciones Acumuladas- Equipos Varios</t>
  </si>
  <si>
    <t>1-2-2-00</t>
  </si>
  <si>
    <t>Bienes Adjudicados</t>
  </si>
  <si>
    <t>1-2-3-00</t>
  </si>
  <si>
    <t>Diferidos</t>
  </si>
  <si>
    <t>Seguros a Vencer</t>
  </si>
  <si>
    <t>Intereses a Devengar</t>
  </si>
  <si>
    <t>2-0-0-00</t>
  </si>
  <si>
    <t>2-1-0-00</t>
  </si>
  <si>
    <t>Pasivo Corriente</t>
  </si>
  <si>
    <t>2-1-1-00</t>
  </si>
  <si>
    <t>Prestamos Varios del Pais</t>
  </si>
  <si>
    <t>Rodrigo Izaguirre - A Devolver</t>
  </si>
  <si>
    <t>Ma. Teresa Barrail - A Devolver</t>
  </si>
  <si>
    <t>2-1-2-00</t>
  </si>
  <si>
    <t>Deudas Bancarias y Comerciales</t>
  </si>
  <si>
    <t>Descuento de Documentos</t>
  </si>
  <si>
    <t>Prestamos Comerciales</t>
  </si>
  <si>
    <t>Prestamos Bancarios</t>
  </si>
  <si>
    <t>Bco BBVA</t>
  </si>
  <si>
    <t>2-1-3-00</t>
  </si>
  <si>
    <t>Deudas Fiscales y Sociales</t>
  </si>
  <si>
    <t>Direccion Gral de Recaudaciones</t>
  </si>
  <si>
    <t>IVA-Debito 10%</t>
  </si>
  <si>
    <t>Aporte IPS</t>
  </si>
  <si>
    <t>IVA 5%</t>
  </si>
  <si>
    <t>IVA a Pagar</t>
  </si>
  <si>
    <t>Dividendos a Pagar</t>
  </si>
  <si>
    <t>IPS a Pagar</t>
  </si>
  <si>
    <t>2-1-5-00</t>
  </si>
  <si>
    <t>Acreedores Varios</t>
  </si>
  <si>
    <t>Adelanto de Clientes</t>
  </si>
  <si>
    <t>Protek SRL</t>
  </si>
  <si>
    <t>La Rural de Seguros SA</t>
  </si>
  <si>
    <t>Motorland SRL</t>
  </si>
  <si>
    <t>La agricola S.A de Seguros</t>
  </si>
  <si>
    <t>Intereses Documentados a Pagar</t>
  </si>
  <si>
    <t>Garden Automotores SA</t>
  </si>
  <si>
    <t>Servicios Varios a Pagar</t>
  </si>
  <si>
    <t>Dimac SA</t>
  </si>
  <si>
    <t>2-1-6-00</t>
  </si>
  <si>
    <t>Deuda con Proveedores</t>
  </si>
  <si>
    <t>Proveedores Diferidos Documentados</t>
  </si>
  <si>
    <t>Proveedores Varios</t>
  </si>
  <si>
    <t>3-0-0-00</t>
  </si>
  <si>
    <t>Capital Integrado</t>
  </si>
  <si>
    <t>Aporte No Capitalizados</t>
  </si>
  <si>
    <t>Aporte p/ futura Emision de Acciones</t>
  </si>
  <si>
    <t>3-2-0-00</t>
  </si>
  <si>
    <t>3-2-1-00</t>
  </si>
  <si>
    <t>Reserva de Revaluo Ley 125</t>
  </si>
  <si>
    <t>Reserva Legal del ejercicio</t>
  </si>
  <si>
    <t>Reserva Acumulada</t>
  </si>
  <si>
    <t>Reserva Prevision Creditos Incobrables</t>
  </si>
  <si>
    <t>3-2-2-00</t>
  </si>
  <si>
    <t>Ganancia Perdida Ejercicio Anterior</t>
  </si>
  <si>
    <t>PASIVO + PATRIMONIO NETO</t>
  </si>
  <si>
    <t>DIFERENCIAS</t>
  </si>
  <si>
    <t>CLIENTE</t>
  </si>
  <si>
    <t>PERIODO</t>
  </si>
  <si>
    <t>RUBRO</t>
  </si>
  <si>
    <t>Periodo</t>
  </si>
  <si>
    <t>Fecha de emisión</t>
  </si>
  <si>
    <t>Fecha de PPC</t>
  </si>
  <si>
    <t>4-0-0-00</t>
  </si>
  <si>
    <t>4-1-0-00</t>
  </si>
  <si>
    <t>INGRESOS OPERATIVOS</t>
  </si>
  <si>
    <t>4-1-1-00</t>
  </si>
  <si>
    <t>Ingresos por Servicios</t>
  </si>
  <si>
    <t>Servicio de Empeño y Renovación</t>
  </si>
  <si>
    <t>4-2-0-00</t>
  </si>
  <si>
    <t>Ingresos Comerciales</t>
  </si>
  <si>
    <t>4-2-2-00</t>
  </si>
  <si>
    <t>Ingresos por Ventas</t>
  </si>
  <si>
    <t>Venta de Mercaderias</t>
  </si>
  <si>
    <t>Ingresos por Finanaciación</t>
  </si>
  <si>
    <t>4-2-3-00</t>
  </si>
  <si>
    <t>Otros Ingresos</t>
  </si>
  <si>
    <t>Descuentos Obtenidos</t>
  </si>
  <si>
    <t>Diferencia de Cambio</t>
  </si>
  <si>
    <t>Ingresos Extraordinarios</t>
  </si>
  <si>
    <t>Ingresos Intereses Moratorios</t>
  </si>
  <si>
    <t>Bonificaciones Recibidas</t>
  </si>
  <si>
    <t>Venta de Bienes Adjudicados</t>
  </si>
  <si>
    <t>5-0-0-00</t>
  </si>
  <si>
    <t xml:space="preserve">Gastos Varios </t>
  </si>
  <si>
    <t>5-1-0-00</t>
  </si>
  <si>
    <t>Gastos Comerciales</t>
  </si>
  <si>
    <t>Costo de Bienes Adjudicados</t>
  </si>
  <si>
    <t>Costo de Ventas</t>
  </si>
  <si>
    <t>5-1-2-00</t>
  </si>
  <si>
    <t>Gastos de Ventas</t>
  </si>
  <si>
    <t>Bonificaciones s/ Ventas</t>
  </si>
  <si>
    <t>Publicidad y Propaganda</t>
  </si>
  <si>
    <t>Fletes y Gtos de Envio</t>
  </si>
  <si>
    <t>Descuentos Concedidos</t>
  </si>
  <si>
    <t>Comisiones Pagadas</t>
  </si>
  <si>
    <t>Mantenimiento y Rep. Articulos de Ventas</t>
  </si>
  <si>
    <t>Gastos Varios  de Ventas</t>
  </si>
  <si>
    <t>Gastos de Consumición y Hospedaje</t>
  </si>
  <si>
    <t xml:space="preserve">Gastos de Movilidad </t>
  </si>
  <si>
    <t>Matenimiento, Accesorios y repuestos p/ Vehiculos</t>
  </si>
  <si>
    <t>Suscripción a Periodicos e Informes Comerciales</t>
  </si>
  <si>
    <t>Gastos Administrativos</t>
  </si>
  <si>
    <t>Remuneracion Personal Superior</t>
  </si>
  <si>
    <t>Sueldo y Otras Remuneraciones</t>
  </si>
  <si>
    <t>Alquileres Pagados</t>
  </si>
  <si>
    <t>Servicio de Agua</t>
  </si>
  <si>
    <t>Energia Electrica</t>
  </si>
  <si>
    <t>Telefonos y Otros Medios</t>
  </si>
  <si>
    <t>Honorarios Profesionales con IVA</t>
  </si>
  <si>
    <t>Impuestos, Tasas y Patentes</t>
  </si>
  <si>
    <t>Multas y Recargos</t>
  </si>
  <si>
    <t>Papelerias e Impresos</t>
  </si>
  <si>
    <t>Utiles, Muebles, Formularios y enseres de Ofic</t>
  </si>
  <si>
    <t>Aporte Patronal</t>
  </si>
  <si>
    <t>Seguridad y Vigilancia</t>
  </si>
  <si>
    <t>IVA Gastos Deducibles</t>
  </si>
  <si>
    <t>Accesorios para Informatica</t>
  </si>
  <si>
    <t>Actualización de Sistemas</t>
  </si>
  <si>
    <t>Capacitación al Personal</t>
  </si>
  <si>
    <t>Seguros</t>
  </si>
  <si>
    <t>Vacaciones</t>
  </si>
  <si>
    <t>Aguinaldos</t>
  </si>
  <si>
    <t>Gastos de Asamblea</t>
  </si>
  <si>
    <t>Gastos Financieros</t>
  </si>
  <si>
    <t>Intereses Pagados</t>
  </si>
  <si>
    <t>Gastos Bancarios</t>
  </si>
  <si>
    <t>Gastos Administrativos s/ Prestamos</t>
  </si>
  <si>
    <t>Donaciones</t>
  </si>
  <si>
    <t>Reparación y Mantenimiento de MyE</t>
  </si>
  <si>
    <t>Acontecimientos Sociales</t>
  </si>
  <si>
    <t>Depreciación</t>
  </si>
  <si>
    <t>Uniformes</t>
  </si>
  <si>
    <t>Refrigerio al Personal</t>
  </si>
  <si>
    <t>Suscripción a Periodicos y Revistas</t>
  </si>
  <si>
    <t>Gastos de Limpeza y Cafeteria</t>
  </si>
  <si>
    <t>Perdidas Extraordinarias</t>
  </si>
  <si>
    <t>Reserva Legal</t>
  </si>
  <si>
    <t>Gastos Generales</t>
  </si>
  <si>
    <t>Mantenimiento de Instalaciones</t>
  </si>
  <si>
    <t>Gastos NO DEDUCIBLES</t>
  </si>
  <si>
    <t>Gastos Judiciales, Transf. Renovaciones y Otros</t>
  </si>
  <si>
    <t>Baja de Inventarios</t>
  </si>
  <si>
    <t>Impuesto a la Renta(GND)</t>
  </si>
  <si>
    <t>Gastos de Fideicomiso</t>
  </si>
  <si>
    <t>Comisiones Pag. Por Fideicomiso</t>
  </si>
  <si>
    <t>Honorarios Profesionales por Fideicomiso</t>
  </si>
  <si>
    <t>Resultado  del Ejercicio</t>
  </si>
  <si>
    <t>RESUMEN DE UTILIDAD</t>
  </si>
  <si>
    <t xml:space="preserve">UTILIDAD DEL EJERCICIO </t>
  </si>
  <si>
    <t>IBISA S.A.</t>
  </si>
  <si>
    <t xml:space="preserve">                         BALANCE GENERAL AL 31 DE DICIEMBRE DE 2011</t>
  </si>
  <si>
    <t>Con cifras comparativas del periodo anterior</t>
  </si>
  <si>
    <t>Periodo Actual</t>
  </si>
  <si>
    <t>TOTAL ACTIVO CORRIENTE</t>
  </si>
  <si>
    <t>TOTAL PASIVO CORRIENTE</t>
  </si>
  <si>
    <t>TOTAL PASIVO NO CORRIENTE</t>
  </si>
  <si>
    <t>TOTAL DEL PASIVO</t>
  </si>
  <si>
    <t>Resultado del Ejercicio</t>
  </si>
  <si>
    <t>TOTAL ACTIVO NO CORRIENTE</t>
  </si>
  <si>
    <t>TOTAL DEL ACTIVO</t>
  </si>
  <si>
    <t>Valor Nominal Unitario</t>
  </si>
  <si>
    <t>Valor de Cotización</t>
  </si>
  <si>
    <t>Valor de Costo</t>
  </si>
  <si>
    <t>Disminución</t>
  </si>
  <si>
    <t>Costo de Bienes de Cambio</t>
  </si>
  <si>
    <t>Costo de Bienes de Uso</t>
  </si>
  <si>
    <t>Costo de Otros Activos</t>
  </si>
  <si>
    <t>Gastos de Administración</t>
  </si>
  <si>
    <t>Gastos de Comercialización</t>
  </si>
  <si>
    <t>Remuneraciones de administradores, directores, sindicos y consejo de vigilancia</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</si>
  <si>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</si>
  <si>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</si>
  <si>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</si>
  <si>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</si>
  <si>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</si>
  <si>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</si>
  <si>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</si>
  <si>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Intereses a bancos e instituciones financieras</t>
  </si>
  <si>
    <t>Amortización bienes de uso</t>
  </si>
  <si>
    <t>Amortización activos intangibles</t>
  </si>
  <si>
    <t>Costo de Mercaderias o Servicios</t>
  </si>
  <si>
    <t>Comisiones Pagadas s/ Ventas</t>
  </si>
  <si>
    <t>Comisiones Pagadas s/ cobranzas</t>
  </si>
  <si>
    <t>BALANCE GENERAL AL 31 DE MARZO DE 2014</t>
  </si>
  <si>
    <t>Totales periodo anterior - 31/03/13</t>
  </si>
  <si>
    <t>Totales periodo actual - 31/03/14</t>
  </si>
  <si>
    <t>Acumuladas al inicio del periodo</t>
  </si>
  <si>
    <t>Acumuladas al cierre del periodo</t>
  </si>
  <si>
    <t>Neto Resultante</t>
  </si>
  <si>
    <t xml:space="preserve">Total </t>
  </si>
  <si>
    <t>ACTIVOS CORRIENTES</t>
  </si>
  <si>
    <t>PASIVOS NO CORRIENTES</t>
  </si>
  <si>
    <t>Ingresos</t>
  </si>
  <si>
    <t xml:space="preserve">Ejercicio </t>
  </si>
  <si>
    <t>Títulos De Renta Variable</t>
  </si>
  <si>
    <t>Títulos De Renta Fija</t>
  </si>
  <si>
    <t>Menos: previsión Por menor valor</t>
  </si>
  <si>
    <t>Deudores por Intermediación</t>
  </si>
  <si>
    <t>Caja</t>
  </si>
  <si>
    <t>Recaudaciones a Depositar</t>
  </si>
  <si>
    <t>Bancos</t>
  </si>
  <si>
    <t>Documentos y cuentas por cobrar</t>
  </si>
  <si>
    <t>Deudores varios</t>
  </si>
  <si>
    <t>Menos: previsión para incobrables</t>
  </si>
  <si>
    <t>Cuentas por cobrar a personas y empresas</t>
  </si>
  <si>
    <t>Relacionadas</t>
  </si>
  <si>
    <t>Menos: previsión por cuentas a cobrar a</t>
  </si>
  <si>
    <t>personas y empresas relacionadas</t>
  </si>
  <si>
    <t>Underwitng</t>
  </si>
  <si>
    <t>Otros Activos Corrientes (Nota 5 j)</t>
  </si>
  <si>
    <t xml:space="preserve">Documentos y Cuentas a Pagar </t>
  </si>
  <si>
    <t>Acreedores por Intermediación (Nota 5.m.)</t>
  </si>
  <si>
    <t>Acreedores Varios (Nota 5.l.1)</t>
  </si>
  <si>
    <t>Cuentas a Pagar a Personas y</t>
  </si>
  <si>
    <t>Prestamos Financieros (Nota 5.k.)</t>
  </si>
  <si>
    <t>Otros Pasivos</t>
  </si>
  <si>
    <t>Disponibilidades (Nota 5 d)</t>
  </si>
  <si>
    <t>Inversiones temporarias (Nota 5 e )</t>
  </si>
  <si>
    <t>Prestamos a tercero</t>
  </si>
  <si>
    <t>Otros pasivos Corrientes (Nota 5.q.)</t>
  </si>
  <si>
    <t>Títulos De Renta Fija (Nota 5.e)</t>
  </si>
  <si>
    <t>Acción De Bolsa De Valores (Nota 5.e)</t>
  </si>
  <si>
    <t>Créditos (Nota 5.f)</t>
  </si>
  <si>
    <t>Créditos en Gestión de Cobro</t>
  </si>
  <si>
    <t>Derechos sobre Títulos Por Contratos de</t>
  </si>
  <si>
    <t>Bienes de Uso (Nota 5.g)</t>
  </si>
  <si>
    <t>Depreciación acumulada)</t>
  </si>
  <si>
    <t>Marcas</t>
  </si>
  <si>
    <t>Gastos No Devengados (Nota 5j )</t>
  </si>
  <si>
    <t>Cuentas a Pagar</t>
  </si>
  <si>
    <t>Acreedores por Intermediación</t>
  </si>
  <si>
    <t>Empresas Relacionadas (Nota 5.o.)</t>
  </si>
  <si>
    <t>Prestamos Financieros</t>
  </si>
  <si>
    <t>Prestamos en Bancos</t>
  </si>
  <si>
    <t>Previsión para Indemnización</t>
  </si>
  <si>
    <t>Otras Contingencias</t>
  </si>
  <si>
    <t>Otros pasivos no Corriente (Nota 5.q.)</t>
  </si>
  <si>
    <t>Patrimonio Neto (Nota 5t)</t>
  </si>
  <si>
    <t>Total Patrimonio Neto (Según el estado de</t>
  </si>
  <si>
    <t>Variación del patrimonio Neto)</t>
  </si>
  <si>
    <t>TOTAL PASIVO Y PATRIMONIO NETO</t>
  </si>
  <si>
    <t>ACTUAL</t>
  </si>
  <si>
    <t>ANTERIOR</t>
  </si>
  <si>
    <t>Ingresos Operativos</t>
  </si>
  <si>
    <t>Comisiones por Operaciones en Rueda</t>
  </si>
  <si>
    <t>Comisiones por operaciones fuera de Rueda</t>
  </si>
  <si>
    <t>Otros Ingresos Operativos (Nota 5.v.)</t>
  </si>
  <si>
    <t>Gastos Operativos</t>
  </si>
  <si>
    <t>Otros Ingresos y Egresos (Nota 5.x.)</t>
  </si>
  <si>
    <t>Generados por Pasivos</t>
  </si>
  <si>
    <t>Gastos Por Comisiones y Servicios</t>
  </si>
  <si>
    <t>Otros Gastos Operativos (Nota 5.w.)</t>
  </si>
  <si>
    <t>Resultado operativo Bruto</t>
  </si>
  <si>
    <t>Publicidad</t>
  </si>
  <si>
    <t>Folleto e Impresiones</t>
  </si>
  <si>
    <t>Resultado operativo Neto</t>
  </si>
  <si>
    <t>Intereses Cobrados (Nota 5.y.)</t>
  </si>
  <si>
    <t>Diferencias De Cambio (Nota 5.c.)</t>
  </si>
  <si>
    <t>Intereses Pagados (Nota 5.y.)</t>
  </si>
  <si>
    <t>Resultado Extraordinarios (Nota 5.z.)</t>
  </si>
  <si>
    <t>Egresos extraordinarios</t>
  </si>
  <si>
    <t>Ajuste De Resultado De Ejercicios Anteriores</t>
  </si>
  <si>
    <t>SUSCRIPTO</t>
  </si>
  <si>
    <t>APORTE</t>
  </si>
  <si>
    <t>INTEGRADO</t>
  </si>
  <si>
    <t>RESERVAS</t>
  </si>
  <si>
    <t>LEGAL</t>
  </si>
  <si>
    <t>FACULTATIVA</t>
  </si>
  <si>
    <t>REVALUO</t>
  </si>
  <si>
    <t>RESULTADOS</t>
  </si>
  <si>
    <t>ACUMULADOS</t>
  </si>
  <si>
    <t>DEL EJERCICIO</t>
  </si>
  <si>
    <t>Movimientos subsecuentes</t>
  </si>
  <si>
    <t>Transferencias a dividendos a pagar</t>
  </si>
  <si>
    <t>Total Periodo Actual</t>
  </si>
  <si>
    <t>Total Periodo Anterior</t>
  </si>
  <si>
    <t>A INTEGRAR /</t>
  </si>
  <si>
    <t>Recaudaciones a depositar</t>
  </si>
  <si>
    <t>Créditos</t>
  </si>
  <si>
    <t>Clientes US$</t>
  </si>
  <si>
    <t>Dep. de Clientes para Negociaciones</t>
  </si>
  <si>
    <t>Otros Pasivos No Corrientes</t>
  </si>
  <si>
    <t>CONCEPTO</t>
  </si>
  <si>
    <t>Perdidas por Valuación de Pasivos Monetarios En Moneda Extranjera</t>
  </si>
  <si>
    <t>Totales</t>
  </si>
  <si>
    <t>CUENTA</t>
  </si>
  <si>
    <t>MONTO EN GUARANIES</t>
  </si>
  <si>
    <t>TOTALES</t>
  </si>
  <si>
    <t>Tipo de Titulo</t>
  </si>
  <si>
    <t>Cantidad de Títulos</t>
  </si>
  <si>
    <t>Total Periodo Actual G.</t>
  </si>
  <si>
    <t>Total Ejercicio Anterior G.</t>
  </si>
  <si>
    <t>Bolsa de Valores y Producto de Asunción</t>
  </si>
  <si>
    <t>BONO</t>
  </si>
  <si>
    <t>Totales Periodo Actual G.</t>
  </si>
  <si>
    <t>ACCION</t>
  </si>
  <si>
    <t>Valor Contable</t>
  </si>
  <si>
    <t>Saldo Periodo Actual</t>
  </si>
  <si>
    <t>Saldo Ejercicio Anterior</t>
  </si>
  <si>
    <t>Saldo Periodo Actual G.</t>
  </si>
  <si>
    <t>Saldo Ejercicio Anterior G.</t>
  </si>
  <si>
    <t>Concepto</t>
  </si>
  <si>
    <t>Corto Plazo G</t>
  </si>
  <si>
    <t>Largo Plazo G</t>
  </si>
  <si>
    <t>Total Anterior</t>
  </si>
  <si>
    <t>Total Actual</t>
  </si>
  <si>
    <t>Impuesto al Valor Agregado</t>
  </si>
  <si>
    <t>Derechos Sobre Titulos por Contratos De Underwriting</t>
  </si>
  <si>
    <t xml:space="preserve">Emisor </t>
  </si>
  <si>
    <t>Instrumentos</t>
  </si>
  <si>
    <t>Valor Unitario</t>
  </si>
  <si>
    <t>Fecha de Vencimiento del Contrato</t>
  </si>
  <si>
    <t>Valor de Suscripcion G.</t>
  </si>
  <si>
    <t>NO APLICABLE</t>
  </si>
  <si>
    <t>Total Actual G.</t>
  </si>
  <si>
    <t>Total Anterior G.</t>
  </si>
  <si>
    <t>Valores al inicio del periodo</t>
  </si>
  <si>
    <t>Revalúo del Periodo</t>
  </si>
  <si>
    <t>Valores al cierre del periodo</t>
  </si>
  <si>
    <t>Total periodo actual</t>
  </si>
  <si>
    <t>Total periodo anterior</t>
  </si>
  <si>
    <t>Instalaciones</t>
  </si>
  <si>
    <t>Equipos y Enseres</t>
  </si>
  <si>
    <t>Corto Plazo G.</t>
  </si>
  <si>
    <t>Saldo Inicial</t>
  </si>
  <si>
    <t>Saldo Neto Final</t>
  </si>
  <si>
    <t>Largo Plazo G.</t>
  </si>
  <si>
    <t xml:space="preserve">Institución </t>
  </si>
  <si>
    <t>Acreedores Varios (Corto y Largo Plazo)</t>
  </si>
  <si>
    <t>Honorarios a Pagar</t>
  </si>
  <si>
    <t>Aguinaldos a Pagar</t>
  </si>
  <si>
    <t xml:space="preserve">Agua, Luz y Teléf. a Pagar </t>
  </si>
  <si>
    <t>Cuentas Varias a Pagar</t>
  </si>
  <si>
    <t>Alquileres a Pagar</t>
  </si>
  <si>
    <t>Sueldos a Pagar</t>
  </si>
  <si>
    <t>Cupones a Pagar</t>
  </si>
  <si>
    <t>Relación</t>
  </si>
  <si>
    <t>Nombre</t>
  </si>
  <si>
    <t>Tipo de Operación</t>
  </si>
  <si>
    <t>Antigüedad de la deuda (Días)</t>
  </si>
  <si>
    <t>Periodo Actual G.</t>
  </si>
  <si>
    <t>Periodo Anterior G.</t>
  </si>
  <si>
    <t>Accionista</t>
  </si>
  <si>
    <t>Emisor</t>
  </si>
  <si>
    <t>Plazo de Vencimiento del Contrato</t>
  </si>
  <si>
    <t>Importe Corto Plazo G.</t>
  </si>
  <si>
    <t>Importe Largo Plazo G.</t>
  </si>
  <si>
    <t>Corriente G.</t>
  </si>
  <si>
    <t>No Corriente G.</t>
  </si>
  <si>
    <t>Total actual</t>
  </si>
  <si>
    <t>Total anterior</t>
  </si>
  <si>
    <t>Saldos (Indicación de los Saldos deudores y acreedores mantenidos)</t>
  </si>
  <si>
    <t>Persona o Empresa Relacionada</t>
  </si>
  <si>
    <t>Total Ingresos</t>
  </si>
  <si>
    <t>Total Egresos</t>
  </si>
  <si>
    <t>Saldo al inicio del Ejercicio G.</t>
  </si>
  <si>
    <t>Saldo al Cierre del Ejercicio G.</t>
  </si>
  <si>
    <t>Aportes no capitalizados</t>
  </si>
  <si>
    <t xml:space="preserve">Reservas </t>
  </si>
  <si>
    <t xml:space="preserve">Resultados acumulados </t>
  </si>
  <si>
    <t>Resultado del ejercicio</t>
  </si>
  <si>
    <t>El patrimonio de la empresa registro los siguientes movimientos según el cuadro siguiente;</t>
  </si>
  <si>
    <t>Incluidas en el</t>
  </si>
  <si>
    <t>Pasivo</t>
  </si>
  <si>
    <t>Ingresos por operaciones y servicios a personas relacionadas</t>
  </si>
  <si>
    <t>No Registra Saldo</t>
  </si>
  <si>
    <t>Ingresos por Custodia de Valores</t>
  </si>
  <si>
    <t>Venta de Servicios</t>
  </si>
  <si>
    <t xml:space="preserve">Fondo de Garantía-BVPASA </t>
  </si>
  <si>
    <t>Gastos de Telefonía Tigo</t>
  </si>
  <si>
    <t>Agua, Luz y Teléfono</t>
  </si>
  <si>
    <t>Gastos de Escribanía</t>
  </si>
  <si>
    <t>Gastos de Informática</t>
  </si>
  <si>
    <t>Impresos y Formularios</t>
  </si>
  <si>
    <t>Comisión Cobranzas</t>
  </si>
  <si>
    <t>Arancel de Operación - SEN Rent</t>
  </si>
  <si>
    <t>Expensas</t>
  </si>
  <si>
    <t>Gastos de Sistemas de Valores</t>
  </si>
  <si>
    <t>Gastos No Deducibles</t>
  </si>
  <si>
    <t>Gastos de Consumición</t>
  </si>
  <si>
    <t>Gastos de Asambleas y Constituciones</t>
  </si>
  <si>
    <t>Ingresos varios</t>
  </si>
  <si>
    <t>Ingresos por Venta de Bonos</t>
  </si>
  <si>
    <t>Otros Egresos</t>
  </si>
  <si>
    <t>Intereses Cobrados</t>
  </si>
  <si>
    <t>Totales:</t>
  </si>
  <si>
    <t>Egresos Extraordinarios</t>
  </si>
  <si>
    <t>No registra saldo</t>
  </si>
  <si>
    <t>MONTO</t>
  </si>
  <si>
    <t>A</t>
  </si>
  <si>
    <t>Nominativas</t>
  </si>
  <si>
    <t>Juan José Moratorio</t>
  </si>
  <si>
    <t>Nombre de la empresa</t>
  </si>
  <si>
    <t>Monto de la Inversión</t>
  </si>
  <si>
    <t>Tipo de Valor</t>
  </si>
  <si>
    <t>Indicar el porcentaje de participación en el capital integrado de la sociedad emisora (solo en el caso de inversión en acciones)</t>
  </si>
  <si>
    <t>No Aplicable</t>
  </si>
  <si>
    <t>Valor de los bienes gravados</t>
  </si>
  <si>
    <t>Tipo de bien o valor</t>
  </si>
  <si>
    <t>Monto de la deuda garantizada</t>
  </si>
  <si>
    <t>Nombre de la Sociedad Vinculada</t>
  </si>
  <si>
    <t>Factores de la Vinculación</t>
  </si>
  <si>
    <t>Total Cuentas por Cobrar</t>
  </si>
  <si>
    <t>Total Cuentas por pagar</t>
  </si>
  <si>
    <t>Importe Gs</t>
  </si>
  <si>
    <t>Nº</t>
  </si>
  <si>
    <t>ACCIONISTA</t>
  </si>
  <si>
    <t>SERIE</t>
  </si>
  <si>
    <t>CANTIDAD DE ACCIONES</t>
  </si>
  <si>
    <t>CLASE</t>
  </si>
  <si>
    <t>VOTO</t>
  </si>
  <si>
    <t>% DE PARTICIPACION DE CAPITAL INTEGRADO</t>
  </si>
  <si>
    <t>Nicolás Broch</t>
  </si>
  <si>
    <t>Nombre o Razón Social:</t>
  </si>
  <si>
    <t>Millenia Capital Casa de Bolsa S.A.</t>
  </si>
  <si>
    <t>Resolución Nº 57E/15 de fecha 13 de octubre de 2015. Llevará la nomenclatura CB-023</t>
  </si>
  <si>
    <t>CB-024</t>
  </si>
  <si>
    <t>Avda. Aviadores del Chaco N° 2050. WTC Asunción Torre 3 Piso 10 Oficina A.</t>
  </si>
  <si>
    <t>Asunción, Paraguay</t>
  </si>
  <si>
    <t>(595) 21 33 85 620 / 33 85 621</t>
  </si>
  <si>
    <t>E-Mail</t>
  </si>
  <si>
    <t>info@milleniacapital.com.py</t>
  </si>
  <si>
    <t>www.milleniacapital.com.py</t>
  </si>
  <si>
    <t>% DE PARTICIPACION DE CAPITAL SUSCRIPTO</t>
  </si>
  <si>
    <t xml:space="preserve">Servicios Personales </t>
  </si>
  <si>
    <t>Alquileres</t>
  </si>
  <si>
    <t>Multas</t>
  </si>
  <si>
    <t>Tipo de Cambio Comprador</t>
  </si>
  <si>
    <t>Tipo de Cambio Vendedor</t>
  </si>
  <si>
    <t>USD</t>
  </si>
  <si>
    <t>Mejoras de Predio Ajeno</t>
  </si>
  <si>
    <t>Total Gastos Operativos</t>
  </si>
  <si>
    <t>Acreedores Varios.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</si>
  <si>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</si>
  <si>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</si>
  <si>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</si>
  <si>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</si>
  <si>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</si>
  <si>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</si>
  <si>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</si>
  <si>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</si>
  <si>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</si>
  <si>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</si>
  <si>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</si>
  <si>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</si>
  <si>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AUMENTO/DISMINUCIÓN NETO/A DE INTERESES</t>
  </si>
  <si>
    <t>AUMENTO/DISMINUCIÓN NETO/A DE EFECTIVOS Y SUS EQUIVALENTES</t>
  </si>
  <si>
    <t>EFECTIVO Y SUS EQUIVALENTES AL COMIENZO DEL PERIODO</t>
  </si>
  <si>
    <t>FLUJO DE EFECTIVO POR LAS ACTIVIDADES OPERATIVAS</t>
  </si>
  <si>
    <t>EFECTIVO NETO POR ACTIVIDADES OPERATIVAS</t>
  </si>
  <si>
    <t>FLUJO DE EFECTIVO POR ACTIVIDADES DE INVERSIÓN</t>
  </si>
  <si>
    <t>EFECTIVO NETO POR ACTIVIDADES DE INVERSIÓN</t>
  </si>
  <si>
    <t>FLUJO DE EFECTIVO POR ACTIVIDADES DE FINANCIAMIENTO</t>
  </si>
  <si>
    <t>EFECTIVO NETO POR ACTIVIDADES DE FINANCIAMIENTO</t>
  </si>
  <si>
    <t>EFECTO DE LAS GANANCIAS O PÉRDIDAS POR DIFERENCIAS DE TIPO DE CAMBIO</t>
  </si>
  <si>
    <t>EFECTIVO Y SUS EQUIVALENTES AL CIERRE DEL PERIODO</t>
  </si>
  <si>
    <t>Saldos al inicio del ejercicio</t>
  </si>
  <si>
    <t>Cantidad</t>
  </si>
  <si>
    <t>Valor Nominal</t>
  </si>
  <si>
    <t>Valor Libro de la Acción</t>
  </si>
  <si>
    <t>Generados por Activos</t>
  </si>
  <si>
    <t>Resultados Financieros</t>
  </si>
  <si>
    <t>Gastos de Consumición del Personal</t>
  </si>
  <si>
    <t>Intereses a Cobrar - CP</t>
  </si>
  <si>
    <t>Intereses a Cobrar - LP</t>
  </si>
  <si>
    <t>ESTADO DE FLUJO DE EFECTIVO</t>
  </si>
  <si>
    <t>ESTADO DE CAMBIOS EN EL PATRIMONIO NETO</t>
  </si>
  <si>
    <t>Acción de la Bolsa De Valores</t>
  </si>
  <si>
    <t>EJERCICIO ANTERIOR</t>
  </si>
  <si>
    <t>Inversiones temporales - CP</t>
  </si>
  <si>
    <t>Inversiones Temporales - CP</t>
  </si>
  <si>
    <t>Comisiones Cobradas p/ Adelantado</t>
  </si>
  <si>
    <t>A capitalizar</t>
  </si>
  <si>
    <t>Ingresos extraordinarios</t>
  </si>
  <si>
    <t>Utilidad O (Pérdida)</t>
  </si>
  <si>
    <t>Arancel SEPRELAD</t>
  </si>
  <si>
    <t>Otros Gastos Operativos</t>
  </si>
  <si>
    <t>Otros Gastos de Comercialización</t>
  </si>
  <si>
    <t>Total Gastos de Comercialización</t>
  </si>
  <si>
    <t>Aguinaldos a pagar</t>
  </si>
  <si>
    <t>Otros Ingresos Operativos</t>
  </si>
  <si>
    <t xml:space="preserve">Total Periodo Actual </t>
  </si>
  <si>
    <t>Total Ejercicio Anterior</t>
  </si>
  <si>
    <t>Egresos Varios</t>
  </si>
  <si>
    <t>Provisiones (Nota 5.l.2)</t>
  </si>
  <si>
    <t>Impuesto a la renta a pagar</t>
  </si>
  <si>
    <t>Aportes y Retenciones a pagar</t>
  </si>
  <si>
    <t>Dividendos a pagar en efectivo</t>
  </si>
  <si>
    <t>Ingresos por Administración de Cartera</t>
  </si>
  <si>
    <t>Ingresos por Intereses y dividendos de cartera propia</t>
  </si>
  <si>
    <t>Valor de Mercado</t>
  </si>
  <si>
    <t>Licencia (Nota 5.i)</t>
  </si>
  <si>
    <t>Sistema Informático</t>
  </si>
  <si>
    <t>Amortización - Licencias (Nota 5.i.)</t>
  </si>
  <si>
    <t>Activos Intangibles y cargos diferidos (Nota 5.h.i)</t>
  </si>
  <si>
    <t>Otros Activos No Corrientes (Nota 5.j.)</t>
  </si>
  <si>
    <t>Total Saldo Deudor</t>
  </si>
  <si>
    <t>Total Saldo Acreedor</t>
  </si>
  <si>
    <t>CARGO</t>
  </si>
  <si>
    <t>NOMBRE Y APELLIDO</t>
  </si>
  <si>
    <t>Presidente:</t>
  </si>
  <si>
    <t>Director:</t>
  </si>
  <si>
    <t>Federico Montossi</t>
  </si>
  <si>
    <t>Síndico:</t>
  </si>
  <si>
    <t>Representante Legal:</t>
  </si>
  <si>
    <t>Fecha</t>
  </si>
  <si>
    <t>05 de junio de 2014.</t>
  </si>
  <si>
    <t>24 de julio de 2014.</t>
  </si>
  <si>
    <t>Vencimiento</t>
  </si>
  <si>
    <t>No Registra Saldo.</t>
  </si>
  <si>
    <t>INFORMACION GENERAL DE LA ENTIDAD</t>
  </si>
  <si>
    <t>1- IDENTIFICACION</t>
  </si>
  <si>
    <t>2- ANTECEDENTES DE LA INSTITUCION</t>
  </si>
  <si>
    <t>3- ADMINISTRACION</t>
  </si>
  <si>
    <t>4- CAPITAL Y PROPIEDAD</t>
  </si>
  <si>
    <t>Valor Nominal de las acciones: G. 10.000.000</t>
  </si>
  <si>
    <t>Cuadro del Capital Integrado</t>
  </si>
  <si>
    <t>Cuadro del Capital Suscripto</t>
  </si>
  <si>
    <t>5.  AUDITOR EXTERNO INDEPENDIENTE</t>
  </si>
  <si>
    <t>Auditor externo independiente designado:</t>
  </si>
  <si>
    <t>Número de inscripción en el Registro de la CNV:</t>
  </si>
  <si>
    <t>6. PERSONAS VINCULADAS</t>
  </si>
  <si>
    <t>5. CRITERIOS ESPECÍFICOS DE VALUACIÓN</t>
  </si>
  <si>
    <t>El rubro disponibilidades está compuesto por las siguientes cuentas:</t>
  </si>
  <si>
    <t>Las inversiones están registradas de acuerdo a su precio de adquisición y revaluadas al precio de valor libro de la BVPASA según cuadro se detalla la composición de los mismos</t>
  </si>
  <si>
    <t>No Registra saldo.</t>
  </si>
  <si>
    <t>Provisiones (Corto y Largo Plazo)</t>
  </si>
  <si>
    <t>No registra saldo.</t>
  </si>
  <si>
    <t>La empresa no realizó previsiones en el periodo informado</t>
  </si>
  <si>
    <t xml:space="preserve">A. PARTE VINCULADAS O RELACIONADAS </t>
  </si>
  <si>
    <t>OBS: Los cónyuges y parientes hasta el segundo grado de consanguinidad o afinidad de las personas referidas en los incisos anteriores, siempre que tengan participación en el capital de la sociedad</t>
  </si>
  <si>
    <t>A.2. Inversiones de la sociedad en valores de otras empresas que representen más del 10% del activo de la sociedad</t>
  </si>
  <si>
    <t>A.3. Activos de la sociedad comprometidos en más del 20% en garantía de obligaciones de otra u otras empresas</t>
  </si>
  <si>
    <t>A.4. Vinculación por nivel de endeudamiento</t>
  </si>
  <si>
    <t>B. SALDOS CON PARTES RELACIONADAS</t>
  </si>
  <si>
    <t>Las transacciones en el periodo fueron las siguientes:</t>
  </si>
  <si>
    <t>Sueldos y Jornales a pagar</t>
  </si>
  <si>
    <t>Administración de Cartera</t>
  </si>
  <si>
    <t>MILLENIA CAPITAL CASA DE BOLSA S. A.</t>
  </si>
  <si>
    <t>(En Guaranies)</t>
  </si>
  <si>
    <t>(En Guaraníes)</t>
  </si>
  <si>
    <t>Comis. P/Intermediación EN RUEDA</t>
  </si>
  <si>
    <t>Comis. P/Intermediación FUERA DE RUEDA</t>
  </si>
  <si>
    <t>Cuentas a Pagar a Personas y Empresas Relacionadas (Nota 5.o. y Nota 5.r. )</t>
  </si>
  <si>
    <t>Art. De limpieza y Cafetería</t>
  </si>
  <si>
    <t>Pérdidas Extraordinarias</t>
  </si>
  <si>
    <t>Ejercicio Anterior Gs.</t>
  </si>
  <si>
    <t>(Guaraníes)</t>
  </si>
  <si>
    <t>Cambio Cierre Ejercicio Anterior</t>
  </si>
  <si>
    <t>Honorarios Profesionales P. Jurídica</t>
  </si>
  <si>
    <t>FECHA</t>
  </si>
  <si>
    <t>FORMA DE CONSTITUCION</t>
  </si>
  <si>
    <t>CARACTERISTICA</t>
  </si>
  <si>
    <t>BONO BANCO CONTINENTAL</t>
  </si>
  <si>
    <t>BONO VISION BANCO</t>
  </si>
  <si>
    <t>PYCON02F7024</t>
  </si>
  <si>
    <t>PYVIS04F7345</t>
  </si>
  <si>
    <t>N° 15</t>
  </si>
  <si>
    <t>Bono Banco Continental - Garantía BVPASA</t>
  </si>
  <si>
    <t>Bono Visión Banco - Garantía BVPASA</t>
  </si>
  <si>
    <t>Transferencia A Resultados Acumulados</t>
  </si>
  <si>
    <t>Intereses Ganados bancarios</t>
  </si>
  <si>
    <t>Intereses Cobrados por Operación de Bolsa</t>
  </si>
  <si>
    <t>IVA a pagar</t>
  </si>
  <si>
    <t>Pasajes al Exterior</t>
  </si>
  <si>
    <t>Papelería y Útiles de Oficina</t>
  </si>
  <si>
    <t>Total Otros Gastos de Administración</t>
  </si>
  <si>
    <t>Federico Daniel Montossi Pérez</t>
  </si>
  <si>
    <t>Acción de la BVPASA</t>
  </si>
  <si>
    <t xml:space="preserve">B.V.P.A.S.A. Garantía de Casa  </t>
  </si>
  <si>
    <t xml:space="preserve">La Sociedad tiene por objeto principal: </t>
  </si>
  <si>
    <t xml:space="preserve">a) Comprar y vender valores por cuenta de terceros y también por cuenta propia, con recursos de terceros o propios, en una bolsa de valores o fuera de ella. </t>
  </si>
  <si>
    <t xml:space="preserve">b) Presentar asesoría en materia de valores y operaciones de bolsa así como brindar a sus clientes un sistema de información y procesamiento de datos. </t>
  </si>
  <si>
    <t xml:space="preserve">c) Suscribir transitoriamente, con recursos propios, parte o la totalidad de emisiones primaria de valores. </t>
  </si>
  <si>
    <t xml:space="preserve">d) Promover el lanzamiento de emisiones de valores públicos y privados y facilitar su colocación. </t>
  </si>
  <si>
    <t xml:space="preserve">e) Actuar como representante de los obligacionistas. </t>
  </si>
  <si>
    <t>f) Prestar servicios de administración de carteras y custodia de valores.</t>
  </si>
  <si>
    <t>g) Llevar el registro contable de valores de sus clientes con sujeción a lo establecido en la Ley de Mercado de Valores o en las reglamentaciones que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</si>
  <si>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</si>
  <si>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</si>
  <si>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 xml:space="preserve">1.           CONSIDERACIÓN DE LOS ESTADOS CONTABLES </t>
  </si>
  <si>
    <t xml:space="preserve">2.           INFORMACIÓN DE LA EMPRESA </t>
  </si>
  <si>
    <t xml:space="preserve">MILLENIA CAPITAL CASA DE BOLSA SOCIEDAD ANÓNIMA fue constituida por Escritura Pública Nº 74 de fecha 05 de junio de 2014, pasada ante el Notario y Escribano Público </t>
  </si>
  <si>
    <t xml:space="preserve">de fecha 02 de septiembre de 2014 y en la Dirección de General de los Registros Públicos, Registro Público de Comercio, anotado bajo el Nº 618, Serie “A”, folio 9891 de fecha 12 de noviembre de 2014. </t>
  </si>
  <si>
    <t xml:space="preserve">2.1 </t>
  </si>
  <si>
    <t>PARTICIPACIÓN EN OTRAS EMPRESAS</t>
  </si>
  <si>
    <t xml:space="preserve">3.1 </t>
  </si>
  <si>
    <t>BASE DE PREPARACIÓN DE LOS ESTADOS CONTABLES</t>
  </si>
  <si>
    <t xml:space="preserve">3.2 </t>
  </si>
  <si>
    <t>CRITERIOS DE VALUACIÓN</t>
  </si>
  <si>
    <t>La empresa no realiza previsiones, en el caso de constituirlas, las previsiones por incobrables se realizarán de acuerdo a la antigüedad de saldos de las cuentas deudoras, según políticas administrativas de la empresa y criterios establecidos en la ley.</t>
  </si>
  <si>
    <t xml:space="preserve">3.4 </t>
  </si>
  <si>
    <t>POLÍTICA DE DEPRECIACIÓN</t>
  </si>
  <si>
    <t xml:space="preserve">3.5 </t>
  </si>
  <si>
    <t>POLÍTICA DE RECONOCIMIENTO DE INGRESO</t>
  </si>
  <si>
    <t>Los ingresos generados durante el periodo son registrados como ingresos en función a su devengamiento, independientemente a su realización.</t>
  </si>
  <si>
    <t>3.6</t>
  </si>
  <si>
    <t>DEFINICIÓN DE FONDOS</t>
  </si>
  <si>
    <t>Para la elaboración del Estado de Flujo de efectivo, fue utilizado el método directo con la clasificación de flujo de Efectivo por actividades operativas, de inversión y de financiamiento.</t>
  </si>
  <si>
    <t xml:space="preserve">4. </t>
  </si>
  <si>
    <t>CAMBIOS DE POLÍTICAS Y PROCEDIMIENTOS DE CONTABILIDAD</t>
  </si>
  <si>
    <t>No se registraron cambios en los criterios de valuación con relación al año anterior, manteniéndose uniformes con el periodo comparado.</t>
  </si>
  <si>
    <t>j) Efectuar todas las operaciones y servicios que sean compatibles con la actividad de intermediación en el mercado de valores y que previamente y por reglas de carácter general autorice la Comisión Nacional de Valores</t>
  </si>
  <si>
    <t xml:space="preserve"> y la Bolsa de Valores que integra.</t>
  </si>
  <si>
    <t>k) La Sociedad fija su domicilio en la ciudad de Asunción, República del Paraguay, pudiendo establecer agencias, sucursales, oficinas, filiales y representaciones en la misma ciudad o en otras ciudades o localidades en el país</t>
  </si>
  <si>
    <t xml:space="preserve"> y en el extranjero, previa comunicación a la Comisión Nacional de Valores u otra autoridad competente.</t>
  </si>
  <si>
    <t>l) La Sociedad tendrá una duración de 99 años, contados a partir de la fecha de su inscripción en el Registro de Personas Jurídicas y Asociaciones, plazo que podrá ser extendido o reducido por disposición de una Asamblea</t>
  </si>
  <si>
    <t>General Extraordinaria de Accionistas, previa conformidad de la Comisión Nacional de Valores.</t>
  </si>
  <si>
    <t xml:space="preserve">Los presentes estados contables han sido preparados sobre la base de cifras históricas, sin considerar el efecto que las variaciones en el poder adquisitivo de la moneda local </t>
  </si>
  <si>
    <t xml:space="preserve">pueda tener en los rubros no monetarios que componen dichos estados, debido a que la corrección monetaria no constituye un principio de contabilidad de aceptación generalizada en el </t>
  </si>
  <si>
    <t>Paraguay, excepto los rubros en moneda extranjera que son ajustados al tipo de cambio de cierre.</t>
  </si>
  <si>
    <t>3.3</t>
  </si>
  <si>
    <t>POLÍTICA DE CONSTITUCIÓN DE PREVISIONES</t>
  </si>
  <si>
    <t>3.           PRINCIPALES POLÍTICAS Y PROCEDIMIENTOS CONTABLES</t>
  </si>
  <si>
    <t xml:space="preserve">Los presentes estados contables han sido preparados sobre la base de cifras históricas sin considerar el efecto que las variaciones en el poder adquisitivo de la moneda local que pudieran tener sobre los mismos, </t>
  </si>
  <si>
    <t>6.  INFORMACIÓN REFERENTE A CONTINGENCIA Y COMPROMISOS.</t>
  </si>
  <si>
    <t>a) Compromisos directos</t>
  </si>
  <si>
    <t>La empresa no cuenta con garantías otorgadas que impliquen activos comprometidos a la fecha de cierre de los estados contables.</t>
  </si>
  <si>
    <t>b) Contingencias legales</t>
  </si>
  <si>
    <t>La empresa no cuenta con contingencias legales a la fecha de cierre de los estados contables.</t>
  </si>
  <si>
    <t>c) Garantías constituidas</t>
  </si>
  <si>
    <t>Para dar cumplimiento a lo previsto en los artículos 96 y 97 de la ley 5.810/2017, la garantía fue constituida mediante Bonos según detalle:</t>
  </si>
  <si>
    <t>7.  HECHOS POSTERIORES AL CIERRE DEL EJERCICIO.</t>
  </si>
  <si>
    <t>8. LIMITACIÓN A LA LIBRE DISPONIBILIDAD DE LOS ACTIVOS O DEL PATRIMONIO Y CUALQUIER RESTRICCIÓN AL DERECHO DE PROPIEDAD.</t>
  </si>
  <si>
    <t>La empresa tiene la libre disponibilidad de todos sus bienes, no registrándose ninguna limitación del sobre sus activos. No fueron constituidas ni prendas ni hipotecas.</t>
  </si>
  <si>
    <t>No se registraron cambios en la aplicación de principios contables y/o en estimaciones contables, manteniéndose uniforme con relación al periodo anterior.</t>
  </si>
  <si>
    <t>No se cuenta con hechos, o restricciones legales, reglamentarias, contractuales o de otra índole para la distribución de utilidades.</t>
  </si>
  <si>
    <t>A la fecha del informe no existen sanciones a la empresa o a sus Directores.</t>
  </si>
  <si>
    <t>9. CAMBIOS CONTABLES.</t>
  </si>
  <si>
    <t>10. RESTRICCIONES PARA DISTRIBUCIÓN DE UTILIDADES.</t>
  </si>
  <si>
    <t>11. SANCIONES.</t>
  </si>
  <si>
    <t>Información sobre el Documento y Emisor</t>
  </si>
  <si>
    <t>Otros Gastos de Administración</t>
  </si>
  <si>
    <t>inherentes a la actividad de Intermediación.</t>
  </si>
  <si>
    <t>sobre coyuntura , mercado financiero, estructuración y planeamiento financiero.</t>
  </si>
  <si>
    <t>Registro CNV</t>
  </si>
  <si>
    <t>Código Bolsa</t>
  </si>
  <si>
    <t>Domicilio oficina principal</t>
  </si>
  <si>
    <t>Sitio Página Web</t>
  </si>
  <si>
    <t>Domicilio legal</t>
  </si>
  <si>
    <t>Escritura N°</t>
  </si>
  <si>
    <t>Representante Legal</t>
  </si>
  <si>
    <t>BAKER TILLY PARAGUAY</t>
  </si>
  <si>
    <t>51.300,00 USD</t>
  </si>
  <si>
    <t>60.463,30 USD</t>
  </si>
  <si>
    <t>Por Intermediación de Acciones en Rueda</t>
  </si>
  <si>
    <t>Por Intermediación de Renta fija en Rueda (Nota 5.v.)</t>
  </si>
  <si>
    <t>Por Intermediación de acciones en Rueda 0 0</t>
  </si>
  <si>
    <t>Por intermediación de Renta fija en Rueda (Nota 5.v.)</t>
  </si>
  <si>
    <t>Comisiones por Contratos De Colocación Primaria</t>
  </si>
  <si>
    <t>Comisiones por Contratos de Colocación Primaria de acciones</t>
  </si>
  <si>
    <t>Comisiones por contratos de Colocación primaria de Renta fija</t>
  </si>
  <si>
    <t>Ingresos por Administración De Cartera (Nota 5.v.)</t>
  </si>
  <si>
    <t>Ingresos por Asesoría Financiera (Nota 5.v.)</t>
  </si>
  <si>
    <t>Ingresos por venta de Cartera Propia</t>
  </si>
  <si>
    <t>Ingresos por Venta de Cartera Propia a personas y empresas Relacionadas</t>
  </si>
  <si>
    <t>Ingresos por operaciones y servicios a personas Relacionadas (Nota 5.s. y 5.v.)</t>
  </si>
  <si>
    <t>Ingresos por operaciones y servicios extrabursátiles (Nota 5.v.)</t>
  </si>
  <si>
    <t>Total Ingresos Operativos</t>
  </si>
  <si>
    <t>Aranceles por Negociación Bolsa de Valores</t>
  </si>
  <si>
    <t>Gastos De Comercialización</t>
  </si>
  <si>
    <t>Otros gastos De Comercialización (Nota 5.w.)</t>
  </si>
  <si>
    <t>Gastos De Administración</t>
  </si>
  <si>
    <t>Previsión, amortización y depreciaciones</t>
  </si>
  <si>
    <t>Mantenimientos</t>
  </si>
  <si>
    <t>Otros Gastos de Administración (Nota 5.w.)</t>
  </si>
  <si>
    <t>Teléfono</t>
  </si>
  <si>
    <t>Francisco B. Gangoiti</t>
  </si>
  <si>
    <t>TIPO DE CAMBIO EJERCICIO ACTUAL</t>
  </si>
  <si>
    <t>TIPO DE CAMBIO EJERCICIO ANTERIOR</t>
  </si>
  <si>
    <t>MONTO AJUSTADO EJERCICIO ACTUAL GS.</t>
  </si>
  <si>
    <t>MONTO AJUSTADO EJERCICIO ANTERIOR GS.</t>
  </si>
  <si>
    <t>Inversiones Temporarias</t>
  </si>
  <si>
    <t>Títulos de Renta Fija</t>
  </si>
  <si>
    <t>Total Inversiones a Largo Plazo</t>
  </si>
  <si>
    <t>Total Bonos en Garantía BVPASA</t>
  </si>
  <si>
    <t>Bono Rieder &amp; Cía. Serie PYRIE10F8552</t>
  </si>
  <si>
    <t>Bono Rieder &amp; Cía. Serie PYRIE11F8577</t>
  </si>
  <si>
    <t>Total Bonos Rieder &amp; Cía.</t>
  </si>
  <si>
    <t>Total Títulos de Renta Fija</t>
  </si>
  <si>
    <t>Total Acción de la Bolsa de Valores</t>
  </si>
  <si>
    <t>Muebles y Equipos</t>
  </si>
  <si>
    <t>Ingresos Por Venta De Inversiones</t>
  </si>
  <si>
    <t xml:space="preserve">Las 11 notas que se acompañan forman parte integrante de los Estados Financieros </t>
  </si>
  <si>
    <t>Capital Emitido G. 10.000.000.000.-</t>
  </si>
  <si>
    <t>Capital Integrado G. 2.970.000.000.-</t>
  </si>
  <si>
    <t xml:space="preserve">En fecha 19/08/2021 según Asamblea Extraordinaria N° 17, se fija el aumento del capital social hasta la suma de Guaraníes diez mil millones (Gs. 10.000.000.000) </t>
  </si>
  <si>
    <t>y en Asamblea Ordinaria N° 18 se resuelve emitir 740 acciones de Gs. 10.000.000 cada una, totalizando así Guaraníes siete mil cuatrocientos millones (Gs. 7.400.000.000).</t>
  </si>
  <si>
    <t xml:space="preserve">En fecha 26/08/2021 según Acta de Directorio N° 59 se suscriben e integran 37 acciones nominativas equivalentes a trescientos setenta millones de Guaraníes (Gs. 370.000.000) </t>
  </si>
  <si>
    <t>de modo a que el capital integrado quede representado por Guaraníes dos mil novecientos setenta millones (Gs. 2.970.000.000) con acciones nominativas ordinarias.</t>
  </si>
  <si>
    <t>Acreedores US$</t>
  </si>
  <si>
    <t>Dep. de Clientes para Negociaciones US$</t>
  </si>
  <si>
    <t>Cuentas a Pagar a Personas y Empresas Relacionadas US$</t>
  </si>
  <si>
    <t>m) El Capital Social Emitido se fija en la cantidad de Gs. 10.000.000.000 (guaraníes Diez mil millones) representado por 1.000 (Mil) acciones nominativas ordinarias de valor nominal de Gs. 10.000.000</t>
  </si>
  <si>
    <t xml:space="preserve"> (guaraníes diez millones) cada una, según Acta de Asamblea N° 17 de fecha 19/08/2021.</t>
  </si>
  <si>
    <t>La empresa Millenia Capital Casa de Bolsa S.A., al cierre del periodo considerado cuenta con participación en la Bolsa de Valores y Productos de Asunción S.A., de acuerdo a lo establecido en la Ley 5810/17</t>
  </si>
  <si>
    <t>de Mercado de Valores y la RES CNV CG N° 30/21</t>
  </si>
  <si>
    <t xml:space="preserve">José María Livieres Guggiari. Sus Estatutos Sociales y su Personería Jurídica fueron inscriptos en la Dirección General de los Registros Públicos, Sección Personas Jurídicas y Asociaciones bajo el Nº 769, folio 8990, Serie “C”, </t>
  </si>
  <si>
    <t>Aranceles a Pagar a la BVA</t>
  </si>
  <si>
    <t>Plana Ejecutiva</t>
  </si>
  <si>
    <t>Inversiones Permanentes - Bco Do Brasil</t>
  </si>
  <si>
    <t>Inversiones Permanentes - Ishares</t>
  </si>
  <si>
    <t>MBB Consultores</t>
  </si>
  <si>
    <t>Auditor Interno</t>
  </si>
  <si>
    <t>Los montos de los demás bancos son de clearing.</t>
  </si>
  <si>
    <t>Capital Suscripto G. 2.970.000.000-</t>
  </si>
  <si>
    <t>n) El Capital Social Suscripto e integrado  queda en Gs. 2.970.000.000  según Acta de Asamblea N° 18 de fecha 19/08/2021 y según Acta de Directorio N° 59 de fecha 26/08/2021</t>
  </si>
  <si>
    <t>b) POSICION EN MONEDA EXTRANJERA</t>
  </si>
  <si>
    <t>c) DIFERENCIA DE CAMBIO EN MONEDA EXTRANJERA</t>
  </si>
  <si>
    <t>d) DISPONIBILIDADES</t>
  </si>
  <si>
    <t>e) INVERSIONES TEMPORARIAS E INVERSIONES PERMANENTES</t>
  </si>
  <si>
    <t>f) CREDITOS</t>
  </si>
  <si>
    <t>g) BIENES DE USO</t>
  </si>
  <si>
    <t>l) DOCUMENTOS Y CUENTAS POR PAGAR (CORTO Y LARGO PLAZO)</t>
  </si>
  <si>
    <t>l.1) ACREEDORES VARIOS</t>
  </si>
  <si>
    <t>l.2) PROVISIONES</t>
  </si>
  <si>
    <t>m) ACREEDORES POR INTERMEDIACION (CORTO Y LARGO PLAZO)</t>
  </si>
  <si>
    <t>N) ADMINISTRACION DE CARTERA (CORTO Y LARGO PLAZO)</t>
  </si>
  <si>
    <t>o) CUENTAS A PAGAR A PERSONAS Y EMPRESAS RELACIONADAS (CORTO Y LARGO PLAZO)</t>
  </si>
  <si>
    <t>p) OBLIGAC.POR CONTRATO DE UNDERWRITING (CORTO Y LARGO PLAZO)</t>
  </si>
  <si>
    <t>Q) OTROS PASIVOS CORRIENTES Y NO CORRIENTES</t>
  </si>
  <si>
    <t>r) SALDOS Y TRANSACCIONES CON PERSONAS Y EMPRESAS RELACIONADAS (CORRIENTE Y NO CORRIENTE)</t>
  </si>
  <si>
    <t>s ) RESULTADO CON PERSONAS Y EMPRESAS VINCULADAS</t>
  </si>
  <si>
    <t>t ) PATRIMONIO</t>
  </si>
  <si>
    <t>u) PREVISIONES</t>
  </si>
  <si>
    <t>v) INGRESOS OPERATIVOS</t>
  </si>
  <si>
    <t>w ) OTROS GASTOS OPERATIVOS, DE COMERCIALIZACIÓN Y DE ADMINISTRACIÓN</t>
  </si>
  <si>
    <t>x ) OTROS INGRESOS Y EGRESOS</t>
  </si>
  <si>
    <t>y) RESULTADOS FINANCIEROS</t>
  </si>
  <si>
    <t>z) RESULTADOS EXTRAORDINARIOS</t>
  </si>
  <si>
    <t>i) INTANGIBLES</t>
  </si>
  <si>
    <t>j) OTROS ACTIVOS CORRIENTES Y NO CORRIENTES</t>
  </si>
  <si>
    <t>k) PRÉSTAMOS FINANCIEROS A CORTO Y LARGO PLAZO</t>
  </si>
  <si>
    <t>% de participación Juan José Moratorio</t>
  </si>
  <si>
    <t>Administradora de Consorcios S.A.</t>
  </si>
  <si>
    <t>Escala Desarrollo S.A.</t>
  </si>
  <si>
    <t>Espacio Corporativo S.A.</t>
  </si>
  <si>
    <t>Ganadera PGF S.A.</t>
  </si>
  <si>
    <t>Inversora latinoamericana S.A.</t>
  </si>
  <si>
    <t>Develop Agribusiness Paraguay S.A.</t>
  </si>
  <si>
    <t>% de participación Federico Montossi</t>
  </si>
  <si>
    <t>a) a las personas con derecho a voto que controlen al menos 10% (diez por ciento) del capital de las mismas;</t>
  </si>
  <si>
    <t>b)  a las sociedades anónimas en las que estas controlen por lo menos el 10% ( diez por ciento) del capital</t>
  </si>
  <si>
    <t>c) a sus accionistas que tengan potestades de elegir en asambleas al menos un director; y</t>
  </si>
  <si>
    <t>d) a sus directores , administradores, síndicos, auditores internos y apoderados</t>
  </si>
  <si>
    <t>N° 74</t>
  </si>
  <si>
    <t>Inscripción en el Registro Público de Comercio</t>
  </si>
  <si>
    <t>N° 618, Serie “A” , Folio 9891</t>
  </si>
  <si>
    <t>REFORMA DE ESTATUTOS</t>
  </si>
  <si>
    <t>N° 92</t>
  </si>
  <si>
    <t>02 de marzo de 2020</t>
  </si>
  <si>
    <t>N° 1, Serie "Comercial", Folio 1 A 7</t>
  </si>
  <si>
    <t>N° 8</t>
  </si>
  <si>
    <t>25 de marzo de 2021</t>
  </si>
  <si>
    <t>N° 2, Serie "Comercial", Folio 8</t>
  </si>
  <si>
    <t>N° 30</t>
  </si>
  <si>
    <t>15 de setiembre de 2021</t>
  </si>
  <si>
    <t>N° 3, Serie "Comercial", Folio 19</t>
  </si>
  <si>
    <t>Duomo S.A.</t>
  </si>
  <si>
    <t>Inversora Latinoamericana S.A.</t>
  </si>
  <si>
    <t>Comisión por Corretaje</t>
  </si>
  <si>
    <t>Ingresos por Asesoría Financiera</t>
  </si>
  <si>
    <t>Espacio Corporativo S.A</t>
  </si>
  <si>
    <t>Espacio Paraguay S.A.</t>
  </si>
  <si>
    <t>Pago por Honorarios Profesionales y Remuneración Personal Superior</t>
  </si>
  <si>
    <t>Asesoramiento</t>
  </si>
  <si>
    <t>Cuentas por pagar a personas y empresas relacionadas</t>
  </si>
  <si>
    <t>Accionista en común</t>
  </si>
  <si>
    <t>BONO DEL EXTERIOR</t>
  </si>
  <si>
    <t>Comisiones por Corretaje</t>
  </si>
  <si>
    <t>Los activos fijos de la Compañía adquiridos fueron registrados a su costo de adquisición.</t>
  </si>
  <si>
    <t>La cuota de depreciación por degaste, deterioro u obsolescencia se aplica sobre el valor del activo fijo de acuerdo a los años de vida útil menos el porcentaje del valor residual. El valor residual es aquel que resulta de someter el costo de origen para las altas al porcentaje indicado en el artículo 31° del Decreto N° 3182/19 dependiendo de la clasificación de los bienes. La misma se realiza a partir del año siguiente en el que se adquirieron los bienes.</t>
  </si>
  <si>
    <t>del Paraguay y si éste alcanza al menos el 20%, donde deberá emitir los coeficientes a aplicar, tal situación no se da en el presente ejercicio. El valor neto del incremento del revalúo es acreditado a la Reserva de Revalúo del Patrimonio Neto.</t>
  </si>
  <si>
    <t xml:space="preserve">A partir de la entrada en vigencia de la Ley N° 6380/19 los bienes son revaluados si el Poder Ejecutivo así lo considera, tomando como base la variación del Índice de Precios del Consumidor determinado por el Banco Central del </t>
  </si>
  <si>
    <t>Créditos (Nota 5 f y 5r)</t>
  </si>
  <si>
    <t>Deudores varios (Nota 5.f.)</t>
  </si>
  <si>
    <t>Cuentas por cobrar a personas y empresas (Nota 5.r.)</t>
  </si>
  <si>
    <t>Otros activos (Nota 5j)</t>
  </si>
  <si>
    <t>VER ANEXO A</t>
  </si>
  <si>
    <t>Remuneración Personal Superior</t>
  </si>
  <si>
    <t>Inversiones Permanentes - Gp Investment</t>
  </si>
  <si>
    <t>Bono Banco Continental</t>
  </si>
  <si>
    <t>Inversiones Permanentes - GP Investiment</t>
  </si>
  <si>
    <t>Saldo al Cierre Ejercicio Anterior</t>
  </si>
  <si>
    <t>Gastos de Capacitación en el Mercado de Valores</t>
  </si>
  <si>
    <t>EUR</t>
  </si>
  <si>
    <t>Dep. de Clientes para Negociaciones EUR</t>
  </si>
  <si>
    <t>CANTIDAD M/E</t>
  </si>
  <si>
    <t>Enseres Varios</t>
  </si>
  <si>
    <t>Sub Totales USD</t>
  </si>
  <si>
    <t>Sub Totales EUR</t>
  </si>
  <si>
    <t>PASIVOS CORRIENTES USD</t>
  </si>
  <si>
    <t>PASIVOS CORRIENTES EUR</t>
  </si>
  <si>
    <t>TOTAL PASIVO USD</t>
  </si>
  <si>
    <t>TOTAL PASIVO EUR</t>
  </si>
  <si>
    <t xml:space="preserve">TOTAL PASIVO </t>
  </si>
  <si>
    <t>ACTIVOS NO CORRIENTES</t>
  </si>
  <si>
    <t>RECAUDACIONES A DEPOSITAR</t>
  </si>
  <si>
    <t>BANCOS</t>
  </si>
  <si>
    <t>BANCOS USD</t>
  </si>
  <si>
    <t>BANCOS EUR</t>
  </si>
  <si>
    <t>Ejercicio Anterior</t>
  </si>
  <si>
    <t>Ejercicio Anterior G.</t>
  </si>
  <si>
    <t xml:space="preserve">ANEXO A -INFORME SOBRE PERSONAS VINCULADAS O RELACIONADAS </t>
  </si>
  <si>
    <t>Total Periodo Anterior G.</t>
  </si>
  <si>
    <t>Lancaster S.A.</t>
  </si>
  <si>
    <t>Ganadera Pinasco S.A.</t>
  </si>
  <si>
    <t>Los montos de los Bancos GNB son de clearing y administración.</t>
  </si>
  <si>
    <t>Gastos de Encomiendas y Envíos</t>
  </si>
  <si>
    <t>TOTAL ACTIVO USD</t>
  </si>
  <si>
    <t>TOTAL ACTIVO EUR</t>
  </si>
  <si>
    <t>Anticipo de Imp. a la Renta</t>
  </si>
  <si>
    <t>Honorarios Profesionales, Sueldos y Aguinaldos</t>
  </si>
  <si>
    <t>Ingresos por Custodia de Valores (Nota 5.v.)</t>
  </si>
  <si>
    <t>Gastos de Internet</t>
  </si>
  <si>
    <t>Honorarios Profesionales , Sueldos y Aguinaldos</t>
  </si>
  <si>
    <t>Gastos a Reponer</t>
  </si>
  <si>
    <t>Honorarios Profesionales, Sueldos y Aguinaldos, Gastos a reponer</t>
  </si>
  <si>
    <t>INFORMACION AL 31 DE DICIEMBRE DE 2022</t>
  </si>
  <si>
    <t>BALANCE GENERAL AL 31 DE DICIEMBRE DE 2022 PRESENTADO EN FORMA COMPARATIVO CON EL EJERCICIO ANTERIOR CERRADO AL 31 DE DICIEMBRE DE 2021</t>
  </si>
  <si>
    <t>ESTADO DE RESULTADOS CORRESPONDIENTE AL 31 DE DICIEMBRE DE 2022 PRESENTADO EN FORMA COMPARATIVA CON EL 31 DE DICIEMBRE DE 2021</t>
  </si>
  <si>
    <t>CORRESPONDIENTE AL 31 DE DICIEMBRE DE 2022 PRESENTADO EN FORMA COMPARATIVA CON EL 31 DE DICIEMBRE DE 2021</t>
  </si>
  <si>
    <t xml:space="preserve">no expresándose la moneda al 31 de diciembre de 2022, como además los saldos de igual fecha del ejercicio anterior, a excepción de los bienes de uso conforme a la nota 3.2 </t>
  </si>
  <si>
    <t>La moneda extranjera, Dólar fue registrada de acuerdo al tipo de cambio publicado por la Sub Secretaria de Estado de Tributación al 31-12-2022. Tipo de cambio comprador Gs 7.322,90- para saldos de cuentas del activo y Tipo de cambio vendedor Gs. 7.339,62 - para saldo de cuentas pasivas.</t>
  </si>
  <si>
    <t>Ejercicio Actual Gs.</t>
  </si>
  <si>
    <t>La composición del rubro al 31 de diciembre de 2022 comparativo con el 31 de diciembre de 2021 es como sigue:</t>
  </si>
  <si>
    <t xml:space="preserve">El saldo al 30 de diciembre de 2022 de cuentas y provisiones a pagar se detalla en el siguiente cuadro: </t>
  </si>
  <si>
    <t>Gastos de Eventos y Obsequios al personal</t>
  </si>
  <si>
    <t>Al 31/12/2022 y al 31/12/2021</t>
  </si>
  <si>
    <t>Ejercicio Actual G.</t>
  </si>
  <si>
    <t>NOTAS A LOS ESTADOS CONTABLES AL 31 DE DICIEMBRE DE 2022</t>
  </si>
  <si>
    <t>Información sobre el Emisor al 31/12/2022</t>
  </si>
  <si>
    <t>Correspondiente al 31 de diciembre de 2022</t>
  </si>
  <si>
    <t>EJERCICIO ACTUAL</t>
  </si>
  <si>
    <t>Inversiones Permanentes - Banco Santander</t>
  </si>
  <si>
    <t>Inversiones Permanentes - Arcos Dorados</t>
  </si>
  <si>
    <t>Garantía de Alquiler</t>
  </si>
  <si>
    <t>NUMERO DE ACCIONES</t>
  </si>
  <si>
    <t>1 AL 252</t>
  </si>
  <si>
    <t>253 AL 282</t>
  </si>
  <si>
    <t>283 AL 297</t>
  </si>
  <si>
    <t>Los Estados contables fueron preparados de acuerdo a normas, reglamentaciones e instrucciones emitidas por la Comisión Nacional de Valores y con Normas de Información Financiera (NIF) emitidas por el Consejo de Contadores Públicos del Paraguay.</t>
  </si>
  <si>
    <t>Los Estados Financieros correspondientes al 31 de Diciembre del 2022 han sido aprobados para la remisión a la Comisión Nacional de Valores según Acta de Asamblea Nº 20 de fecha 09 de febrero de 2023</t>
  </si>
  <si>
    <r>
      <t>a)  </t>
    </r>
    <r>
      <rPr>
        <b/>
        <u/>
        <sz val="11"/>
        <rFont val="Calibri"/>
        <family val="2"/>
        <scheme val="minor"/>
      </rPr>
      <t>VALUACIÓN EN MONEDA EXTRANJERA</t>
    </r>
  </si>
  <si>
    <t>h)  CARGOS DIFERIDOS</t>
  </si>
  <si>
    <r>
      <t xml:space="preserve">Ingresos Operativos: </t>
    </r>
    <r>
      <rPr>
        <sz val="11"/>
        <rFont val="Calibri"/>
        <family val="2"/>
        <scheme val="minor"/>
      </rPr>
      <t>Agrupa las cuentas divisionarias que acumulan ingresos por comisiones y servicios</t>
    </r>
  </si>
  <si>
    <r>
      <rPr>
        <b/>
        <sz val="11"/>
        <rFont val="Calibri"/>
        <family val="2"/>
        <scheme val="minor"/>
      </rPr>
      <t xml:space="preserve">Ingresos por Asesoría Financiera: </t>
    </r>
    <r>
      <rPr>
        <sz val="11"/>
        <rFont val="Calibri"/>
        <family val="2"/>
        <scheme val="minor"/>
      </rPr>
      <t>Surge por facturaciones realizadas a los clientes por Asesoramiento</t>
    </r>
  </si>
  <si>
    <r>
      <t xml:space="preserve">A.1 Según Art. 34 de la ley de Mercado de Valores </t>
    </r>
    <r>
      <rPr>
        <u/>
        <sz val="11"/>
        <color rgb="FF000000"/>
        <rFont val="Calibri"/>
        <family val="2"/>
        <scheme val="minor"/>
      </rPr>
      <t xml:space="preserve">(indicar nombres de las partes) </t>
    </r>
  </si>
  <si>
    <r>
      <t xml:space="preserve">Firma del representante legal de la entidad fiscalizada y aclaración:   </t>
    </r>
    <r>
      <rPr>
        <sz val="11"/>
        <color rgb="FF000000"/>
        <rFont val="Calibri"/>
        <family val="2"/>
        <scheme val="minor"/>
      </rPr>
      <t>………………………...………</t>
    </r>
  </si>
  <si>
    <t>EJERCICIO</t>
  </si>
  <si>
    <t>Saldo Ejercicio Actual</t>
  </si>
  <si>
    <t>Ganancias por Valuación De Activos Monetarios en moneda Extranjera</t>
  </si>
  <si>
    <t>Ganancias por Valuación de Pasivos Monetarios en moneda Extranjera</t>
  </si>
  <si>
    <t>Perdidas por Valuación de Activos Monetarios en moneda Extranjera</t>
  </si>
  <si>
    <t>Total Ejercicio Actual G.</t>
  </si>
  <si>
    <t>Cuentas por cobrar a personas y empresas relacionadas</t>
  </si>
  <si>
    <t>Ganadera Peñasco S.A.</t>
  </si>
  <si>
    <t>Domo S.A.</t>
  </si>
  <si>
    <t>Juan José Moratorio Amelotti</t>
  </si>
  <si>
    <t>Dismor Logística Regional S.A.</t>
  </si>
  <si>
    <t>c) Juan José Moratorio Amelotti: Presidente, Nicolás Broch: Vice-Presidente</t>
  </si>
  <si>
    <t>d) Juan José Moratorio: Presidente, Nicolás Broch Vice-Presidente, Federico Montossi Director; Francisco Gangoiti: Sindico; MBB Consultores: Auditor Interno.</t>
  </si>
  <si>
    <t>Reg. CNV Nº AE 053</t>
  </si>
  <si>
    <t>Obligac. por Contratos de Underwiting (Nota 5.p.)</t>
  </si>
  <si>
    <t>Obligac. por Administración de cartera (Nota 5.n.)</t>
  </si>
  <si>
    <t>Interés a Cobrar</t>
  </si>
  <si>
    <t>Obligac. por Contratos de Underwiting</t>
  </si>
  <si>
    <t>Oblig. Por Administración De Cartera</t>
  </si>
  <si>
    <t>Revalúo de Inversiones</t>
  </si>
  <si>
    <t>DETALLE</t>
  </si>
  <si>
    <t>Inversiones Permanentes - Bco. Do Brasil</t>
  </si>
  <si>
    <t>Ingresos por operaciones y servicios extrabursátiles</t>
  </si>
  <si>
    <t>Saldo Ejercicio Actual G.</t>
  </si>
  <si>
    <t>No han ocurrido circunstancias con posterioridad al 31 de diciembre de 2022, cuya significatividad amerite su adecuada revelación en los estados contables.</t>
  </si>
  <si>
    <t>Cambio Cierre Ejercicio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</si>
</sst>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 #,##0_ ;_ * \-#,##0_ ;_ * &quot;-&quot;_ ;_ @_ "/>
    <numFmt numFmtId="43" formatCode="_ * #,##0.00_ ;_ * \-#,##0.00_ ;_ * &quot;-&quot;??_ ;_ @_ "/>
    <numFmt numFmtId="164" formatCode="_(* #,##0.00_);_(* \(#,##0.00\);_(* &quot;-&quot;??_);_(@_)"/>
    <numFmt numFmtId="165" formatCode="_-* #,##0.00\ _P_t_s_-;\-* #,##0.00\ _P_t_s_-;_-* \-??\ _P_t_s_-;_-@_-"/>
    <numFmt numFmtId="166" formatCode="#,##0;[Red]#,##0"/>
    <numFmt numFmtId="167" formatCode="_(* #,##0_);_(* \(#,##0\);_(* \-??_);_(@_)"/>
    <numFmt numFmtId="168" formatCode="_(* #,##0_);_(* \(#,##0\);_(* \-_);_(@_)"/>
    <numFmt numFmtId="169" formatCode="#,##0;\(#,##0\)"/>
    <numFmt numFmtId="170" formatCode="_-* #,##0\ _P_t_s_-;\-* #,##0\ _P_t_s_-;_-* \-??\ _P_t_s_-;_-@_-"/>
    <numFmt numFmtId="171" formatCode="#,##0;[Black]\(#,##0\)"/>
    <numFmt numFmtId="172" formatCode="_(* #,##0.00_);_(* \(#,##0.00\);_(* \-??_);_(@_)"/>
    <numFmt numFmtId="173" formatCode="dd\.mm\.yy;@"/>
    <numFmt numFmtId="174" formatCode="_-* #,##0.00\ _P_t_s_-;\-* #,##0.00\ _P_t_s_-;_-* &quot;-&quot;??\ _P_t_s_-;_-@_-"/>
    <numFmt numFmtId="175" formatCode="_-* #,##0\ _P_t_s_-;\-* #,##0\ _P_t_s_-;_-* &quot;-&quot;??\ _P_t_s_-;_-@_-"/>
    <numFmt numFmtId="176" formatCode="0.0%"/>
    <numFmt numFmtId="177" formatCode="#,##0_ ;\-#,##0\ "/>
    <numFmt numFmtId="178" formatCode="#,"/>
    <numFmt numFmtId="179" formatCode="#,#00"/>
    <numFmt numFmtId="180" formatCode="#.##000"/>
    <numFmt numFmtId="181" formatCode="\$#,#00"/>
    <numFmt numFmtId="182" formatCode="_(* #,##0_);_(* \(#,##0\);_(* &quot;-&quot;??_);_(@_)"/>
    <numFmt numFmtId="183" formatCode="#,##0_ ;[Red]\-#,##0\ "/>
    <numFmt numFmtId="184" formatCode="dd/mm/yyyy;@"/>
    <numFmt numFmtId="185" formatCode="_(* #,##0_);_(* \(#,##0\);_(* &quot;-&quot;_);_(@_)"/>
    <numFmt numFmtId="186" formatCode="_-* #,##0.00\ _€_-;\-* #,##0.00\ _€_-;_-* &quot;-&quot;??\ _€_-;_-@_-"/>
    <numFmt numFmtId="187" formatCode="_ [$USD]\ * #,##0.00_ ;_ [$USD]\ * \-#,##0.00_ ;_ [$USD]\ * &quot;-&quot;_ ;_ @_ "/>
    <numFmt numFmtId="188" formatCode="_ [$EUR]\ * #,##0.00_ ;_ [$EUR]\ * \-#,##0.00_ ;_ [$EUR]\ * &quot;-&quot;_ ;_ @_ "/>
    <numFmt numFmtId="189" formatCode="&quot;₲&quot;\ #,##0"/>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0"/>
      <name val="Arial"/>
      <family val="2"/>
    </font>
    <font>
      <b/>
      <sz val="10"/>
      <color indexed="12"/>
      <name val="Arial"/>
      <family val="2"/>
    </font>
    <font>
      <sz val="10"/>
      <color indexed="21"/>
      <name val="Arial"/>
      <family val="2"/>
    </font>
    <font>
      <sz val="10"/>
      <color indexed="12"/>
      <name val="Arial"/>
      <family val="2"/>
    </font>
    <font>
      <b/>
      <sz val="14"/>
      <name val="Helv"/>
      <family val="2"/>
    </font>
    <font>
      <b/>
      <u/>
      <sz val="12"/>
      <name val="Helv"/>
      <family val="2"/>
    </font>
    <font>
      <sz val="12"/>
      <name val="Helv"/>
      <family val="2"/>
    </font>
    <font>
      <sz val="11"/>
      <name val="Times New Roman"/>
      <family val="1"/>
    </font>
    <font>
      <b/>
      <sz val="11"/>
      <name val="Times New Roman"/>
      <family val="1"/>
    </font>
    <font>
      <u/>
      <sz val="11"/>
      <name val="Times New Roman"/>
      <family val="1"/>
    </font>
    <font>
      <sz val="8"/>
      <name val="Arial"/>
      <family val="2"/>
    </font>
    <font>
      <sz val="11"/>
      <name val="Arial"/>
      <family val="2"/>
    </font>
    <font>
      <b/>
      <sz val="11"/>
      <name val="Arial"/>
      <family val="2"/>
    </font>
    <font>
      <sz val="10"/>
      <name val="Arial"/>
      <family val="2"/>
    </font>
    <font>
      <b/>
      <sz val="11"/>
      <color indexed="9"/>
      <name val="Arial"/>
      <family val="2"/>
    </font>
    <font>
      <sz val="11"/>
      <color indexed="10"/>
      <name val="Arial"/>
      <family val="2"/>
    </font>
    <font>
      <b/>
      <sz val="11"/>
      <color indexed="8"/>
      <name val="Arial"/>
      <family val="2"/>
    </font>
    <font>
      <sz val="11"/>
      <color indexed="8"/>
      <name val="Arial"/>
      <family val="2"/>
    </font>
    <font>
      <b/>
      <sz val="11"/>
      <color indexed="10"/>
      <name val="Arial"/>
      <family val="2"/>
    </font>
    <font>
      <sz val="10"/>
      <color indexed="8"/>
      <name val="Arial"/>
      <family val="2"/>
    </font>
    <font>
      <b/>
      <sz val="11"/>
      <color indexed="18"/>
      <name val="Arial"/>
      <family val="2"/>
    </font>
    <font>
      <b/>
      <sz val="11"/>
      <color indexed="12"/>
      <name val="Arial"/>
      <family val="2"/>
    </font>
    <font>
      <sz val="9"/>
      <color indexed="8"/>
      <name val="Times New Roman"/>
      <family val="1"/>
    </font>
    <font>
      <sz val="11"/>
      <color indexed="9"/>
      <name val="Arial"/>
      <family val="2"/>
    </font>
    <font>
      <b/>
      <u/>
      <sz val="11"/>
      <name val="Arial"/>
      <family val="2"/>
    </font>
    <font>
      <sz val="1"/>
      <color indexed="8"/>
      <name val="Courier New"/>
      <family val="3"/>
    </font>
    <font>
      <b/>
      <sz val="1"/>
      <color indexed="8"/>
      <name val="Courier New"/>
      <family val="3"/>
    </font>
    <font>
      <sz val="11"/>
      <color indexed="8"/>
      <name val="Calibri"/>
      <family val="2"/>
    </font>
    <font>
      <sz val="11"/>
      <color indexed="10"/>
      <name val="Arial"/>
      <family val="2"/>
    </font>
    <font>
      <sz val="9"/>
      <color indexed="8"/>
      <name val="Times New Roman"/>
      <family val="1"/>
    </font>
    <font>
      <sz val="8"/>
      <name val="Calibri"/>
      <family val="2"/>
    </font>
    <font>
      <sz val="12"/>
      <name val="Arial"/>
      <family val="2"/>
    </font>
    <font>
      <sz val="11"/>
      <color theme="1"/>
      <name val="Calibri"/>
      <family val="2"/>
      <scheme val="minor"/>
    </font>
    <font>
      <b/>
      <sz val="12"/>
      <name val="Arial"/>
      <family val="2"/>
    </font>
    <font>
      <b/>
      <sz val="14"/>
      <name val="Arial"/>
      <family val="2"/>
    </font>
    <font>
      <sz val="14"/>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u/>
      <sz val="11"/>
      <color rgb="FFFF0000"/>
      <name val="Calibri"/>
      <family val="2"/>
      <scheme val="minor"/>
    </font>
    <font>
      <sz val="11"/>
      <color indexed="10"/>
      <name val="Calibri"/>
      <family val="2"/>
      <scheme val="minor"/>
    </font>
    <font>
      <b/>
      <sz val="11"/>
      <color indexed="10"/>
      <name val="Calibri"/>
      <family val="2"/>
      <scheme val="minor"/>
    </font>
    <font>
      <u/>
      <sz val="11"/>
      <color indexed="10"/>
      <name val="Calibri"/>
      <family val="2"/>
      <scheme val="minor"/>
    </font>
    <font>
      <u/>
      <sz val="11"/>
      <name val="Calibri"/>
      <family val="2"/>
      <scheme val="minor"/>
    </font>
    <font>
      <b/>
      <sz val="11"/>
      <color indexed="8"/>
      <name val="Calibri"/>
      <family val="2"/>
      <scheme val="minor"/>
    </font>
    <font>
      <b/>
      <u/>
      <sz val="11"/>
      <color indexed="8"/>
      <name val="Calibri"/>
      <family val="2"/>
      <scheme val="minor"/>
    </font>
    <font>
      <b/>
      <i/>
      <sz val="11"/>
      <color theme="3"/>
      <name val="Calibri"/>
      <family val="2"/>
      <scheme val="minor"/>
    </font>
    <font>
      <b/>
      <u/>
      <sz val="11"/>
      <color rgb="FF000000"/>
      <name val="Calibri"/>
      <family val="2"/>
      <scheme val="minor"/>
    </font>
    <font>
      <u/>
      <sz val="11"/>
      <color rgb="FF000000"/>
      <name val="Calibri"/>
      <family val="2"/>
      <scheme val="minor"/>
    </font>
  </fonts>
  <fills count="44">
    <fill>
      <patternFill patternType="none"/>
    </fill>
    <fill>
      <patternFill patternType="gray125"/>
    </fill>
    <fill>
      <patternFill patternType="solid">
        <fgColor indexed="43"/>
        <bgColor indexed="26"/>
      </patternFill>
    </fill>
    <fill>
      <patternFill patternType="solid">
        <fgColor indexed="55"/>
        <bgColor indexed="64"/>
      </patternFill>
    </fill>
    <fill>
      <patternFill patternType="solid">
        <fgColor indexed="18"/>
        <bgColor indexed="64"/>
      </patternFill>
    </fill>
    <fill>
      <patternFill patternType="solid">
        <fgColor indexed="22"/>
        <bgColor indexed="31"/>
      </patternFill>
    </fill>
    <fill>
      <patternFill patternType="solid">
        <fgColor indexed="22"/>
        <bgColor indexed="9"/>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64"/>
      </right>
      <top/>
      <bottom/>
      <diagonal/>
    </border>
    <border>
      <left/>
      <right/>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double">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8"/>
      </right>
      <top style="thin">
        <color indexed="64"/>
      </top>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right/>
      <top style="thin">
        <color indexed="64"/>
      </top>
      <bottom/>
      <diagonal/>
    </border>
    <border>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thin">
        <color indexed="64"/>
      </top>
      <bottom style="hair">
        <color indexed="8"/>
      </bottom>
      <diagonal/>
    </border>
    <border>
      <left style="thin">
        <color indexed="8"/>
      </left>
      <right/>
      <top style="hair">
        <color indexed="8"/>
      </top>
      <bottom style="hair">
        <color indexed="8"/>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right style="thin">
        <color indexed="64"/>
      </right>
      <top style="medium">
        <color indexed="64"/>
      </top>
      <bottom/>
      <diagonal/>
    </border>
    <border>
      <left style="medium">
        <color indexed="64"/>
      </left>
      <right style="thin">
        <color indexed="8"/>
      </right>
      <top/>
      <bottom style="medium">
        <color indexed="64"/>
      </bottom>
      <diagonal/>
    </border>
    <border>
      <left style="thin">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bottom style="hair">
        <color auto="1"/>
      </bottom>
      <diagonal/>
    </border>
    <border>
      <left style="medium">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bottom/>
      <diagonal/>
    </border>
    <border>
      <left style="thin">
        <color auto="1"/>
      </left>
      <right style="thin">
        <color auto="1"/>
      </right>
      <top style="medium">
        <color indexed="64"/>
      </top>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bottom style="hair">
        <color indexed="64"/>
      </bottom>
      <diagonal/>
    </border>
    <border>
      <left style="thin">
        <color indexed="8"/>
      </left>
      <right style="medium">
        <color indexed="64"/>
      </right>
      <top/>
      <bottom style="hair">
        <color indexed="64"/>
      </bottom>
      <diagonal/>
    </border>
    <border>
      <left style="thin">
        <color indexed="64"/>
      </left>
      <right/>
      <top/>
      <bottom style="hair">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right style="medium">
        <color rgb="FF000000"/>
      </right>
      <top style="medium">
        <color indexed="64"/>
      </top>
      <bottom style="medium">
        <color indexed="64"/>
      </bottom>
      <diagonal/>
    </border>
    <border>
      <left style="thin">
        <color indexed="64"/>
      </left>
      <right style="medium">
        <color indexed="64"/>
      </right>
      <top/>
      <bottom/>
      <diagonal/>
    </border>
    <border>
      <left/>
      <right style="thin">
        <color indexed="8"/>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8"/>
      </left>
      <right style="medium">
        <color indexed="64"/>
      </right>
      <top/>
      <bottom/>
      <diagonal/>
    </border>
    <border>
      <left style="thin">
        <color indexed="8"/>
      </left>
      <right style="thin">
        <color indexed="8"/>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bottom/>
      <diagonal/>
    </border>
    <border>
      <left style="thin">
        <color auto="1"/>
      </left>
      <right style="thin">
        <color auto="1"/>
      </right>
      <top/>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s>
  <cellStyleXfs count="206">
    <xf numFmtId="0" fontId="0" fillId="0" borderId="0"/>
    <xf numFmtId="4" fontId="37" fillId="0" borderId="0">
      <protection locked="0"/>
    </xf>
    <xf numFmtId="178" fontId="38" fillId="0" borderId="0">
      <protection locked="0"/>
    </xf>
    <xf numFmtId="178" fontId="38" fillId="0" borderId="0">
      <protection locked="0"/>
    </xf>
    <xf numFmtId="179" fontId="37" fillId="0" borderId="0">
      <protection locked="0"/>
    </xf>
    <xf numFmtId="180" fontId="37" fillId="0" borderId="0">
      <protection locked="0"/>
    </xf>
    <xf numFmtId="172" fontId="25" fillId="0" borderId="0" applyFill="0" applyBorder="0" applyAlignment="0" applyProtection="0"/>
    <xf numFmtId="168" fontId="25" fillId="0" borderId="0" applyFill="0" applyBorder="0" applyAlignment="0" applyProtection="0"/>
    <xf numFmtId="174" fontId="10" fillId="0" borderId="0" applyFont="0" applyFill="0" applyBorder="0" applyAlignment="0" applyProtection="0"/>
    <xf numFmtId="164" fontId="39" fillId="0" borderId="0" applyFont="0" applyFill="0" applyBorder="0" applyAlignment="0" applyProtection="0"/>
    <xf numFmtId="165" fontId="25" fillId="0" borderId="0" applyFill="0" applyBorder="0" applyAlignment="0" applyProtection="0"/>
    <xf numFmtId="181" fontId="37" fillId="0" borderId="0">
      <protection locked="0"/>
    </xf>
    <xf numFmtId="0" fontId="10" fillId="0" borderId="0"/>
    <xf numFmtId="0" fontId="44" fillId="0" borderId="0"/>
    <xf numFmtId="0" fontId="31" fillId="0" borderId="0">
      <alignment vertical="top"/>
    </xf>
    <xf numFmtId="0" fontId="25" fillId="0" borderId="0"/>
    <xf numFmtId="0" fontId="44"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37" fontId="25" fillId="0" borderId="0"/>
    <xf numFmtId="9" fontId="10" fillId="0" borderId="0" applyFill="0" applyBorder="0" applyAlignment="0" applyProtection="0"/>
    <xf numFmtId="9" fontId="25" fillId="0" borderId="0" applyFont="0" applyFill="0" applyBorder="0" applyAlignment="0" applyProtection="0"/>
    <xf numFmtId="9" fontId="25"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41" fontId="6" fillId="0" borderId="0" applyFont="0" applyFill="0" applyBorder="0" applyAlignment="0" applyProtection="0"/>
    <xf numFmtId="0" fontId="48" fillId="0" borderId="0" applyNumberFormat="0" applyFill="0" applyBorder="0" applyAlignment="0" applyProtection="0"/>
    <xf numFmtId="0" fontId="49" fillId="0" borderId="156" applyNumberFormat="0" applyFill="0" applyAlignment="0" applyProtection="0"/>
    <xf numFmtId="0" fontId="50" fillId="0" borderId="157" applyNumberFormat="0" applyFill="0" applyAlignment="0" applyProtection="0"/>
    <xf numFmtId="0" fontId="51" fillId="0" borderId="158"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159" applyNumberFormat="0" applyAlignment="0" applyProtection="0"/>
    <xf numFmtId="0" fontId="56" fillId="17" borderId="160" applyNumberFormat="0" applyAlignment="0" applyProtection="0"/>
    <xf numFmtId="0" fontId="57" fillId="17" borderId="159" applyNumberFormat="0" applyAlignment="0" applyProtection="0"/>
    <xf numFmtId="0" fontId="58" fillId="0" borderId="161" applyNumberFormat="0" applyFill="0" applyAlignment="0" applyProtection="0"/>
    <xf numFmtId="0" fontId="59" fillId="18" borderId="16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64" applyNumberFormat="0" applyFill="0" applyAlignment="0" applyProtection="0"/>
    <xf numFmtId="0" fontId="6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63" fillId="43" borderId="0" applyNumberFormat="0" applyBorder="0" applyAlignment="0" applyProtection="0"/>
    <xf numFmtId="0" fontId="5" fillId="0" borderId="0"/>
    <xf numFmtId="41" fontId="5" fillId="0" borderId="0" applyFont="0" applyFill="0" applyBorder="0" applyAlignment="0" applyProtection="0"/>
    <xf numFmtId="0" fontId="5" fillId="19" borderId="163" applyNumberFormat="0" applyFont="0" applyAlignment="0" applyProtection="0"/>
    <xf numFmtId="172" fontId="10" fillId="0" borderId="0" applyFill="0" applyBorder="0" applyAlignment="0" applyProtection="0"/>
    <xf numFmtId="168" fontId="10" fillId="0" borderId="0" applyFill="0" applyBorder="0" applyAlignment="0" applyProtection="0"/>
    <xf numFmtId="43" fontId="39" fillId="0" borderId="0" applyFont="0" applyFill="0" applyBorder="0" applyAlignment="0" applyProtection="0"/>
    <xf numFmtId="0" fontId="4" fillId="0" borderId="0"/>
    <xf numFmtId="0" fontId="10" fillId="0" borderId="0"/>
    <xf numFmtId="0" fontId="4" fillId="0" borderId="0"/>
    <xf numFmtId="0" fontId="10" fillId="0" borderId="0"/>
    <xf numFmtId="172" fontId="10" fillId="0" borderId="0" applyFill="0" applyBorder="0" applyAlignment="0" applyProtection="0"/>
    <xf numFmtId="9" fontId="10" fillId="0" borderId="0" applyFont="0" applyFill="0" applyBorder="0" applyAlignment="0" applyProtection="0"/>
    <xf numFmtId="9" fontId="10"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41" fontId="4" fillId="0" borderId="0" applyFont="0" applyFill="0" applyBorder="0" applyAlignment="0" applyProtection="0"/>
    <xf numFmtId="0" fontId="4" fillId="19" borderId="163" applyNumberFormat="0" applyFont="0" applyAlignment="0" applyProtection="0"/>
    <xf numFmtId="41" fontId="3" fillId="0" borderId="0" applyFont="0" applyFill="0" applyBorder="0" applyAlignment="0" applyProtection="0"/>
    <xf numFmtId="0" fontId="3" fillId="0" borderId="0"/>
    <xf numFmtId="0" fontId="2" fillId="0" borderId="0"/>
    <xf numFmtId="9" fontId="10" fillId="0" borderId="0" applyFont="0" applyFill="0" applyBorder="0" applyAlignment="0" applyProtection="0"/>
    <xf numFmtId="185" fontId="10"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xf numFmtId="0" fontId="10"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86" fontId="2" fillId="0" borderId="0" applyFont="0" applyFill="0" applyBorder="0" applyAlignment="0" applyProtection="0"/>
  </cellStyleXfs>
  <cellXfs count="1285">
    <xf numFmtId="0" fontId="0" fillId="0" borderId="0" xfId="0"/>
    <xf numFmtId="3" fontId="0" fillId="0" borderId="0" xfId="0" applyNumberFormat="1"/>
    <xf numFmtId="166" fontId="0" fillId="0" borderId="0" xfId="0" applyNumberFormat="1"/>
    <xf numFmtId="0" fontId="12" fillId="0" borderId="0" xfId="0" applyFont="1" applyAlignment="1">
      <alignment horizontal="center"/>
    </xf>
    <xf numFmtId="0" fontId="12" fillId="0" borderId="0" xfId="0" applyFont="1"/>
    <xf numFmtId="3" fontId="12" fillId="0" borderId="0" xfId="0" applyNumberFormat="1" applyFont="1"/>
    <xf numFmtId="0" fontId="12" fillId="2" borderId="1" xfId="0" applyFont="1" applyFill="1" applyBorder="1"/>
    <xf numFmtId="3" fontId="12" fillId="2" borderId="2" xfId="0" applyNumberFormat="1" applyFont="1" applyFill="1" applyBorder="1"/>
    <xf numFmtId="3" fontId="12" fillId="2" borderId="3" xfId="0" applyNumberFormat="1" applyFont="1" applyFill="1" applyBorder="1"/>
    <xf numFmtId="3" fontId="13" fillId="0" borderId="0" xfId="0" applyNumberFormat="1" applyFont="1"/>
    <xf numFmtId="3" fontId="14" fillId="0" borderId="0" xfId="0" applyNumberFormat="1" applyFont="1"/>
    <xf numFmtId="0" fontId="0" fillId="0" borderId="0" xfId="0" applyFont="1"/>
    <xf numFmtId="166" fontId="15" fillId="0" borderId="0" xfId="0" applyNumberFormat="1" applyFont="1"/>
    <xf numFmtId="3" fontId="13" fillId="0" borderId="0" xfId="0" applyNumberFormat="1" applyFont="1" applyFill="1"/>
    <xf numFmtId="3" fontId="15" fillId="0" borderId="0" xfId="0" applyNumberFormat="1" applyFont="1"/>
    <xf numFmtId="0" fontId="15" fillId="0" borderId="0" xfId="0" applyFont="1"/>
    <xf numFmtId="3" fontId="0" fillId="0" borderId="0" xfId="0" applyNumberFormat="1" applyFill="1"/>
    <xf numFmtId="3" fontId="0" fillId="0" borderId="0" xfId="0" applyNumberFormat="1" applyFont="1"/>
    <xf numFmtId="3" fontId="0" fillId="0" borderId="0" xfId="0" applyNumberFormat="1" applyFont="1" applyAlignment="1">
      <alignment horizontal="center"/>
    </xf>
    <xf numFmtId="3" fontId="0" fillId="0" borderId="4" xfId="0" applyNumberFormat="1" applyBorder="1"/>
    <xf numFmtId="167" fontId="0" fillId="0" borderId="0" xfId="0" applyNumberFormat="1"/>
    <xf numFmtId="0" fontId="0" fillId="0" borderId="0" xfId="0" applyFont="1" applyAlignment="1">
      <alignment horizontal="center"/>
    </xf>
    <xf numFmtId="37" fontId="0" fillId="0" borderId="0" xfId="24" applyFont="1"/>
    <xf numFmtId="37" fontId="25" fillId="0" borderId="0" xfId="24" applyAlignment="1">
      <alignment horizontal="center"/>
    </xf>
    <xf numFmtId="170" fontId="0" fillId="0" borderId="0" xfId="10" applyNumberFormat="1" applyFont="1" applyFill="1" applyBorder="1" applyAlignment="1" applyProtection="1">
      <alignment horizontal="center"/>
    </xf>
    <xf numFmtId="37" fontId="0" fillId="0" borderId="0" xfId="24" applyFont="1" applyAlignment="1">
      <alignment horizontal="center"/>
    </xf>
    <xf numFmtId="37" fontId="0" fillId="0" borderId="6" xfId="24" applyFont="1" applyBorder="1"/>
    <xf numFmtId="37" fontId="0" fillId="0" borderId="7" xfId="24" applyFont="1" applyBorder="1"/>
    <xf numFmtId="170" fontId="0" fillId="0" borderId="7" xfId="10" applyNumberFormat="1" applyFont="1" applyFill="1" applyBorder="1" applyAlignment="1" applyProtection="1"/>
    <xf numFmtId="37" fontId="0" fillId="0" borderId="8" xfId="24" applyFont="1" applyBorder="1"/>
    <xf numFmtId="37" fontId="0" fillId="0" borderId="9" xfId="24" applyFont="1" applyBorder="1"/>
    <xf numFmtId="37" fontId="0" fillId="0" borderId="0" xfId="24" applyFont="1" applyBorder="1"/>
    <xf numFmtId="170" fontId="0" fillId="0" borderId="0" xfId="10" applyNumberFormat="1" applyFont="1" applyFill="1" applyBorder="1" applyAlignment="1" applyProtection="1"/>
    <xf numFmtId="37" fontId="0" fillId="0" borderId="10" xfId="24" applyFont="1" applyBorder="1"/>
    <xf numFmtId="14" fontId="12" fillId="0" borderId="11" xfId="10" applyNumberFormat="1" applyFont="1" applyFill="1" applyBorder="1" applyAlignment="1" applyProtection="1">
      <alignment horizontal="center"/>
    </xf>
    <xf numFmtId="14" fontId="12" fillId="0" borderId="12" xfId="24" applyNumberFormat="1" applyFont="1" applyBorder="1" applyAlignment="1">
      <alignment horizontal="center"/>
    </xf>
    <xf numFmtId="170" fontId="0" fillId="0" borderId="13" xfId="10" applyNumberFormat="1" applyFont="1" applyFill="1" applyBorder="1" applyAlignment="1" applyProtection="1"/>
    <xf numFmtId="37" fontId="12" fillId="0" borderId="0" xfId="24" applyFont="1" applyBorder="1"/>
    <xf numFmtId="171" fontId="12" fillId="0" borderId="5" xfId="24" applyNumberFormat="1" applyFont="1" applyFill="1" applyBorder="1"/>
    <xf numFmtId="37" fontId="12" fillId="0" borderId="9" xfId="24" applyFont="1" applyBorder="1"/>
    <xf numFmtId="37" fontId="0" fillId="0" borderId="5" xfId="24" applyFont="1" applyBorder="1"/>
    <xf numFmtId="37" fontId="0" fillId="0" borderId="0" xfId="24" applyFont="1" applyFill="1" applyBorder="1"/>
    <xf numFmtId="171" fontId="0" fillId="0" borderId="5" xfId="24" applyNumberFormat="1" applyFont="1" applyFill="1" applyBorder="1"/>
    <xf numFmtId="167" fontId="12" fillId="0" borderId="14" xfId="24" applyNumberFormat="1" applyFont="1" applyFill="1" applyBorder="1"/>
    <xf numFmtId="167" fontId="0" fillId="0" borderId="5" xfId="24" applyNumberFormat="1" applyFont="1" applyFill="1" applyBorder="1"/>
    <xf numFmtId="1" fontId="0" fillId="0" borderId="5" xfId="6" applyNumberFormat="1" applyFont="1" applyFill="1" applyBorder="1" applyAlignment="1" applyProtection="1"/>
    <xf numFmtId="167" fontId="0" fillId="0" borderId="5" xfId="6" applyNumberFormat="1" applyFont="1" applyFill="1" applyBorder="1" applyAlignment="1" applyProtection="1"/>
    <xf numFmtId="1" fontId="0" fillId="0" borderId="15" xfId="24" applyNumberFormat="1" applyFont="1" applyFill="1" applyBorder="1"/>
    <xf numFmtId="167" fontId="12" fillId="0" borderId="15" xfId="24" applyNumberFormat="1" applyFont="1" applyFill="1" applyBorder="1"/>
    <xf numFmtId="1" fontId="0" fillId="0" borderId="15" xfId="6" applyNumberFormat="1" applyFont="1" applyFill="1" applyBorder="1" applyAlignment="1" applyProtection="1"/>
    <xf numFmtId="167" fontId="0" fillId="0" borderId="9" xfId="6" applyNumberFormat="1" applyFont="1" applyFill="1" applyBorder="1" applyAlignment="1" applyProtection="1"/>
    <xf numFmtId="167" fontId="0" fillId="0" borderId="15" xfId="6" applyNumberFormat="1" applyFont="1" applyFill="1" applyBorder="1" applyAlignment="1" applyProtection="1"/>
    <xf numFmtId="167" fontId="0" fillId="0" borderId="10" xfId="24" applyNumberFormat="1" applyFont="1" applyFill="1" applyBorder="1"/>
    <xf numFmtId="167" fontId="12" fillId="0" borderId="5" xfId="24" applyNumberFormat="1" applyFont="1" applyFill="1" applyBorder="1"/>
    <xf numFmtId="167" fontId="12" fillId="0" borderId="10" xfId="24" applyNumberFormat="1" applyFont="1" applyFill="1" applyBorder="1"/>
    <xf numFmtId="167" fontId="12" fillId="0" borderId="16" xfId="24" applyNumberFormat="1" applyFont="1" applyFill="1" applyBorder="1"/>
    <xf numFmtId="167" fontId="12" fillId="0" borderId="17" xfId="24" applyNumberFormat="1" applyFont="1" applyFill="1" applyBorder="1"/>
    <xf numFmtId="37" fontId="12" fillId="0" borderId="18" xfId="24" applyFont="1" applyBorder="1"/>
    <xf numFmtId="37" fontId="0" fillId="0" borderId="11" xfId="24" applyFont="1" applyBorder="1"/>
    <xf numFmtId="170" fontId="0" fillId="0" borderId="11" xfId="10" applyNumberFormat="1" applyFont="1" applyFill="1" applyBorder="1" applyAlignment="1" applyProtection="1"/>
    <xf numFmtId="37" fontId="0" fillId="0" borderId="12" xfId="24" applyFont="1" applyBorder="1"/>
    <xf numFmtId="37" fontId="12" fillId="0" borderId="0" xfId="24" applyFont="1"/>
    <xf numFmtId="37" fontId="25" fillId="0" borderId="0" xfId="24"/>
    <xf numFmtId="167" fontId="0" fillId="0" borderId="19" xfId="6" applyNumberFormat="1" applyFont="1" applyFill="1" applyBorder="1" applyAlignment="1" applyProtection="1"/>
    <xf numFmtId="0" fontId="23" fillId="0" borderId="0" xfId="0" applyFont="1"/>
    <xf numFmtId="0" fontId="20" fillId="0" borderId="0" xfId="0" applyFont="1" applyFill="1" applyAlignment="1">
      <alignment horizontal="right"/>
    </xf>
    <xf numFmtId="0" fontId="20" fillId="0" borderId="0" xfId="0" applyFont="1" applyFill="1" applyAlignment="1">
      <alignment horizontal="center"/>
    </xf>
    <xf numFmtId="0" fontId="19" fillId="0" borderId="0" xfId="0" applyFont="1" applyFill="1" applyBorder="1" applyAlignment="1">
      <alignment horizontal="center"/>
    </xf>
    <xf numFmtId="0" fontId="19" fillId="0" borderId="0" xfId="0" applyFont="1" applyFill="1" applyAlignment="1">
      <alignment horizontal="center"/>
    </xf>
    <xf numFmtId="0" fontId="19" fillId="0" borderId="11" xfId="0" applyFont="1" applyFill="1" applyBorder="1" applyAlignment="1">
      <alignment horizontal="center"/>
    </xf>
    <xf numFmtId="0" fontId="19" fillId="0" borderId="13" xfId="0" applyFont="1" applyFill="1" applyBorder="1"/>
    <xf numFmtId="0" fontId="19" fillId="0" borderId="10" xfId="0" applyFont="1" applyFill="1" applyBorder="1" applyAlignment="1">
      <alignment horizontal="center"/>
    </xf>
    <xf numFmtId="0" fontId="19" fillId="0" borderId="5" xfId="0" applyFont="1" applyFill="1" applyBorder="1"/>
    <xf numFmtId="0" fontId="19" fillId="0" borderId="6" xfId="0" applyFont="1" applyFill="1" applyBorder="1" applyAlignment="1">
      <alignment horizontal="center"/>
    </xf>
    <xf numFmtId="0" fontId="21" fillId="0" borderId="5" xfId="0" applyFont="1" applyFill="1" applyBorder="1" applyAlignment="1">
      <alignment horizontal="left"/>
    </xf>
    <xf numFmtId="14" fontId="19" fillId="0" borderId="11" xfId="0" applyNumberFormat="1" applyFont="1" applyFill="1" applyBorder="1" applyAlignment="1">
      <alignment horizontal="center"/>
    </xf>
    <xf numFmtId="14" fontId="19" fillId="0" borderId="18" xfId="0" applyNumberFormat="1" applyFont="1" applyFill="1" applyBorder="1" applyAlignment="1">
      <alignment horizontal="center"/>
    </xf>
    <xf numFmtId="14" fontId="19" fillId="0" borderId="12" xfId="0" applyNumberFormat="1" applyFont="1" applyFill="1" applyBorder="1" applyAlignment="1">
      <alignment horizontal="center"/>
    </xf>
    <xf numFmtId="0" fontId="19" fillId="0" borderId="12" xfId="0" applyFont="1" applyFill="1" applyBorder="1" applyAlignment="1">
      <alignment horizontal="center"/>
    </xf>
    <xf numFmtId="0" fontId="19" fillId="0" borderId="0" xfId="0" applyFont="1" applyFill="1" applyBorder="1"/>
    <xf numFmtId="0" fontId="19" fillId="0" borderId="8" xfId="0" applyFont="1" applyFill="1" applyBorder="1"/>
    <xf numFmtId="0" fontId="19" fillId="0" borderId="10" xfId="0" applyFont="1" applyFill="1" applyBorder="1"/>
    <xf numFmtId="0" fontId="21" fillId="0" borderId="5" xfId="0" applyFont="1" applyFill="1" applyBorder="1"/>
    <xf numFmtId="3" fontId="19" fillId="0" borderId="0" xfId="0" applyNumberFormat="1" applyFont="1" applyFill="1" applyBorder="1"/>
    <xf numFmtId="3" fontId="19" fillId="0" borderId="10" xfId="0" applyNumberFormat="1" applyFont="1" applyFill="1" applyBorder="1"/>
    <xf numFmtId="169" fontId="19" fillId="0" borderId="10" xfId="0" applyNumberFormat="1" applyFont="1" applyFill="1" applyBorder="1"/>
    <xf numFmtId="169" fontId="19" fillId="0" borderId="0" xfId="0" applyNumberFormat="1" applyFont="1" applyFill="1" applyBorder="1"/>
    <xf numFmtId="169" fontId="19" fillId="0" borderId="0" xfId="0" applyNumberFormat="1" applyFont="1" applyFill="1" applyBorder="1" applyAlignment="1">
      <alignment horizontal="right"/>
    </xf>
    <xf numFmtId="169" fontId="19" fillId="0" borderId="10" xfId="0" applyNumberFormat="1" applyFont="1" applyFill="1" applyBorder="1" applyAlignment="1">
      <alignment horizontal="right"/>
    </xf>
    <xf numFmtId="169" fontId="19" fillId="0" borderId="11" xfId="0" applyNumberFormat="1" applyFont="1" applyFill="1" applyBorder="1"/>
    <xf numFmtId="169" fontId="19" fillId="0" borderId="12" xfId="0" applyNumberFormat="1" applyFont="1" applyFill="1" applyBorder="1"/>
    <xf numFmtId="169" fontId="19" fillId="0" borderId="12" xfId="0" applyNumberFormat="1" applyFont="1" applyFill="1" applyBorder="1" applyAlignment="1">
      <alignment horizontal="right"/>
    </xf>
    <xf numFmtId="169" fontId="19" fillId="0" borderId="11" xfId="0" applyNumberFormat="1" applyFont="1" applyFill="1" applyBorder="1" applyAlignment="1">
      <alignment horizontal="right"/>
    </xf>
    <xf numFmtId="169" fontId="19" fillId="0" borderId="20" xfId="0" applyNumberFormat="1" applyFont="1" applyFill="1" applyBorder="1"/>
    <xf numFmtId="169" fontId="19" fillId="0" borderId="17" xfId="0" applyNumberFormat="1" applyFont="1" applyFill="1" applyBorder="1"/>
    <xf numFmtId="0" fontId="19" fillId="0" borderId="0" xfId="0" applyFont="1" applyFill="1"/>
    <xf numFmtId="0" fontId="19" fillId="0" borderId="15" xfId="0" applyFont="1" applyFill="1" applyBorder="1"/>
    <xf numFmtId="3" fontId="19" fillId="0" borderId="20" xfId="0" applyNumberFormat="1" applyFont="1" applyFill="1" applyBorder="1"/>
    <xf numFmtId="169" fontId="19" fillId="0" borderId="20" xfId="0" applyNumberFormat="1" applyFont="1" applyFill="1" applyBorder="1" applyAlignment="1">
      <alignment horizontal="right"/>
    </xf>
    <xf numFmtId="168" fontId="19" fillId="0" borderId="20" xfId="7" applyFont="1" applyFill="1" applyBorder="1" applyAlignment="1" applyProtection="1"/>
    <xf numFmtId="168" fontId="19" fillId="0" borderId="17" xfId="7" applyFont="1" applyFill="1" applyBorder="1" applyAlignment="1" applyProtection="1"/>
    <xf numFmtId="3" fontId="19" fillId="0" borderId="17" xfId="0" applyNumberFormat="1" applyFont="1" applyFill="1" applyBorder="1"/>
    <xf numFmtId="169" fontId="19" fillId="0" borderId="0" xfId="0" applyNumberFormat="1" applyFont="1" applyFill="1"/>
    <xf numFmtId="0" fontId="23" fillId="0" borderId="0" xfId="0" applyFont="1" applyFill="1"/>
    <xf numFmtId="0" fontId="24" fillId="0" borderId="0" xfId="0" applyFont="1" applyFill="1" applyAlignment="1">
      <alignment horizontal="right"/>
    </xf>
    <xf numFmtId="3" fontId="19" fillId="0" borderId="0" xfId="0" applyNumberFormat="1" applyFont="1" applyFill="1" applyAlignment="1">
      <alignment horizontal="center"/>
    </xf>
    <xf numFmtId="0" fontId="23" fillId="0" borderId="0" xfId="0" applyFont="1" applyFill="1" applyAlignment="1">
      <alignment horizontal="center"/>
    </xf>
    <xf numFmtId="0" fontId="19" fillId="0" borderId="13" xfId="0" applyFont="1" applyFill="1" applyBorder="1" applyAlignment="1">
      <alignment horizontal="center"/>
    </xf>
    <xf numFmtId="3" fontId="19" fillId="0" borderId="13" xfId="0" applyNumberFormat="1" applyFont="1" applyFill="1" applyBorder="1" applyAlignment="1">
      <alignment horizontal="center"/>
    </xf>
    <xf numFmtId="0" fontId="23" fillId="0" borderId="13" xfId="0" applyFont="1" applyFill="1" applyBorder="1" applyAlignment="1">
      <alignment horizontal="center"/>
    </xf>
    <xf numFmtId="0" fontId="23" fillId="0" borderId="6" xfId="0" applyFont="1" applyFill="1" applyBorder="1"/>
    <xf numFmtId="0" fontId="23" fillId="0" borderId="8" xfId="0" applyFont="1" applyFill="1" applyBorder="1"/>
    <xf numFmtId="0" fontId="19" fillId="0" borderId="5" xfId="0" applyFont="1" applyFill="1" applyBorder="1" applyAlignment="1">
      <alignment horizontal="center"/>
    </xf>
    <xf numFmtId="3" fontId="19" fillId="0" borderId="5" xfId="0" applyNumberFormat="1" applyFont="1" applyFill="1" applyBorder="1" applyAlignment="1">
      <alignment horizontal="center"/>
    </xf>
    <xf numFmtId="0" fontId="23" fillId="0" borderId="5" xfId="0" applyFont="1" applyFill="1" applyBorder="1" applyAlignment="1">
      <alignment horizontal="center"/>
    </xf>
    <xf numFmtId="0" fontId="23" fillId="0" borderId="15" xfId="0" applyFont="1" applyFill="1" applyBorder="1" applyAlignment="1">
      <alignment horizontal="center"/>
    </xf>
    <xf numFmtId="0" fontId="19" fillId="0" borderId="15" xfId="0" applyFont="1" applyFill="1" applyBorder="1" applyAlignment="1">
      <alignment horizontal="center"/>
    </xf>
    <xf numFmtId="3" fontId="19" fillId="0" borderId="15" xfId="0" applyNumberFormat="1" applyFont="1" applyFill="1" applyBorder="1" applyAlignment="1">
      <alignment horizontal="center"/>
    </xf>
    <xf numFmtId="3" fontId="19" fillId="0" borderId="13" xfId="0" applyNumberFormat="1" applyFont="1" applyFill="1" applyBorder="1"/>
    <xf numFmtId="0" fontId="23" fillId="0" borderId="13" xfId="0" applyFont="1" applyFill="1" applyBorder="1"/>
    <xf numFmtId="3" fontId="19" fillId="0" borderId="5" xfId="0" applyNumberFormat="1" applyFont="1" applyFill="1" applyBorder="1"/>
    <xf numFmtId="0" fontId="23" fillId="0" borderId="5" xfId="0" applyFont="1" applyFill="1" applyBorder="1"/>
    <xf numFmtId="3" fontId="23" fillId="0" borderId="5" xfId="0" applyNumberFormat="1" applyFont="1" applyFill="1" applyBorder="1"/>
    <xf numFmtId="3" fontId="23" fillId="0" borderId="0" xfId="0" applyNumberFormat="1" applyFont="1" applyFill="1"/>
    <xf numFmtId="3" fontId="19" fillId="0" borderId="15" xfId="0" applyNumberFormat="1" applyFont="1" applyFill="1" applyBorder="1"/>
    <xf numFmtId="0" fontId="23" fillId="0" borderId="15" xfId="0" applyFont="1" applyFill="1" applyBorder="1"/>
    <xf numFmtId="0" fontId="19" fillId="0" borderId="14" xfId="0" applyFont="1" applyFill="1" applyBorder="1"/>
    <xf numFmtId="3" fontId="19" fillId="0" borderId="14" xfId="0" applyNumberFormat="1" applyFont="1" applyFill="1" applyBorder="1"/>
    <xf numFmtId="3" fontId="23" fillId="0" borderId="26" xfId="0" applyNumberFormat="1" applyFont="1" applyFill="1" applyBorder="1"/>
    <xf numFmtId="3" fontId="19" fillId="0" borderId="0" xfId="0" applyNumberFormat="1" applyFont="1" applyFill="1"/>
    <xf numFmtId="0" fontId="23" fillId="3" borderId="0" xfId="12" applyFont="1" applyFill="1" applyBorder="1"/>
    <xf numFmtId="0" fontId="23" fillId="0" borderId="0" xfId="12" applyFont="1" applyFill="1" applyBorder="1"/>
    <xf numFmtId="0" fontId="23" fillId="4" borderId="0" xfId="12" applyFont="1" applyFill="1"/>
    <xf numFmtId="0" fontId="26" fillId="4" borderId="0" xfId="12" applyFont="1" applyFill="1" applyAlignment="1">
      <alignment horizontal="center"/>
    </xf>
    <xf numFmtId="0" fontId="23" fillId="0" borderId="0" xfId="12" applyFont="1"/>
    <xf numFmtId="0" fontId="27" fillId="0" borderId="0" xfId="12" applyFont="1"/>
    <xf numFmtId="0" fontId="28" fillId="0" borderId="0" xfId="12" applyFont="1"/>
    <xf numFmtId="0" fontId="29" fillId="0" borderId="0" xfId="12" applyFont="1"/>
    <xf numFmtId="0" fontId="29" fillId="0" borderId="0" xfId="12" applyFont="1" applyAlignment="1">
      <alignment horizontal="center"/>
    </xf>
    <xf numFmtId="0" fontId="30" fillId="0" borderId="0" xfId="12" applyFont="1" applyFill="1" applyAlignment="1">
      <alignment horizontal="center" vertical="center"/>
    </xf>
    <xf numFmtId="0" fontId="32" fillId="0" borderId="0" xfId="14" applyFont="1" applyAlignment="1"/>
    <xf numFmtId="3" fontId="29" fillId="0" borderId="0" xfId="12" applyNumberFormat="1" applyFont="1" applyAlignment="1">
      <alignment horizontal="center"/>
    </xf>
    <xf numFmtId="0" fontId="28" fillId="0" borderId="27" xfId="12" applyFont="1" applyBorder="1"/>
    <xf numFmtId="0" fontId="29" fillId="0" borderId="27" xfId="12" applyFont="1" applyBorder="1"/>
    <xf numFmtId="0" fontId="29" fillId="0" borderId="27" xfId="12" applyFont="1" applyBorder="1" applyAlignment="1">
      <alignment horizontal="center"/>
    </xf>
    <xf numFmtId="0" fontId="30" fillId="0" borderId="27" xfId="12" applyFont="1" applyFill="1" applyBorder="1" applyAlignment="1">
      <alignment horizontal="center" vertical="center"/>
    </xf>
    <xf numFmtId="4" fontId="28" fillId="0" borderId="0" xfId="14" applyNumberFormat="1" applyFont="1" applyFill="1" applyAlignment="1">
      <alignment horizontal="left"/>
    </xf>
    <xf numFmtId="0" fontId="24" fillId="5" borderId="0" xfId="14" applyFont="1" applyFill="1" applyBorder="1" applyAlignment="1"/>
    <xf numFmtId="0" fontId="23" fillId="0" borderId="0" xfId="12" applyFont="1" applyFill="1"/>
    <xf numFmtId="0" fontId="24" fillId="0" borderId="0" xfId="12" applyFont="1" applyFill="1" applyAlignment="1">
      <alignment horizontal="left"/>
    </xf>
    <xf numFmtId="0" fontId="24" fillId="3" borderId="0" xfId="12" applyFont="1" applyFill="1" applyBorder="1" applyAlignment="1">
      <alignment horizontal="center"/>
    </xf>
    <xf numFmtId="173" fontId="24" fillId="5" borderId="0" xfId="14" applyNumberFormat="1" applyFont="1" applyFill="1" applyBorder="1" applyAlignment="1">
      <alignment horizontal="left"/>
    </xf>
    <xf numFmtId="0" fontId="28" fillId="0" borderId="0" xfId="12" applyFont="1" applyAlignment="1">
      <alignment horizontal="left"/>
    </xf>
    <xf numFmtId="14" fontId="24" fillId="3" borderId="0" xfId="12" applyNumberFormat="1" applyFont="1" applyFill="1" applyBorder="1" applyAlignment="1">
      <alignment horizontal="center"/>
    </xf>
    <xf numFmtId="0" fontId="28" fillId="0" borderId="0" xfId="12" applyFont="1" applyAlignment="1">
      <alignment vertical="center"/>
    </xf>
    <xf numFmtId="0" fontId="29" fillId="3" borderId="0" xfId="12" applyFont="1" applyFill="1" applyBorder="1" applyAlignment="1">
      <alignment horizontal="right"/>
    </xf>
    <xf numFmtId="0" fontId="29" fillId="0" borderId="0" xfId="12" applyFont="1" applyAlignment="1">
      <alignment vertical="center"/>
    </xf>
    <xf numFmtId="0" fontId="29" fillId="0" borderId="0" xfId="12" applyFont="1" applyFill="1"/>
    <xf numFmtId="0" fontId="30" fillId="0" borderId="27" xfId="12" applyFont="1" applyBorder="1"/>
    <xf numFmtId="0" fontId="29" fillId="0" borderId="27" xfId="12" applyFont="1" applyFill="1" applyBorder="1"/>
    <xf numFmtId="3" fontId="33" fillId="0" borderId="0" xfId="12" applyNumberFormat="1" applyFont="1"/>
    <xf numFmtId="10" fontId="28" fillId="0" borderId="0" xfId="12" applyNumberFormat="1" applyFont="1"/>
    <xf numFmtId="10" fontId="29" fillId="0" borderId="0" xfId="12" applyNumberFormat="1" applyFont="1" applyAlignment="1">
      <alignment horizontal="left"/>
    </xf>
    <xf numFmtId="175" fontId="29" fillId="0" borderId="0" xfId="8" applyNumberFormat="1" applyFont="1" applyAlignment="1">
      <alignment horizontal="left"/>
    </xf>
    <xf numFmtId="10" fontId="28" fillId="0" borderId="0" xfId="12" applyNumberFormat="1" applyFont="1" applyAlignment="1">
      <alignment horizontal="left"/>
    </xf>
    <xf numFmtId="173" fontId="28" fillId="6" borderId="0" xfId="12" applyNumberFormat="1" applyFont="1" applyFill="1" applyAlignment="1">
      <alignment horizontal="center" vertical="center"/>
    </xf>
    <xf numFmtId="0" fontId="28" fillId="0" borderId="0" xfId="12" applyFont="1" applyAlignment="1"/>
    <xf numFmtId="0" fontId="29" fillId="0" borderId="0" xfId="12" applyFont="1" applyFill="1" applyBorder="1"/>
    <xf numFmtId="0" fontId="28" fillId="6" borderId="28" xfId="12" applyFont="1" applyFill="1" applyBorder="1" applyAlignment="1">
      <alignment horizontal="center" vertical="center"/>
    </xf>
    <xf numFmtId="0" fontId="28" fillId="6" borderId="29" xfId="12" applyFont="1" applyFill="1" applyBorder="1" applyAlignment="1">
      <alignment horizontal="center" vertical="center"/>
    </xf>
    <xf numFmtId="3" fontId="24" fillId="7" borderId="29" xfId="12" applyNumberFormat="1" applyFont="1" applyFill="1" applyBorder="1" applyAlignment="1">
      <alignment horizontal="center" vertical="center" wrapText="1"/>
    </xf>
    <xf numFmtId="10" fontId="24" fillId="7" borderId="29" xfId="12" applyNumberFormat="1" applyFont="1" applyFill="1" applyBorder="1" applyAlignment="1">
      <alignment horizontal="center" vertical="center" wrapText="1"/>
    </xf>
    <xf numFmtId="10" fontId="24" fillId="7" borderId="30" xfId="12" applyNumberFormat="1" applyFont="1" applyFill="1" applyBorder="1" applyAlignment="1">
      <alignment horizontal="center" vertical="center" wrapText="1"/>
    </xf>
    <xf numFmtId="4" fontId="28" fillId="6" borderId="29" xfId="12" applyNumberFormat="1" applyFont="1" applyFill="1" applyBorder="1" applyAlignment="1">
      <alignment horizontal="center" vertical="center" wrapText="1"/>
    </xf>
    <xf numFmtId="0" fontId="23" fillId="0" borderId="0" xfId="12" applyFont="1" applyAlignment="1">
      <alignment horizontal="center" vertical="center"/>
    </xf>
    <xf numFmtId="0" fontId="27" fillId="0" borderId="0" xfId="12" applyFont="1" applyAlignment="1">
      <alignment horizontal="center" vertical="center"/>
    </xf>
    <xf numFmtId="0" fontId="24" fillId="0" borderId="0" xfId="12" applyFont="1" applyFill="1" applyAlignment="1">
      <alignment horizontal="right"/>
    </xf>
    <xf numFmtId="0" fontId="24" fillId="0" borderId="0" xfId="12" applyFont="1" applyFill="1" applyAlignment="1">
      <alignment horizontal="center"/>
    </xf>
    <xf numFmtId="3" fontId="24" fillId="0" borderId="0" xfId="12" applyNumberFormat="1" applyFont="1" applyFill="1" applyAlignment="1">
      <alignment horizontal="center"/>
    </xf>
    <xf numFmtId="0" fontId="23" fillId="0" borderId="0" xfId="12" applyFont="1" applyFill="1" applyAlignment="1">
      <alignment horizontal="center"/>
    </xf>
    <xf numFmtId="0" fontId="27" fillId="0" borderId="0" xfId="12" applyFont="1" applyFill="1" applyAlignment="1">
      <alignment horizontal="center"/>
    </xf>
    <xf numFmtId="0" fontId="24" fillId="0" borderId="31" xfId="12" applyFont="1" applyFill="1" applyBorder="1" applyAlignment="1">
      <alignment horizontal="left"/>
    </xf>
    <xf numFmtId="0" fontId="24" fillId="0" borderId="32" xfId="12" applyFont="1" applyFill="1" applyBorder="1"/>
    <xf numFmtId="3" fontId="24" fillId="0" borderId="33" xfId="12" applyNumberFormat="1" applyFont="1" applyFill="1" applyBorder="1" applyAlignment="1">
      <alignment horizontal="right"/>
    </xf>
    <xf numFmtId="176" fontId="24" fillId="0" borderId="34" xfId="12" applyNumberFormat="1" applyFont="1" applyFill="1" applyBorder="1" applyAlignment="1">
      <alignment horizontal="right"/>
    </xf>
    <xf numFmtId="4" fontId="30" fillId="0" borderId="33" xfId="12" applyNumberFormat="1" applyFont="1" applyFill="1" applyBorder="1"/>
    <xf numFmtId="3" fontId="24" fillId="0" borderId="33" xfId="12" applyNumberFormat="1" applyFont="1" applyFill="1" applyBorder="1"/>
    <xf numFmtId="3" fontId="27" fillId="0" borderId="0" xfId="12" applyNumberFormat="1" applyFont="1" applyFill="1" applyBorder="1"/>
    <xf numFmtId="0" fontId="24" fillId="0" borderId="35" xfId="12" applyFont="1" applyFill="1" applyBorder="1" applyAlignment="1">
      <alignment horizontal="left"/>
    </xf>
    <xf numFmtId="0" fontId="24" fillId="0" borderId="36" xfId="12" applyFont="1" applyFill="1" applyBorder="1" applyAlignment="1"/>
    <xf numFmtId="3" fontId="24" fillId="0" borderId="37" xfId="12" applyNumberFormat="1" applyFont="1" applyFill="1" applyBorder="1" applyAlignment="1">
      <alignment horizontal="right"/>
    </xf>
    <xf numFmtId="176" fontId="24" fillId="0" borderId="37" xfId="12" applyNumberFormat="1" applyFont="1" applyFill="1" applyBorder="1" applyAlignment="1">
      <alignment horizontal="right"/>
    </xf>
    <xf numFmtId="176" fontId="23" fillId="0" borderId="37" xfId="12" applyNumberFormat="1" applyFont="1" applyFill="1" applyBorder="1" applyAlignment="1">
      <alignment horizontal="right"/>
    </xf>
    <xf numFmtId="4" fontId="30" fillId="0" borderId="37" xfId="12" applyNumberFormat="1" applyFont="1" applyFill="1" applyBorder="1"/>
    <xf numFmtId="0" fontId="24" fillId="0" borderId="35" xfId="12" applyFont="1" applyFill="1" applyBorder="1"/>
    <xf numFmtId="0" fontId="24" fillId="0" borderId="36" xfId="12" applyFont="1" applyFill="1" applyBorder="1"/>
    <xf numFmtId="0" fontId="24" fillId="0" borderId="0" xfId="12" applyFont="1" applyFill="1" applyBorder="1"/>
    <xf numFmtId="0" fontId="23" fillId="0" borderId="35" xfId="12" applyFont="1" applyFill="1" applyBorder="1" applyAlignment="1">
      <alignment horizontal="left"/>
    </xf>
    <xf numFmtId="0" fontId="23" fillId="0" borderId="36" xfId="12" applyFont="1" applyFill="1" applyBorder="1"/>
    <xf numFmtId="3" fontId="23" fillId="0" borderId="37" xfId="12" applyNumberFormat="1" applyFont="1" applyFill="1" applyBorder="1" applyAlignment="1">
      <alignment horizontal="right"/>
    </xf>
    <xf numFmtId="4" fontId="27" fillId="0" borderId="37" xfId="12" applyNumberFormat="1" applyFont="1" applyFill="1" applyBorder="1"/>
    <xf numFmtId="0" fontId="23" fillId="0" borderId="35" xfId="12" applyFont="1" applyFill="1" applyBorder="1"/>
    <xf numFmtId="0" fontId="23" fillId="0" borderId="38" xfId="12" applyFont="1" applyFill="1" applyBorder="1" applyAlignment="1">
      <alignment horizontal="left"/>
    </xf>
    <xf numFmtId="0" fontId="23" fillId="0" borderId="36" xfId="12" applyFont="1" applyFill="1" applyBorder="1" applyAlignment="1">
      <alignment horizontal="left"/>
    </xf>
    <xf numFmtId="0" fontId="24" fillId="0" borderId="36" xfId="12" applyFont="1" applyFill="1" applyBorder="1" applyAlignment="1">
      <alignment horizontal="left"/>
    </xf>
    <xf numFmtId="0" fontId="24" fillId="0" borderId="35" xfId="12" applyFont="1" applyFill="1" applyBorder="1" applyAlignment="1"/>
    <xf numFmtId="0" fontId="24" fillId="0" borderId="35" xfId="12" applyFont="1" applyFill="1" applyBorder="1" applyAlignment="1">
      <alignment vertical="center"/>
    </xf>
    <xf numFmtId="0" fontId="24" fillId="0" borderId="36" xfId="12" applyFont="1" applyFill="1" applyBorder="1" applyAlignment="1">
      <alignment vertical="center"/>
    </xf>
    <xf numFmtId="0" fontId="23" fillId="0" borderId="35" xfId="12" applyFont="1" applyFill="1" applyBorder="1" applyAlignment="1">
      <alignment vertical="center"/>
    </xf>
    <xf numFmtId="0" fontId="23" fillId="0" borderId="36" xfId="12" applyFont="1" applyFill="1" applyBorder="1" applyAlignment="1">
      <alignment vertical="center"/>
    </xf>
    <xf numFmtId="0" fontId="23" fillId="0" borderId="38" xfId="12" applyFont="1" applyFill="1" applyBorder="1" applyAlignment="1">
      <alignment vertical="center"/>
    </xf>
    <xf numFmtId="0" fontId="23" fillId="0" borderId="36" xfId="12" applyFont="1" applyFill="1" applyBorder="1" applyAlignment="1"/>
    <xf numFmtId="0" fontId="24" fillId="0" borderId="38" xfId="12" applyFont="1" applyFill="1" applyBorder="1" applyAlignment="1">
      <alignment horizontal="left" vertical="center"/>
    </xf>
    <xf numFmtId="0" fontId="23" fillId="0" borderId="38" xfId="12" applyFont="1" applyFill="1" applyBorder="1" applyAlignment="1">
      <alignment horizontal="left" vertical="center"/>
    </xf>
    <xf numFmtId="0" fontId="34" fillId="0" borderId="0" xfId="12" applyFont="1" applyFill="1" applyAlignment="1">
      <alignment vertical="center"/>
    </xf>
    <xf numFmtId="0" fontId="24" fillId="0" borderId="38" xfId="12" applyFont="1" applyFill="1" applyBorder="1" applyAlignment="1">
      <alignment horizontal="left"/>
    </xf>
    <xf numFmtId="4" fontId="23" fillId="0" borderId="37" xfId="12" applyNumberFormat="1" applyFont="1" applyFill="1" applyBorder="1"/>
    <xf numFmtId="0" fontId="23" fillId="0" borderId="39" xfId="12" applyFont="1" applyFill="1" applyBorder="1"/>
    <xf numFmtId="3" fontId="24" fillId="0" borderId="40" xfId="12" applyNumberFormat="1" applyFont="1" applyFill="1" applyBorder="1"/>
    <xf numFmtId="3" fontId="23" fillId="0" borderId="40" xfId="12" applyNumberFormat="1" applyFont="1" applyFill="1" applyBorder="1"/>
    <xf numFmtId="4" fontId="24" fillId="0" borderId="40" xfId="12" applyNumberFormat="1" applyFont="1" applyFill="1" applyBorder="1"/>
    <xf numFmtId="0" fontId="23" fillId="0" borderId="41" xfId="12" applyFont="1" applyFill="1" applyBorder="1"/>
    <xf numFmtId="0" fontId="23" fillId="0" borderId="42" xfId="12" applyFont="1" applyFill="1" applyBorder="1"/>
    <xf numFmtId="3" fontId="23" fillId="0" borderId="43" xfId="12" applyNumberFormat="1" applyFont="1" applyFill="1" applyBorder="1" applyAlignment="1">
      <alignment horizontal="right"/>
    </xf>
    <xf numFmtId="176" fontId="23" fillId="0" borderId="43" xfId="12" applyNumberFormat="1" applyFont="1" applyFill="1" applyBorder="1" applyAlignment="1">
      <alignment horizontal="right"/>
    </xf>
    <xf numFmtId="4" fontId="23" fillId="0" borderId="43" xfId="12" applyNumberFormat="1" applyFont="1" applyFill="1" applyBorder="1"/>
    <xf numFmtId="0" fontId="23" fillId="0" borderId="32" xfId="12" applyFont="1" applyFill="1" applyBorder="1"/>
    <xf numFmtId="3" fontId="23" fillId="0" borderId="33" xfId="12" applyNumberFormat="1" applyFont="1" applyFill="1" applyBorder="1"/>
    <xf numFmtId="176" fontId="23" fillId="0" borderId="33" xfId="12" applyNumberFormat="1" applyFont="1" applyFill="1" applyBorder="1" applyAlignment="1">
      <alignment horizontal="right"/>
    </xf>
    <xf numFmtId="4" fontId="24" fillId="0" borderId="33" xfId="12" applyNumberFormat="1" applyFont="1" applyFill="1" applyBorder="1"/>
    <xf numFmtId="4" fontId="24" fillId="0" borderId="37" xfId="12" applyNumberFormat="1" applyFont="1" applyFill="1" applyBorder="1"/>
    <xf numFmtId="3" fontId="24" fillId="0" borderId="37" xfId="12" applyNumberFormat="1" applyFont="1" applyFill="1" applyBorder="1"/>
    <xf numFmtId="3" fontId="23" fillId="0" borderId="37" xfId="12" applyNumberFormat="1" applyFont="1" applyFill="1" applyBorder="1"/>
    <xf numFmtId="0" fontId="23" fillId="0" borderId="38" xfId="12" applyFont="1" applyFill="1" applyBorder="1"/>
    <xf numFmtId="0" fontId="40" fillId="0" borderId="35" xfId="12" applyFont="1" applyFill="1" applyBorder="1" applyAlignment="1">
      <alignment horizontal="left"/>
    </xf>
    <xf numFmtId="0" fontId="23" fillId="0" borderId="41" xfId="12" applyFont="1" applyFill="1" applyBorder="1" applyAlignment="1">
      <alignment horizontal="left"/>
    </xf>
    <xf numFmtId="3" fontId="24" fillId="0" borderId="43" xfId="12" applyNumberFormat="1" applyFont="1" applyFill="1" applyBorder="1" applyAlignment="1">
      <alignment horizontal="right"/>
    </xf>
    <xf numFmtId="0" fontId="23" fillId="0" borderId="0" xfId="12" applyFont="1" applyFill="1" applyAlignment="1">
      <alignment horizontal="left"/>
    </xf>
    <xf numFmtId="0" fontId="23" fillId="0" borderId="0" xfId="12" applyFont="1" applyFill="1" applyAlignment="1">
      <alignment horizontal="right"/>
    </xf>
    <xf numFmtId="0" fontId="23" fillId="3" borderId="0" xfId="12" applyFont="1" applyFill="1"/>
    <xf numFmtId="0" fontId="27" fillId="0" borderId="0" xfId="12" applyFont="1" applyFill="1"/>
    <xf numFmtId="0" fontId="23" fillId="7" borderId="0" xfId="12" applyFont="1" applyFill="1" applyAlignment="1">
      <alignment horizontal="right"/>
    </xf>
    <xf numFmtId="0" fontId="23" fillId="7" borderId="0" xfId="12" applyFont="1" applyFill="1"/>
    <xf numFmtId="3" fontId="23" fillId="0" borderId="0" xfId="12" applyNumberFormat="1" applyFont="1" applyFill="1"/>
    <xf numFmtId="3" fontId="24" fillId="0" borderId="0" xfId="12" applyNumberFormat="1" applyFont="1" applyFill="1"/>
    <xf numFmtId="0" fontId="24" fillId="0" borderId="44" xfId="12" applyFont="1" applyFill="1" applyBorder="1" applyAlignment="1"/>
    <xf numFmtId="0" fontId="23" fillId="0" borderId="33" xfId="12" applyFont="1" applyFill="1" applyBorder="1"/>
    <xf numFmtId="0" fontId="23" fillId="0" borderId="45" xfId="12" applyFont="1" applyFill="1" applyBorder="1"/>
    <xf numFmtId="0" fontId="24" fillId="0" borderId="46" xfId="12" applyFont="1" applyFill="1" applyBorder="1" applyAlignment="1"/>
    <xf numFmtId="0" fontId="23" fillId="0" borderId="37" xfId="12" applyFont="1" applyFill="1" applyBorder="1"/>
    <xf numFmtId="0" fontId="23" fillId="0" borderId="47" xfId="12" applyFont="1" applyFill="1" applyBorder="1"/>
    <xf numFmtId="0" fontId="30" fillId="0" borderId="48" xfId="12" applyFont="1" applyFill="1" applyBorder="1" applyAlignment="1"/>
    <xf numFmtId="3" fontId="27" fillId="0" borderId="43" xfId="12" applyNumberFormat="1" applyFont="1" applyFill="1" applyBorder="1"/>
    <xf numFmtId="0" fontId="27" fillId="0" borderId="43" xfId="12" applyFont="1" applyFill="1" applyBorder="1"/>
    <xf numFmtId="3" fontId="30" fillId="0" borderId="43" xfId="12" applyNumberFormat="1" applyFont="1" applyFill="1" applyBorder="1"/>
    <xf numFmtId="0" fontId="27" fillId="0" borderId="49" xfId="12" applyFont="1" applyFill="1" applyBorder="1"/>
    <xf numFmtId="0" fontId="30" fillId="0" borderId="0" xfId="12" applyFont="1" applyFill="1" applyBorder="1" applyAlignment="1"/>
    <xf numFmtId="0" fontId="27" fillId="0" borderId="0" xfId="12" applyFont="1" applyFill="1" applyBorder="1"/>
    <xf numFmtId="0" fontId="23" fillId="4" borderId="0" xfId="12" applyFont="1" applyFill="1" applyAlignment="1">
      <alignment horizontal="center"/>
    </xf>
    <xf numFmtId="0" fontId="29" fillId="0" borderId="0" xfId="12" applyFont="1" applyFill="1" applyAlignment="1">
      <alignment horizontal="center"/>
    </xf>
    <xf numFmtId="0" fontId="29" fillId="0" borderId="27" xfId="12" applyFont="1" applyFill="1" applyBorder="1" applyAlignment="1">
      <alignment horizontal="center"/>
    </xf>
    <xf numFmtId="0" fontId="24" fillId="0" borderId="0" xfId="12" applyFont="1" applyFill="1" applyBorder="1" applyAlignment="1">
      <alignment horizontal="center"/>
    </xf>
    <xf numFmtId="0" fontId="28" fillId="0" borderId="0" xfId="12" applyFont="1" applyFill="1" applyAlignment="1">
      <alignment horizontal="left"/>
    </xf>
    <xf numFmtId="14" fontId="24" fillId="0" borderId="0" xfId="12" applyNumberFormat="1" applyFont="1" applyFill="1" applyBorder="1" applyAlignment="1">
      <alignment horizontal="center"/>
    </xf>
    <xf numFmtId="0" fontId="24" fillId="0" borderId="0" xfId="12" applyFont="1" applyFill="1" applyBorder="1" applyAlignment="1">
      <alignment horizontal="right"/>
    </xf>
    <xf numFmtId="3" fontId="33" fillId="0" borderId="0" xfId="12" applyNumberFormat="1" applyFont="1" applyFill="1"/>
    <xf numFmtId="10" fontId="28" fillId="0" borderId="0" xfId="12" applyNumberFormat="1" applyFont="1" applyFill="1"/>
    <xf numFmtId="10" fontId="29" fillId="0" borderId="0" xfId="12" applyNumberFormat="1" applyFont="1" applyFill="1" applyAlignment="1">
      <alignment horizontal="left"/>
    </xf>
    <xf numFmtId="10" fontId="29" fillId="0" borderId="0" xfId="12" applyNumberFormat="1" applyFont="1" applyFill="1" applyAlignment="1">
      <alignment horizontal="center"/>
    </xf>
    <xf numFmtId="173" fontId="28" fillId="6" borderId="0" xfId="12" applyNumberFormat="1" applyFont="1" applyFill="1" applyAlignment="1">
      <alignment horizontal="center"/>
    </xf>
    <xf numFmtId="0" fontId="28" fillId="0" borderId="29" xfId="12" applyFont="1" applyFill="1" applyBorder="1" applyAlignment="1">
      <alignment horizontal="center" vertical="center"/>
    </xf>
    <xf numFmtId="3" fontId="24" fillId="0" borderId="29" xfId="12" applyNumberFormat="1" applyFont="1" applyFill="1" applyBorder="1" applyAlignment="1">
      <alignment horizontal="center" vertical="center" wrapText="1"/>
    </xf>
    <xf numFmtId="10" fontId="24" fillId="0" borderId="29" xfId="12" applyNumberFormat="1" applyFont="1" applyFill="1" applyBorder="1" applyAlignment="1">
      <alignment horizontal="center" vertical="center" wrapText="1"/>
    </xf>
    <xf numFmtId="10" fontId="24" fillId="0" borderId="30" xfId="12" applyNumberFormat="1" applyFont="1" applyFill="1" applyBorder="1" applyAlignment="1">
      <alignment horizontal="center" vertical="center" wrapText="1"/>
    </xf>
    <xf numFmtId="4" fontId="28" fillId="0" borderId="29" xfId="12" applyNumberFormat="1" applyFont="1" applyFill="1" applyBorder="1" applyAlignment="1">
      <alignment horizontal="center" vertical="center" wrapText="1"/>
    </xf>
    <xf numFmtId="4" fontId="28" fillId="0" borderId="50" xfId="12" applyNumberFormat="1" applyFont="1" applyFill="1" applyBorder="1" applyAlignment="1">
      <alignment horizontal="center" vertical="center" wrapText="1"/>
    </xf>
    <xf numFmtId="0" fontId="23" fillId="0" borderId="0" xfId="12" applyFont="1" applyFill="1" applyAlignment="1">
      <alignment horizontal="center" vertical="center"/>
    </xf>
    <xf numFmtId="0" fontId="23" fillId="3" borderId="0" xfId="12" applyFont="1" applyFill="1" applyAlignment="1">
      <alignment horizontal="center" vertical="center"/>
    </xf>
    <xf numFmtId="0" fontId="23" fillId="3" borderId="0" xfId="12" applyFont="1" applyFill="1" applyAlignment="1">
      <alignment horizontal="center"/>
    </xf>
    <xf numFmtId="0" fontId="24" fillId="0" borderId="51" xfId="12" applyFont="1" applyFill="1" applyBorder="1" applyAlignment="1">
      <alignment horizontal="left"/>
    </xf>
    <xf numFmtId="0" fontId="24" fillId="0" borderId="52" xfId="12" applyFont="1" applyFill="1" applyBorder="1" applyAlignment="1">
      <alignment horizontal="left"/>
    </xf>
    <xf numFmtId="3" fontId="24" fillId="0" borderId="52" xfId="12" applyNumberFormat="1" applyFont="1" applyFill="1" applyBorder="1"/>
    <xf numFmtId="176" fontId="24" fillId="0" borderId="52" xfId="12" applyNumberFormat="1" applyFont="1" applyFill="1" applyBorder="1" applyAlignment="1">
      <alignment horizontal="right"/>
    </xf>
    <xf numFmtId="176" fontId="24" fillId="0" borderId="53" xfId="12" applyNumberFormat="1" applyFont="1" applyFill="1" applyBorder="1" applyAlignment="1">
      <alignment horizontal="center"/>
    </xf>
    <xf numFmtId="4" fontId="24" fillId="0" borderId="52" xfId="12" applyNumberFormat="1" applyFont="1" applyFill="1" applyBorder="1"/>
    <xf numFmtId="9" fontId="24" fillId="0" borderId="54" xfId="12" applyNumberFormat="1" applyFont="1" applyFill="1" applyBorder="1" applyAlignment="1">
      <alignment horizontal="right"/>
    </xf>
    <xf numFmtId="0" fontId="24" fillId="0" borderId="55" xfId="12" applyFont="1" applyFill="1" applyBorder="1" applyAlignment="1">
      <alignment horizontal="left"/>
    </xf>
    <xf numFmtId="0" fontId="24" fillId="0" borderId="56" xfId="12" applyFont="1" applyFill="1" applyBorder="1" applyAlignment="1">
      <alignment horizontal="left"/>
    </xf>
    <xf numFmtId="3" fontId="24" fillId="0" borderId="56" xfId="12" applyNumberFormat="1" applyFont="1" applyFill="1" applyBorder="1"/>
    <xf numFmtId="176" fontId="24" fillId="0" borderId="56" xfId="12" applyNumberFormat="1" applyFont="1" applyFill="1" applyBorder="1" applyAlignment="1">
      <alignment horizontal="right"/>
    </xf>
    <xf numFmtId="176" fontId="24" fillId="0" borderId="56" xfId="12" applyNumberFormat="1" applyFont="1" applyFill="1" applyBorder="1" applyAlignment="1">
      <alignment horizontal="center"/>
    </xf>
    <xf numFmtId="4" fontId="24" fillId="0" borderId="56" xfId="12" applyNumberFormat="1" applyFont="1" applyFill="1" applyBorder="1"/>
    <xf numFmtId="176" fontId="24" fillId="0" borderId="57" xfId="12" applyNumberFormat="1" applyFont="1" applyFill="1" applyBorder="1" applyAlignment="1">
      <alignment horizontal="right"/>
    </xf>
    <xf numFmtId="3" fontId="24" fillId="0" borderId="56" xfId="12" applyNumberFormat="1" applyFont="1" applyFill="1" applyBorder="1" applyAlignment="1">
      <alignment horizontal="right"/>
    </xf>
    <xf numFmtId="0" fontId="23" fillId="0" borderId="55" xfId="12" applyFont="1" applyFill="1" applyBorder="1"/>
    <xf numFmtId="0" fontId="23" fillId="0" borderId="56" xfId="12" applyFont="1" applyFill="1" applyBorder="1"/>
    <xf numFmtId="3" fontId="23" fillId="0" borderId="56" xfId="12" applyNumberFormat="1" applyFont="1" applyFill="1" applyBorder="1" applyAlignment="1">
      <alignment horizontal="right"/>
    </xf>
    <xf numFmtId="176" fontId="23" fillId="0" borderId="56" xfId="12" applyNumberFormat="1" applyFont="1" applyFill="1" applyBorder="1" applyAlignment="1">
      <alignment horizontal="right"/>
    </xf>
    <xf numFmtId="176" fontId="23" fillId="0" borderId="56" xfId="12" applyNumberFormat="1" applyFont="1" applyFill="1" applyBorder="1" applyAlignment="1">
      <alignment horizontal="center"/>
    </xf>
    <xf numFmtId="0" fontId="24" fillId="0" borderId="56" xfId="12" applyFont="1" applyFill="1" applyBorder="1"/>
    <xf numFmtId="176" fontId="23" fillId="0" borderId="57" xfId="12" applyNumberFormat="1" applyFont="1" applyFill="1" applyBorder="1" applyAlignment="1">
      <alignment horizontal="right"/>
    </xf>
    <xf numFmtId="3" fontId="23" fillId="8" borderId="0" xfId="12" applyNumberFormat="1" applyFont="1" applyFill="1" applyBorder="1"/>
    <xf numFmtId="4" fontId="23" fillId="0" borderId="56" xfId="12" applyNumberFormat="1" applyFont="1" applyFill="1" applyBorder="1"/>
    <xf numFmtId="0" fontId="24" fillId="0" borderId="55" xfId="12" applyFont="1" applyFill="1" applyBorder="1"/>
    <xf numFmtId="4" fontId="41" fillId="3" borderId="0" xfId="12" applyNumberFormat="1" applyFont="1" applyFill="1" applyAlignment="1">
      <alignment horizontal="right" vertical="top" wrapText="1"/>
    </xf>
    <xf numFmtId="4" fontId="23" fillId="3" borderId="0" xfId="12" applyNumberFormat="1" applyFont="1" applyFill="1" applyBorder="1"/>
    <xf numFmtId="3" fontId="23" fillId="0" borderId="56" xfId="12" applyNumberFormat="1" applyFont="1" applyFill="1" applyBorder="1"/>
    <xf numFmtId="0" fontId="23" fillId="0" borderId="58" xfId="12" applyFont="1" applyFill="1" applyBorder="1"/>
    <xf numFmtId="0" fontId="23" fillId="0" borderId="59" xfId="12" applyFont="1" applyFill="1" applyBorder="1"/>
    <xf numFmtId="3" fontId="23" fillId="0" borderId="59" xfId="12" applyNumberFormat="1" applyFont="1" applyFill="1" applyBorder="1" applyAlignment="1">
      <alignment horizontal="right"/>
    </xf>
    <xf numFmtId="176" fontId="23" fillId="0" borderId="59" xfId="12" applyNumberFormat="1" applyFont="1" applyFill="1" applyBorder="1" applyAlignment="1">
      <alignment horizontal="right"/>
    </xf>
    <xf numFmtId="176" fontId="23" fillId="0" borderId="60" xfId="12" applyNumberFormat="1" applyFont="1" applyFill="1" applyBorder="1" applyAlignment="1">
      <alignment horizontal="center"/>
    </xf>
    <xf numFmtId="4" fontId="24" fillId="0" borderId="59" xfId="12" applyNumberFormat="1" applyFont="1" applyFill="1" applyBorder="1"/>
    <xf numFmtId="0" fontId="23" fillId="0" borderId="61" xfId="12" applyFont="1" applyFill="1" applyBorder="1" applyAlignment="1">
      <alignment horizontal="left"/>
    </xf>
    <xf numFmtId="0" fontId="23" fillId="0" borderId="61" xfId="12" applyFont="1" applyFill="1" applyBorder="1" applyAlignment="1">
      <alignment horizontal="right"/>
    </xf>
    <xf numFmtId="0" fontId="23" fillId="0" borderId="61" xfId="12" applyFont="1" applyFill="1" applyBorder="1"/>
    <xf numFmtId="0" fontId="23" fillId="0" borderId="61" xfId="12" applyFont="1" applyFill="1" applyBorder="1" applyAlignment="1">
      <alignment horizontal="center"/>
    </xf>
    <xf numFmtId="0" fontId="24" fillId="0" borderId="44" xfId="12" applyFont="1" applyFill="1" applyBorder="1" applyAlignment="1">
      <alignment horizontal="left"/>
    </xf>
    <xf numFmtId="3" fontId="23" fillId="0" borderId="52" xfId="12" applyNumberFormat="1" applyFont="1" applyFill="1" applyBorder="1" applyAlignment="1">
      <alignment horizontal="right"/>
    </xf>
    <xf numFmtId="176" fontId="24" fillId="0" borderId="33" xfId="12" applyNumberFormat="1" applyFont="1" applyFill="1" applyBorder="1" applyAlignment="1">
      <alignment horizontal="right"/>
    </xf>
    <xf numFmtId="3" fontId="23" fillId="0" borderId="33" xfId="12" applyNumberFormat="1" applyFont="1" applyFill="1" applyBorder="1" applyAlignment="1">
      <alignment horizontal="right"/>
    </xf>
    <xf numFmtId="176" fontId="23" fillId="0" borderId="62" xfId="12" applyNumberFormat="1" applyFont="1" applyFill="1" applyBorder="1" applyAlignment="1">
      <alignment horizontal="center"/>
    </xf>
    <xf numFmtId="176" fontId="23" fillId="0" borderId="63" xfId="12" applyNumberFormat="1" applyFont="1" applyFill="1" applyBorder="1" applyAlignment="1">
      <alignment horizontal="right"/>
    </xf>
    <xf numFmtId="3" fontId="23" fillId="0" borderId="0" xfId="12" applyNumberFormat="1" applyFont="1" applyFill="1" applyBorder="1"/>
    <xf numFmtId="0" fontId="24" fillId="0" borderId="46" xfId="12" applyFont="1" applyFill="1" applyBorder="1"/>
    <xf numFmtId="0" fontId="24" fillId="0" borderId="37" xfId="12" applyFont="1" applyFill="1" applyBorder="1"/>
    <xf numFmtId="176" fontId="23" fillId="0" borderId="64" xfId="12" applyNumberFormat="1" applyFont="1" applyFill="1" applyBorder="1" applyAlignment="1">
      <alignment horizontal="center"/>
    </xf>
    <xf numFmtId="176" fontId="23" fillId="0" borderId="65" xfId="12" applyNumberFormat="1" applyFont="1" applyFill="1" applyBorder="1" applyAlignment="1">
      <alignment horizontal="center"/>
    </xf>
    <xf numFmtId="176" fontId="23" fillId="0" borderId="66" xfId="12" applyNumberFormat="1" applyFont="1" applyFill="1" applyBorder="1" applyAlignment="1">
      <alignment horizontal="right"/>
    </xf>
    <xf numFmtId="3" fontId="23" fillId="3" borderId="0" xfId="12" applyNumberFormat="1" applyFont="1" applyFill="1" applyBorder="1"/>
    <xf numFmtId="0" fontId="23" fillId="0" borderId="46" xfId="12" applyFont="1" applyFill="1" applyBorder="1"/>
    <xf numFmtId="176" fontId="23" fillId="0" borderId="67" xfId="12" applyNumberFormat="1" applyFont="1" applyFill="1" applyBorder="1" applyAlignment="1">
      <alignment horizontal="right"/>
    </xf>
    <xf numFmtId="9" fontId="23" fillId="0" borderId="0" xfId="12" applyNumberFormat="1" applyFont="1" applyFill="1" applyBorder="1"/>
    <xf numFmtId="0" fontId="23" fillId="0" borderId="37" xfId="12" applyFont="1" applyFill="1" applyBorder="1" applyAlignment="1">
      <alignment horizontal="left"/>
    </xf>
    <xf numFmtId="175" fontId="23" fillId="3" borderId="0" xfId="8" applyNumberFormat="1" applyFont="1" applyFill="1" applyBorder="1"/>
    <xf numFmtId="175" fontId="23" fillId="3" borderId="0" xfId="12" applyNumberFormat="1" applyFont="1" applyFill="1" applyBorder="1"/>
    <xf numFmtId="0" fontId="24" fillId="0" borderId="46" xfId="12" applyFont="1" applyFill="1" applyBorder="1" applyAlignment="1">
      <alignment horizontal="left"/>
    </xf>
    <xf numFmtId="176" fontId="24" fillId="0" borderId="65" xfId="12" applyNumberFormat="1" applyFont="1" applyFill="1" applyBorder="1" applyAlignment="1">
      <alignment horizontal="center"/>
    </xf>
    <xf numFmtId="176" fontId="24" fillId="0" borderId="66" xfId="12" applyNumberFormat="1" applyFont="1" applyFill="1" applyBorder="1" applyAlignment="1">
      <alignment horizontal="right"/>
    </xf>
    <xf numFmtId="0" fontId="23" fillId="0" borderId="46" xfId="12" applyFont="1" applyFill="1" applyBorder="1" applyAlignment="1">
      <alignment horizontal="left"/>
    </xf>
    <xf numFmtId="0" fontId="24" fillId="0" borderId="37" xfId="12" applyFont="1" applyFill="1" applyBorder="1" applyAlignment="1">
      <alignment horizontal="left"/>
    </xf>
    <xf numFmtId="176" fontId="24" fillId="0" borderId="67" xfId="12" applyNumberFormat="1" applyFont="1" applyFill="1" applyBorder="1" applyAlignment="1">
      <alignment horizontal="right"/>
    </xf>
    <xf numFmtId="0" fontId="24" fillId="3" borderId="0" xfId="12" applyFont="1" applyFill="1" applyBorder="1"/>
    <xf numFmtId="3" fontId="23" fillId="0" borderId="40" xfId="12" applyNumberFormat="1" applyFont="1" applyFill="1" applyBorder="1" applyAlignment="1">
      <alignment horizontal="right"/>
    </xf>
    <xf numFmtId="0" fontId="23" fillId="0" borderId="68" xfId="12" applyFont="1" applyFill="1" applyBorder="1" applyAlignment="1">
      <alignment horizontal="left"/>
    </xf>
    <xf numFmtId="0" fontId="23" fillId="0" borderId="40" xfId="12" applyFont="1" applyFill="1" applyBorder="1" applyAlignment="1">
      <alignment horizontal="left"/>
    </xf>
    <xf numFmtId="176" fontId="23" fillId="0" borderId="40" xfId="12" applyNumberFormat="1" applyFont="1" applyFill="1" applyBorder="1" applyAlignment="1">
      <alignment horizontal="right"/>
    </xf>
    <xf numFmtId="4" fontId="23" fillId="0" borderId="40" xfId="12" applyNumberFormat="1" applyFont="1" applyFill="1" applyBorder="1"/>
    <xf numFmtId="176" fontId="23" fillId="0" borderId="69" xfId="12" applyNumberFormat="1" applyFont="1" applyFill="1" applyBorder="1" applyAlignment="1">
      <alignment horizontal="right"/>
    </xf>
    <xf numFmtId="176" fontId="23" fillId="0" borderId="70" xfId="12" applyNumberFormat="1" applyFont="1" applyFill="1" applyBorder="1" applyAlignment="1">
      <alignment horizontal="center"/>
    </xf>
    <xf numFmtId="176" fontId="23" fillId="0" borderId="71" xfId="12" applyNumberFormat="1" applyFont="1" applyFill="1" applyBorder="1" applyAlignment="1">
      <alignment horizontal="right"/>
    </xf>
    <xf numFmtId="0" fontId="24" fillId="0" borderId="40" xfId="12" applyFont="1" applyFill="1" applyBorder="1" applyAlignment="1">
      <alignment horizontal="left"/>
    </xf>
    <xf numFmtId="3" fontId="24" fillId="0" borderId="40" xfId="12" applyNumberFormat="1" applyFont="1" applyFill="1" applyBorder="1" applyAlignment="1">
      <alignment horizontal="right"/>
    </xf>
    <xf numFmtId="0" fontId="23" fillId="0" borderId="48" xfId="12" applyFont="1" applyFill="1" applyBorder="1"/>
    <xf numFmtId="0" fontId="23" fillId="0" borderId="43" xfId="12" applyFont="1" applyFill="1" applyBorder="1"/>
    <xf numFmtId="176" fontId="23" fillId="0" borderId="72" xfId="12" applyNumberFormat="1" applyFont="1" applyFill="1" applyBorder="1" applyAlignment="1">
      <alignment horizontal="right"/>
    </xf>
    <xf numFmtId="176" fontId="23" fillId="0" borderId="73" xfId="12" applyNumberFormat="1" applyFont="1" applyFill="1" applyBorder="1" applyAlignment="1">
      <alignment horizontal="center"/>
    </xf>
    <xf numFmtId="3" fontId="23" fillId="0" borderId="43" xfId="12" applyNumberFormat="1" applyFont="1" applyFill="1" applyBorder="1"/>
    <xf numFmtId="176" fontId="23" fillId="0" borderId="74" xfId="12" applyNumberFormat="1" applyFont="1" applyFill="1" applyBorder="1" applyAlignment="1">
      <alignment horizontal="right"/>
    </xf>
    <xf numFmtId="0" fontId="35" fillId="0" borderId="0" xfId="12" applyFont="1" applyFill="1" applyBorder="1" applyAlignment="1">
      <alignment horizontal="left"/>
    </xf>
    <xf numFmtId="0" fontId="23" fillId="0" borderId="0" xfId="12" applyFont="1" applyFill="1" applyBorder="1" applyAlignment="1">
      <alignment horizontal="center"/>
    </xf>
    <xf numFmtId="0" fontId="23" fillId="0" borderId="29" xfId="12" applyFont="1" applyFill="1" applyBorder="1"/>
    <xf numFmtId="0" fontId="23" fillId="0" borderId="75" xfId="12" applyFont="1" applyFill="1" applyBorder="1"/>
    <xf numFmtId="3" fontId="23" fillId="0" borderId="76" xfId="12" applyNumberFormat="1" applyFont="1" applyFill="1" applyBorder="1" applyAlignment="1">
      <alignment horizontal="right"/>
    </xf>
    <xf numFmtId="176" fontId="23" fillId="0" borderId="76" xfId="12" applyNumberFormat="1" applyFont="1" applyFill="1" applyBorder="1" applyAlignment="1">
      <alignment horizontal="right"/>
    </xf>
    <xf numFmtId="177" fontId="23" fillId="0" borderId="76" xfId="8" applyNumberFormat="1" applyFont="1" applyFill="1" applyBorder="1" applyAlignment="1"/>
    <xf numFmtId="176" fontId="23" fillId="0" borderId="76" xfId="12" applyNumberFormat="1" applyFont="1" applyFill="1" applyBorder="1" applyAlignment="1">
      <alignment horizontal="center"/>
    </xf>
    <xf numFmtId="4" fontId="23" fillId="0" borderId="76" xfId="12" applyNumberFormat="1" applyFont="1" applyFill="1" applyBorder="1"/>
    <xf numFmtId="3" fontId="23" fillId="0" borderId="76" xfId="12" applyNumberFormat="1" applyFont="1" applyFill="1" applyBorder="1"/>
    <xf numFmtId="176" fontId="23" fillId="0" borderId="77" xfId="12" applyNumberFormat="1" applyFont="1" applyFill="1" applyBorder="1" applyAlignment="1">
      <alignment horizontal="right"/>
    </xf>
    <xf numFmtId="0" fontId="23" fillId="0" borderId="0" xfId="12" applyFont="1" applyFill="1" applyBorder="1" applyAlignment="1">
      <alignment horizontal="left"/>
    </xf>
    <xf numFmtId="0" fontId="23" fillId="0" borderId="0" xfId="12" applyFont="1" applyFill="1" applyBorder="1" applyAlignment="1">
      <alignment horizontal="right"/>
    </xf>
    <xf numFmtId="0" fontId="36" fillId="0" borderId="0" xfId="12" applyFont="1" applyFill="1" applyAlignment="1">
      <alignment horizontal="left"/>
    </xf>
    <xf numFmtId="3" fontId="23" fillId="0" borderId="0" xfId="12" applyNumberFormat="1" applyFont="1" applyFill="1" applyAlignment="1">
      <alignment horizontal="center"/>
    </xf>
    <xf numFmtId="3" fontId="23" fillId="0" borderId="0" xfId="12" applyNumberFormat="1" applyFont="1" applyFill="1" applyBorder="1" applyAlignment="1">
      <alignment horizontal="right"/>
    </xf>
    <xf numFmtId="0" fontId="23" fillId="3" borderId="0" xfId="12" applyFont="1" applyFill="1" applyAlignment="1">
      <alignment horizontal="left"/>
    </xf>
    <xf numFmtId="0" fontId="27" fillId="0" borderId="0" xfId="12" applyFont="1" applyFill="1" applyAlignment="1">
      <alignment horizontal="left"/>
    </xf>
    <xf numFmtId="3" fontId="27" fillId="0" borderId="0" xfId="12" applyNumberFormat="1" applyFont="1" applyFill="1" applyBorder="1" applyAlignment="1">
      <alignment horizontal="right"/>
    </xf>
    <xf numFmtId="0" fontId="20" fillId="0" borderId="0" xfId="0" applyFont="1" applyFill="1" applyBorder="1" applyAlignment="1"/>
    <xf numFmtId="3" fontId="20" fillId="0" borderId="0" xfId="0" applyNumberFormat="1" applyFont="1" applyFill="1" applyBorder="1" applyAlignment="1"/>
    <xf numFmtId="0" fontId="19" fillId="0" borderId="0" xfId="0" applyFont="1" applyFill="1" applyBorder="1" applyAlignment="1"/>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45" fillId="0" borderId="0" xfId="0" applyFont="1" applyFill="1" applyBorder="1" applyAlignment="1"/>
    <xf numFmtId="0" fontId="43" fillId="0" borderId="0" xfId="0" applyFont="1" applyFill="1" applyAlignment="1">
      <alignment horizontal="center"/>
    </xf>
    <xf numFmtId="0" fontId="43" fillId="0" borderId="0" xfId="0" applyFont="1" applyFill="1"/>
    <xf numFmtId="3" fontId="43" fillId="0" borderId="0" xfId="0" applyNumberFormat="1" applyFont="1" applyFill="1"/>
    <xf numFmtId="3" fontId="45" fillId="0" borderId="0" xfId="0" applyNumberFormat="1" applyFont="1" applyFill="1" applyBorder="1" applyAlignment="1"/>
    <xf numFmtId="3" fontId="43" fillId="0" borderId="0" xfId="0" applyNumberFormat="1" applyFont="1" applyFill="1" applyAlignment="1">
      <alignment horizontal="center"/>
    </xf>
    <xf numFmtId="0" fontId="45" fillId="10" borderId="14" xfId="0" applyFont="1" applyFill="1" applyBorder="1"/>
    <xf numFmtId="3" fontId="45" fillId="10" borderId="14" xfId="0" applyNumberFormat="1" applyFont="1" applyFill="1" applyBorder="1"/>
    <xf numFmtId="3" fontId="45" fillId="10" borderId="84" xfId="22" applyNumberFormat="1" applyFont="1" applyFill="1" applyBorder="1"/>
    <xf numFmtId="3" fontId="45" fillId="10" borderId="3" xfId="0" applyNumberFormat="1" applyFont="1" applyFill="1" applyBorder="1"/>
    <xf numFmtId="0" fontId="45" fillId="0" borderId="0" xfId="0" applyFont="1" applyFill="1" applyBorder="1" applyAlignment="1">
      <alignment horizontal="center" vertical="center"/>
    </xf>
    <xf numFmtId="3" fontId="45" fillId="10" borderId="10" xfId="0" applyNumberFormat="1" applyFont="1" applyFill="1" applyBorder="1" applyAlignment="1">
      <alignment horizontal="center" vertical="center" wrapText="1"/>
    </xf>
    <xf numFmtId="14" fontId="45" fillId="10" borderId="81" xfId="0" applyNumberFormat="1" applyFont="1" applyFill="1" applyBorder="1" applyAlignment="1">
      <alignment horizontal="center" vertical="center" wrapText="1"/>
    </xf>
    <xf numFmtId="3" fontId="45" fillId="10" borderId="86" xfId="0" applyNumberFormat="1" applyFont="1" applyFill="1" applyBorder="1" applyAlignment="1">
      <alignment horizontal="center" vertical="center" wrapText="1"/>
    </xf>
    <xf numFmtId="0" fontId="43" fillId="0" borderId="89" xfId="0" applyFont="1" applyFill="1" applyBorder="1" applyAlignment="1">
      <alignment wrapText="1"/>
    </xf>
    <xf numFmtId="3" fontId="43" fillId="0" borderId="89" xfId="0" applyNumberFormat="1" applyFont="1" applyFill="1" applyBorder="1"/>
    <xf numFmtId="0" fontId="43" fillId="0" borderId="90" xfId="0" applyFont="1" applyFill="1" applyBorder="1" applyAlignment="1">
      <alignment wrapText="1"/>
    </xf>
    <xf numFmtId="3" fontId="43" fillId="0" borderId="90" xfId="0" applyNumberFormat="1" applyFont="1" applyFill="1" applyBorder="1"/>
    <xf numFmtId="0" fontId="43" fillId="0" borderId="90" xfId="0" applyFont="1" applyFill="1" applyBorder="1"/>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3" fontId="43" fillId="0" borderId="96" xfId="0" applyNumberFormat="1" applyFont="1" applyFill="1" applyBorder="1"/>
    <xf numFmtId="3" fontId="43" fillId="0" borderId="97" xfId="0" applyNumberFormat="1" applyFont="1" applyFill="1" applyBorder="1"/>
    <xf numFmtId="3" fontId="45" fillId="10" borderId="15" xfId="0" applyNumberFormat="1" applyFont="1" applyFill="1" applyBorder="1"/>
    <xf numFmtId="3" fontId="43" fillId="0" borderId="80" xfId="0" applyNumberFormat="1" applyFont="1" applyFill="1" applyBorder="1"/>
    <xf numFmtId="0" fontId="64" fillId="9" borderId="0" xfId="0" applyFont="1" applyFill="1" applyAlignment="1">
      <alignment vertical="center"/>
    </xf>
    <xf numFmtId="0" fontId="65" fillId="9" borderId="0" xfId="19" applyFont="1" applyFill="1"/>
    <xf numFmtId="0" fontId="64" fillId="9" borderId="0" xfId="19" applyFont="1" applyFill="1"/>
    <xf numFmtId="0" fontId="64" fillId="9" borderId="0" xfId="0" applyFont="1" applyFill="1"/>
    <xf numFmtId="0" fontId="66" fillId="9" borderId="146" xfId="0" applyFont="1" applyFill="1" applyBorder="1" applyAlignment="1">
      <alignment horizontal="justify" vertical="center"/>
    </xf>
    <xf numFmtId="0" fontId="66" fillId="9" borderId="109" xfId="0" applyFont="1" applyFill="1" applyBorder="1" applyAlignment="1">
      <alignment horizontal="justify" vertical="center"/>
    </xf>
    <xf numFmtId="0" fontId="64" fillId="9" borderId="146" xfId="0" applyFont="1" applyFill="1" applyBorder="1" applyAlignment="1">
      <alignment horizontal="justify" vertical="center"/>
    </xf>
    <xf numFmtId="0" fontId="64" fillId="9" borderId="109" xfId="0" applyFont="1" applyFill="1" applyBorder="1" applyAlignment="1">
      <alignment horizontal="justify" vertical="center"/>
    </xf>
    <xf numFmtId="0" fontId="66" fillId="12" borderId="146" xfId="0" applyFont="1" applyFill="1" applyBorder="1" applyAlignment="1">
      <alignment horizontal="justify" vertical="center"/>
    </xf>
    <xf numFmtId="0" fontId="66" fillId="12" borderId="109" xfId="0" applyFont="1" applyFill="1" applyBorder="1" applyAlignment="1">
      <alignment horizontal="justify" vertical="center"/>
    </xf>
    <xf numFmtId="3" fontId="64" fillId="9" borderId="109" xfId="0" applyNumberFormat="1" applyFont="1" applyFill="1" applyBorder="1" applyAlignment="1">
      <alignment horizontal="right" vertical="center"/>
    </xf>
    <xf numFmtId="168" fontId="64" fillId="9" borderId="109" xfId="7" applyFont="1" applyFill="1" applyBorder="1" applyAlignment="1">
      <alignment horizontal="right" vertical="center"/>
    </xf>
    <xf numFmtId="168" fontId="64" fillId="9" borderId="0" xfId="7" applyFont="1" applyFill="1"/>
    <xf numFmtId="3" fontId="64" fillId="0" borderId="109" xfId="0" applyNumberFormat="1" applyFont="1" applyFill="1" applyBorder="1" applyAlignment="1">
      <alignment horizontal="right" vertical="center"/>
    </xf>
    <xf numFmtId="3" fontId="66" fillId="12" borderId="109" xfId="0" applyNumberFormat="1" applyFont="1" applyFill="1" applyBorder="1" applyAlignment="1">
      <alignment vertical="center"/>
    </xf>
    <xf numFmtId="0" fontId="66" fillId="9" borderId="0" xfId="0" applyFont="1" applyFill="1" applyBorder="1" applyAlignment="1">
      <alignment horizontal="justify" vertical="center"/>
    </xf>
    <xf numFmtId="3" fontId="66" fillId="9" borderId="0" xfId="0" applyNumberFormat="1" applyFont="1" applyFill="1" applyBorder="1" applyAlignment="1">
      <alignment vertical="center"/>
    </xf>
    <xf numFmtId="0" fontId="66" fillId="9" borderId="0" xfId="19" applyFont="1" applyFill="1"/>
    <xf numFmtId="0" fontId="66" fillId="12" borderId="119" xfId="0" applyFont="1" applyFill="1" applyBorder="1" applyAlignment="1">
      <alignment horizontal="center"/>
    </xf>
    <xf numFmtId="0" fontId="66" fillId="12" borderId="80" xfId="0" applyFont="1" applyFill="1" applyBorder="1" applyAlignment="1">
      <alignment horizontal="center"/>
    </xf>
    <xf numFmtId="0" fontId="66" fillId="12" borderId="80" xfId="0" applyFont="1" applyFill="1" applyBorder="1" applyAlignment="1">
      <alignment horizontal="center" wrapText="1"/>
    </xf>
    <xf numFmtId="0" fontId="66" fillId="12" borderId="112" xfId="0" applyFont="1" applyFill="1" applyBorder="1" applyAlignment="1">
      <alignment horizontal="center" wrapText="1"/>
    </xf>
    <xf numFmtId="0" fontId="64" fillId="9" borderId="119" xfId="0" applyFont="1" applyFill="1" applyBorder="1"/>
    <xf numFmtId="0" fontId="64" fillId="9" borderId="80" xfId="0" applyFont="1" applyFill="1" applyBorder="1"/>
    <xf numFmtId="0" fontId="64" fillId="9" borderId="112" xfId="0" applyFont="1" applyFill="1" applyBorder="1"/>
    <xf numFmtId="0" fontId="66" fillId="12" borderId="119" xfId="0" applyFont="1" applyFill="1" applyBorder="1"/>
    <xf numFmtId="0" fontId="64" fillId="12" borderId="80" xfId="0" applyFont="1" applyFill="1" applyBorder="1"/>
    <xf numFmtId="0" fontId="64" fillId="12" borderId="112" xfId="0" applyFont="1" applyFill="1" applyBorder="1"/>
    <xf numFmtId="0" fontId="66" fillId="12" borderId="125" xfId="0" applyFont="1" applyFill="1" applyBorder="1"/>
    <xf numFmtId="0" fontId="64" fillId="12" borderId="115" xfId="0" applyFont="1" applyFill="1" applyBorder="1"/>
    <xf numFmtId="0" fontId="64" fillId="12" borderId="140" xfId="0" applyFont="1" applyFill="1" applyBorder="1"/>
    <xf numFmtId="0" fontId="66" fillId="9" borderId="0" xfId="0" applyFont="1" applyFill="1" applyAlignment="1">
      <alignment vertical="center"/>
    </xf>
    <xf numFmtId="0" fontId="64" fillId="0" borderId="0" xfId="19" applyFont="1" applyFill="1"/>
    <xf numFmtId="0" fontId="66" fillId="0" borderId="0" xfId="19" applyFont="1" applyFill="1" applyBorder="1" applyAlignment="1"/>
    <xf numFmtId="0" fontId="64" fillId="0" borderId="0" xfId="0" applyFont="1"/>
    <xf numFmtId="0" fontId="64" fillId="0" borderId="0" xfId="19" applyFont="1"/>
    <xf numFmtId="166" fontId="64" fillId="0" borderId="0" xfId="19" applyNumberFormat="1" applyFont="1"/>
    <xf numFmtId="0" fontId="66" fillId="0" borderId="119" xfId="19" applyFont="1" applyFill="1" applyBorder="1"/>
    <xf numFmtId="37" fontId="64" fillId="0" borderId="80" xfId="19" applyNumberFormat="1" applyFont="1" applyFill="1" applyBorder="1"/>
    <xf numFmtId="37" fontId="64" fillId="0" borderId="112" xfId="19" applyNumberFormat="1" applyFont="1" applyFill="1" applyBorder="1"/>
    <xf numFmtId="0" fontId="64" fillId="0" borderId="119" xfId="19" applyFont="1" applyFill="1" applyBorder="1"/>
    <xf numFmtId="14" fontId="64" fillId="0" borderId="0" xfId="19" applyNumberFormat="1" applyFont="1" applyFill="1"/>
    <xf numFmtId="0" fontId="66" fillId="12" borderId="119" xfId="19" applyFont="1" applyFill="1" applyBorder="1"/>
    <xf numFmtId="37" fontId="66" fillId="12" borderId="80" xfId="19" applyNumberFormat="1" applyFont="1" applyFill="1" applyBorder="1"/>
    <xf numFmtId="37" fontId="64" fillId="12" borderId="112" xfId="19" applyNumberFormat="1" applyFont="1" applyFill="1" applyBorder="1" applyAlignment="1">
      <alignment vertical="center"/>
    </xf>
    <xf numFmtId="37" fontId="66" fillId="0" borderId="80" xfId="19" applyNumberFormat="1" applyFont="1" applyFill="1" applyBorder="1"/>
    <xf numFmtId="37" fontId="66" fillId="0" borderId="112" xfId="19" applyNumberFormat="1" applyFont="1" applyFill="1" applyBorder="1"/>
    <xf numFmtId="0" fontId="64" fillId="0" borderId="119" xfId="18" applyFont="1" applyFill="1" applyBorder="1"/>
    <xf numFmtId="0" fontId="64" fillId="0" borderId="111" xfId="18" applyFont="1" applyFill="1" applyBorder="1"/>
    <xf numFmtId="0" fontId="66" fillId="12" borderId="111" xfId="19" applyFont="1" applyFill="1" applyBorder="1"/>
    <xf numFmtId="0" fontId="66" fillId="0" borderId="111" xfId="19" applyFont="1" applyFill="1" applyBorder="1"/>
    <xf numFmtId="0" fontId="64" fillId="0" borderId="111" xfId="18" applyFont="1" applyBorder="1"/>
    <xf numFmtId="37" fontId="64" fillId="12" borderId="112" xfId="19" applyNumberFormat="1" applyFont="1" applyFill="1" applyBorder="1"/>
    <xf numFmtId="0" fontId="66" fillId="0" borderId="125" xfId="19" applyFont="1" applyFill="1" applyBorder="1"/>
    <xf numFmtId="37" fontId="66" fillId="0" borderId="115" xfId="19" applyNumberFormat="1" applyFont="1" applyFill="1" applyBorder="1"/>
    <xf numFmtId="37" fontId="64" fillId="0" borderId="140" xfId="19" applyNumberFormat="1" applyFont="1" applyFill="1" applyBorder="1"/>
    <xf numFmtId="0" fontId="66" fillId="0" borderId="0" xfId="19" applyFont="1" applyFill="1"/>
    <xf numFmtId="0" fontId="66" fillId="11" borderId="124" xfId="19" applyFont="1" applyFill="1" applyBorder="1" applyAlignment="1">
      <alignment horizontal="center" vertical="center"/>
    </xf>
    <xf numFmtId="0" fontId="66" fillId="11" borderId="121" xfId="19" applyFont="1" applyFill="1" applyBorder="1" applyAlignment="1">
      <alignment horizontal="center" vertical="center"/>
    </xf>
    <xf numFmtId="0" fontId="66" fillId="11" borderId="121" xfId="19" applyFont="1" applyFill="1" applyBorder="1" applyAlignment="1">
      <alignment horizontal="center" vertical="center" wrapText="1"/>
    </xf>
    <xf numFmtId="0" fontId="66" fillId="11" borderId="142" xfId="19" applyFont="1" applyFill="1" applyBorder="1" applyAlignment="1">
      <alignment horizontal="center" vertical="center" wrapText="1"/>
    </xf>
    <xf numFmtId="168" fontId="64" fillId="0" borderId="80" xfId="120" applyFont="1" applyFill="1" applyBorder="1"/>
    <xf numFmtId="168" fontId="64" fillId="0" borderId="112" xfId="120" applyFont="1" applyFill="1" applyBorder="1"/>
    <xf numFmtId="3" fontId="64" fillId="0" borderId="0" xfId="19" applyNumberFormat="1" applyFont="1" applyFill="1"/>
    <xf numFmtId="0" fontId="64" fillId="0" borderId="0" xfId="18" applyFont="1"/>
    <xf numFmtId="0" fontId="65" fillId="0" borderId="0" xfId="18" applyFont="1" applyAlignment="1">
      <alignment horizontal="center"/>
    </xf>
    <xf numFmtId="0" fontId="66" fillId="0" borderId="0" xfId="18" applyFont="1" applyAlignment="1"/>
    <xf numFmtId="0" fontId="64" fillId="0" borderId="0" xfId="18" applyFont="1" applyAlignment="1">
      <alignment horizontal="center"/>
    </xf>
    <xf numFmtId="0" fontId="66" fillId="0" borderId="0" xfId="18" applyFont="1" applyAlignment="1">
      <alignment horizontal="center"/>
    </xf>
    <xf numFmtId="0" fontId="65" fillId="0" borderId="110" xfId="18" applyFont="1" applyBorder="1"/>
    <xf numFmtId="172" fontId="64" fillId="0" borderId="25" xfId="119" applyFont="1" applyBorder="1"/>
    <xf numFmtId="172" fontId="64" fillId="0" borderId="123" xfId="119" applyFont="1" applyBorder="1"/>
    <xf numFmtId="172" fontId="64" fillId="0" borderId="80" xfId="119" applyFont="1" applyBorder="1"/>
    <xf numFmtId="167" fontId="64" fillId="0" borderId="80" xfId="119" applyNumberFormat="1" applyFont="1" applyFill="1" applyBorder="1"/>
    <xf numFmtId="172" fontId="64" fillId="0" borderId="80" xfId="119" applyFont="1" applyBorder="1" applyAlignment="1">
      <alignment horizontal="center"/>
    </xf>
    <xf numFmtId="172" fontId="64" fillId="0" borderId="112" xfId="119" applyFont="1" applyBorder="1" applyAlignment="1">
      <alignment horizontal="center"/>
    </xf>
    <xf numFmtId="0" fontId="65" fillId="12" borderId="119" xfId="18" applyFont="1" applyFill="1" applyBorder="1"/>
    <xf numFmtId="172" fontId="66" fillId="12" borderId="80" xfId="119" applyFont="1" applyFill="1" applyBorder="1"/>
    <xf numFmtId="167" fontId="66" fillId="12" borderId="80" xfId="119" applyNumberFormat="1" applyFont="1" applyFill="1" applyBorder="1"/>
    <xf numFmtId="172" fontId="66" fillId="12" borderId="112" xfId="119" applyFont="1" applyFill="1" applyBorder="1"/>
    <xf numFmtId="0" fontId="66" fillId="0" borderId="119" xfId="18" applyFont="1" applyBorder="1"/>
    <xf numFmtId="172" fontId="66" fillId="0" borderId="80" xfId="119" applyFont="1" applyBorder="1"/>
    <xf numFmtId="167" fontId="66" fillId="0" borderId="80" xfId="119" applyNumberFormat="1" applyFont="1" applyBorder="1"/>
    <xf numFmtId="172" fontId="66" fillId="0" borderId="112" xfId="119" applyFont="1" applyBorder="1"/>
    <xf numFmtId="0" fontId="65" fillId="0" borderId="119" xfId="18" applyFont="1" applyFill="1" applyBorder="1"/>
    <xf numFmtId="172" fontId="64" fillId="0" borderId="80" xfId="119" applyFont="1" applyFill="1" applyBorder="1"/>
    <xf numFmtId="172" fontId="64" fillId="0" borderId="112" xfId="119" applyFont="1" applyFill="1" applyBorder="1"/>
    <xf numFmtId="167" fontId="66" fillId="12" borderId="112" xfId="119" applyNumberFormat="1" applyFont="1" applyFill="1" applyBorder="1"/>
    <xf numFmtId="0" fontId="64" fillId="0" borderId="0" xfId="18" applyFont="1" applyFill="1"/>
    <xf numFmtId="0" fontId="64" fillId="0" borderId="119" xfId="18" applyFont="1" applyFill="1" applyBorder="1" applyAlignment="1">
      <alignment horizontal="left"/>
    </xf>
    <xf numFmtId="172" fontId="66" fillId="0" borderId="80" xfId="119" applyFont="1" applyFill="1" applyBorder="1"/>
    <xf numFmtId="172" fontId="66" fillId="0" borderId="112" xfId="119" applyFont="1" applyFill="1" applyBorder="1"/>
    <xf numFmtId="0" fontId="66" fillId="0" borderId="125" xfId="18" applyFont="1" applyFill="1" applyBorder="1"/>
    <xf numFmtId="172" fontId="66" fillId="0" borderId="115" xfId="119" applyFont="1" applyFill="1" applyBorder="1"/>
    <xf numFmtId="167" fontId="66" fillId="0" borderId="115" xfId="119" applyNumberFormat="1" applyFont="1" applyFill="1" applyBorder="1"/>
    <xf numFmtId="167" fontId="66" fillId="0" borderId="115" xfId="119" applyNumberFormat="1" applyFont="1" applyFill="1" applyBorder="1" applyAlignment="1" applyProtection="1"/>
    <xf numFmtId="167" fontId="66" fillId="0" borderId="115" xfId="119" applyNumberFormat="1" applyFont="1" applyBorder="1"/>
    <xf numFmtId="167" fontId="66" fillId="0" borderId="140" xfId="119" applyNumberFormat="1" applyFont="1" applyBorder="1"/>
    <xf numFmtId="14" fontId="64" fillId="0" borderId="0" xfId="18" applyNumberFormat="1" applyFont="1"/>
    <xf numFmtId="167" fontId="64" fillId="0" borderId="0" xfId="18" applyNumberFormat="1" applyFont="1"/>
    <xf numFmtId="0" fontId="67" fillId="9" borderId="29" xfId="0" applyFont="1" applyFill="1" applyBorder="1" applyAlignment="1">
      <alignment vertical="center" wrapText="1"/>
    </xf>
    <xf numFmtId="0" fontId="67" fillId="9" borderId="50" xfId="0" applyFont="1" applyFill="1" applyBorder="1" applyAlignment="1">
      <alignment vertical="center" wrapText="1"/>
    </xf>
    <xf numFmtId="0" fontId="67" fillId="9" borderId="146" xfId="0" applyFont="1" applyFill="1" applyBorder="1" applyAlignment="1">
      <alignment vertical="center" wrapText="1"/>
    </xf>
    <xf numFmtId="0" fontId="67" fillId="9" borderId="109" xfId="0" applyFont="1" applyFill="1" applyBorder="1" applyAlignment="1">
      <alignment vertical="center" wrapText="1"/>
    </xf>
    <xf numFmtId="0" fontId="67" fillId="9" borderId="108" xfId="0" applyFont="1" applyFill="1" applyBorder="1" applyAlignment="1">
      <alignment vertical="center" wrapText="1"/>
    </xf>
    <xf numFmtId="0" fontId="65" fillId="9" borderId="0" xfId="0" applyFont="1" applyFill="1"/>
    <xf numFmtId="0" fontId="66" fillId="9" borderId="0" xfId="0" applyFont="1" applyFill="1"/>
    <xf numFmtId="0" fontId="67" fillId="9" borderId="103" xfId="12" applyFont="1" applyFill="1" applyBorder="1" applyAlignment="1">
      <alignment vertical="center" wrapText="1"/>
    </xf>
    <xf numFmtId="0" fontId="67" fillId="9" borderId="110" xfId="12" applyFont="1" applyFill="1" applyBorder="1" applyAlignment="1">
      <alignment vertical="center" wrapText="1"/>
    </xf>
    <xf numFmtId="0" fontId="67" fillId="9" borderId="104" xfId="12" applyFont="1" applyFill="1" applyBorder="1" applyAlignment="1">
      <alignment vertical="center" wrapText="1"/>
    </xf>
    <xf numFmtId="0" fontId="67" fillId="9" borderId="0" xfId="12" applyFont="1" applyFill="1" applyBorder="1" applyAlignment="1">
      <alignment vertical="center" wrapText="1"/>
    </xf>
    <xf numFmtId="0" fontId="64" fillId="9" borderId="107" xfId="0" applyFont="1" applyFill="1" applyBorder="1" applyAlignment="1">
      <alignment vertical="center" wrapText="1"/>
    </xf>
    <xf numFmtId="0" fontId="64" fillId="9" borderId="108" xfId="0" applyFont="1" applyFill="1" applyBorder="1" applyAlignment="1">
      <alignment vertical="center" wrapText="1"/>
    </xf>
    <xf numFmtId="0" fontId="64" fillId="9" borderId="109" xfId="0" applyFont="1" applyFill="1" applyBorder="1" applyAlignment="1">
      <alignment vertical="center" wrapText="1"/>
    </xf>
    <xf numFmtId="0" fontId="64" fillId="9" borderId="0" xfId="0" applyFont="1" applyFill="1" applyBorder="1" applyAlignment="1">
      <alignment vertical="center" wrapText="1"/>
    </xf>
    <xf numFmtId="0" fontId="68" fillId="9" borderId="0" xfId="0" applyFont="1" applyFill="1"/>
    <xf numFmtId="0" fontId="69" fillId="12" borderId="124" xfId="0" applyFont="1" applyFill="1" applyBorder="1" applyAlignment="1">
      <alignment horizontal="justify" vertical="center"/>
    </xf>
    <xf numFmtId="0" fontId="69" fillId="12" borderId="142" xfId="0" applyFont="1" applyFill="1" applyBorder="1" applyAlignment="1">
      <alignment horizontal="justify" vertical="center"/>
    </xf>
    <xf numFmtId="0" fontId="67" fillId="9" borderId="119" xfId="0" applyFont="1" applyFill="1" applyBorder="1" applyAlignment="1">
      <alignment horizontal="justify" vertical="center"/>
    </xf>
    <xf numFmtId="0" fontId="67" fillId="9" borderId="112" xfId="0" applyFont="1" applyFill="1" applyBorder="1" applyAlignment="1">
      <alignment horizontal="justify" vertical="center"/>
    </xf>
    <xf numFmtId="0" fontId="67" fillId="9" borderId="125" xfId="0" applyFont="1" applyFill="1" applyBorder="1" applyAlignment="1">
      <alignment horizontal="justify" vertical="center"/>
    </xf>
    <xf numFmtId="0" fontId="67" fillId="9" borderId="140" xfId="0" applyFont="1" applyFill="1" applyBorder="1" applyAlignment="1">
      <alignment horizontal="justify" vertical="center"/>
    </xf>
    <xf numFmtId="0" fontId="64" fillId="0" borderId="0" xfId="0" applyFont="1" applyAlignment="1">
      <alignment vertical="center"/>
    </xf>
    <xf numFmtId="0" fontId="69" fillId="11" borderId="29" xfId="0" applyFont="1" applyFill="1" applyBorder="1" applyAlignment="1">
      <alignment horizontal="center" vertical="center"/>
    </xf>
    <xf numFmtId="0" fontId="69" fillId="11" borderId="50" xfId="0" applyFont="1" applyFill="1" applyBorder="1" applyAlignment="1">
      <alignment horizontal="center" vertical="center"/>
    </xf>
    <xf numFmtId="0" fontId="69" fillId="11" borderId="50" xfId="0" applyFont="1" applyFill="1" applyBorder="1" applyAlignment="1">
      <alignment horizontal="center" vertical="center" wrapText="1"/>
    </xf>
    <xf numFmtId="0" fontId="67" fillId="9" borderId="146" xfId="0" applyFont="1" applyFill="1" applyBorder="1" applyAlignment="1">
      <alignment horizontal="justify" vertical="center"/>
    </xf>
    <xf numFmtId="0" fontId="67" fillId="9" borderId="109" xfId="0" applyFont="1" applyFill="1" applyBorder="1" applyAlignment="1">
      <alignment horizontal="left" vertical="center" wrapText="1"/>
    </xf>
    <xf numFmtId="0" fontId="67" fillId="9" borderId="109" xfId="0" applyFont="1" applyFill="1" applyBorder="1" applyAlignment="1">
      <alignment horizontal="center" vertical="center"/>
    </xf>
    <xf numFmtId="3" fontId="67" fillId="9" borderId="109" xfId="0" applyNumberFormat="1" applyFont="1" applyFill="1" applyBorder="1" applyAlignment="1">
      <alignment horizontal="center" vertical="center"/>
    </xf>
    <xf numFmtId="0" fontId="67" fillId="9" borderId="108" xfId="0" applyFont="1" applyFill="1" applyBorder="1" applyAlignment="1">
      <alignment horizontal="justify" vertical="center"/>
    </xf>
    <xf numFmtId="0" fontId="67" fillId="9" borderId="108" xfId="0" applyFont="1" applyFill="1" applyBorder="1" applyAlignment="1">
      <alignment horizontal="center" vertical="center"/>
    </xf>
    <xf numFmtId="0" fontId="67" fillId="9" borderId="29" xfId="0" applyFont="1" applyFill="1" applyBorder="1" applyAlignment="1">
      <alignment horizontal="center" vertical="center"/>
    </xf>
    <xf numFmtId="3" fontId="67" fillId="9" borderId="29" xfId="0" applyNumberFormat="1" applyFont="1" applyFill="1" applyBorder="1" applyAlignment="1">
      <alignment horizontal="center" vertical="center"/>
    </xf>
    <xf numFmtId="0" fontId="66" fillId="9" borderId="28" xfId="0" applyFont="1" applyFill="1" applyBorder="1"/>
    <xf numFmtId="0" fontId="66" fillId="9" borderId="29" xfId="0" applyFont="1" applyFill="1" applyBorder="1"/>
    <xf numFmtId="0" fontId="66" fillId="9" borderId="146" xfId="0" applyFont="1" applyFill="1" applyBorder="1"/>
    <xf numFmtId="0" fontId="69" fillId="9" borderId="146" xfId="0" applyFont="1" applyFill="1" applyBorder="1" applyAlignment="1">
      <alignment horizontal="center" vertical="center"/>
    </xf>
    <xf numFmtId="0" fontId="69" fillId="9" borderId="29" xfId="0" applyFont="1" applyFill="1" applyBorder="1" applyAlignment="1">
      <alignment horizontal="center" vertical="center"/>
    </xf>
    <xf numFmtId="3" fontId="69" fillId="9" borderId="29" xfId="0" applyNumberFormat="1" applyFont="1" applyFill="1" applyBorder="1" applyAlignment="1">
      <alignment horizontal="center" vertical="center"/>
    </xf>
    <xf numFmtId="0" fontId="69" fillId="11" borderId="29" xfId="0" applyFont="1" applyFill="1" applyBorder="1" applyAlignment="1">
      <alignment horizontal="justify" vertical="center"/>
    </xf>
    <xf numFmtId="0" fontId="67" fillId="9" borderId="109" xfId="0" applyFont="1" applyFill="1" applyBorder="1" applyAlignment="1">
      <alignment horizontal="justify" vertical="center"/>
    </xf>
    <xf numFmtId="0" fontId="64" fillId="9" borderId="0" xfId="0" applyFont="1" applyFill="1" applyAlignment="1">
      <alignment horizontal="justify" vertical="center"/>
    </xf>
    <xf numFmtId="0" fontId="64" fillId="9" borderId="0" xfId="0" applyFont="1" applyFill="1" applyAlignment="1">
      <alignment horizontal="left" vertical="center"/>
    </xf>
    <xf numFmtId="0" fontId="66" fillId="9" borderId="0" xfId="0" applyFont="1" applyFill="1" applyAlignment="1">
      <alignment horizontal="center" vertical="center"/>
    </xf>
    <xf numFmtId="0" fontId="65" fillId="9" borderId="0" xfId="0" applyFont="1" applyFill="1" applyAlignment="1">
      <alignment vertical="center"/>
    </xf>
    <xf numFmtId="0" fontId="64" fillId="0" borderId="0" xfId="0" applyFont="1" applyFill="1" applyAlignment="1">
      <alignment vertical="center"/>
    </xf>
    <xf numFmtId="0" fontId="66" fillId="9" borderId="0" xfId="21" applyFont="1" applyFill="1"/>
    <xf numFmtId="0" fontId="70" fillId="9" borderId="0" xfId="21" applyFont="1" applyFill="1" applyBorder="1" applyAlignment="1">
      <alignment horizontal="center"/>
    </xf>
    <xf numFmtId="0" fontId="66" fillId="11" borderId="103" xfId="21" applyFont="1" applyFill="1" applyBorder="1" applyAlignment="1">
      <alignment horizontal="center"/>
    </xf>
    <xf numFmtId="184" fontId="66" fillId="11" borderId="61" xfId="21" applyNumberFormat="1" applyFont="1" applyFill="1" applyBorder="1" applyAlignment="1">
      <alignment horizontal="center"/>
    </xf>
    <xf numFmtId="0" fontId="66" fillId="11" borderId="61" xfId="21" applyFont="1" applyFill="1" applyBorder="1" applyAlignment="1">
      <alignment horizontal="center"/>
    </xf>
    <xf numFmtId="184" fontId="66" fillId="11" borderId="107" xfId="21" applyNumberFormat="1" applyFont="1" applyFill="1" applyBorder="1" applyAlignment="1">
      <alignment horizontal="center"/>
    </xf>
    <xf numFmtId="14" fontId="66" fillId="11" borderId="189" xfId="21" applyNumberFormat="1" applyFont="1" applyFill="1" applyBorder="1" applyAlignment="1">
      <alignment horizontal="center"/>
    </xf>
    <xf numFmtId="14" fontId="66" fillId="11" borderId="151" xfId="21" applyNumberFormat="1" applyFont="1" applyFill="1" applyBorder="1" applyAlignment="1">
      <alignment horizontal="center"/>
    </xf>
    <xf numFmtId="14" fontId="66" fillId="11" borderId="195" xfId="21" applyNumberFormat="1" applyFont="1" applyFill="1" applyBorder="1" applyAlignment="1">
      <alignment horizontal="center"/>
    </xf>
    <xf numFmtId="14" fontId="66" fillId="11" borderId="196" xfId="21" applyNumberFormat="1" applyFont="1" applyFill="1" applyBorder="1" applyAlignment="1">
      <alignment horizontal="center"/>
    </xf>
    <xf numFmtId="0" fontId="65" fillId="11" borderId="137" xfId="21" applyFont="1" applyFill="1" applyBorder="1" applyAlignment="1">
      <alignment horizontal="center"/>
    </xf>
    <xf numFmtId="0" fontId="65" fillId="11" borderId="95" xfId="21" applyFont="1" applyFill="1" applyBorder="1" applyAlignment="1">
      <alignment horizontal="center"/>
    </xf>
    <xf numFmtId="0" fontId="65" fillId="11" borderId="138" xfId="21" applyFont="1" applyFill="1" applyBorder="1" applyAlignment="1">
      <alignment horizontal="center"/>
    </xf>
    <xf numFmtId="0" fontId="66" fillId="9" borderId="103" xfId="21" applyFont="1" applyFill="1" applyBorder="1"/>
    <xf numFmtId="168" fontId="66" fillId="9" borderId="130" xfId="21" applyNumberFormat="1" applyFont="1" applyFill="1" applyBorder="1"/>
    <xf numFmtId="168" fontId="66" fillId="9" borderId="100" xfId="21" applyNumberFormat="1" applyFont="1" applyFill="1" applyBorder="1"/>
    <xf numFmtId="0" fontId="66" fillId="9" borderId="61" xfId="21" applyFont="1" applyFill="1" applyBorder="1"/>
    <xf numFmtId="168" fontId="66" fillId="9" borderId="131" xfId="21" applyNumberFormat="1" applyFont="1" applyFill="1" applyBorder="1"/>
    <xf numFmtId="0" fontId="66" fillId="9" borderId="116" xfId="21" applyFont="1" applyFill="1" applyBorder="1"/>
    <xf numFmtId="168" fontId="66" fillId="9" borderId="189" xfId="21" applyNumberFormat="1" applyFont="1" applyFill="1" applyBorder="1"/>
    <xf numFmtId="168" fontId="66" fillId="9" borderId="151" xfId="21" applyNumberFormat="1" applyFont="1" applyFill="1" applyBorder="1"/>
    <xf numFmtId="0" fontId="66" fillId="9" borderId="82" xfId="21" applyFont="1" applyFill="1" applyBorder="1"/>
    <xf numFmtId="168" fontId="66" fillId="9" borderId="183" xfId="21" applyNumberFormat="1" applyFont="1" applyFill="1" applyBorder="1"/>
    <xf numFmtId="0" fontId="66" fillId="9" borderId="110" xfId="21" applyFont="1" applyFill="1" applyBorder="1"/>
    <xf numFmtId="3" fontId="66" fillId="9" borderId="189" xfId="21" applyNumberFormat="1" applyFont="1" applyFill="1" applyBorder="1"/>
    <xf numFmtId="3" fontId="66" fillId="9" borderId="151" xfId="21" applyNumberFormat="1" applyFont="1" applyFill="1" applyBorder="1"/>
    <xf numFmtId="0" fontId="66" fillId="9" borderId="0" xfId="21" applyFont="1" applyFill="1" applyBorder="1"/>
    <xf numFmtId="0" fontId="65" fillId="9" borderId="118" xfId="21" applyFont="1" applyFill="1" applyBorder="1"/>
    <xf numFmtId="3" fontId="64" fillId="9" borderId="132" xfId="21" applyNumberFormat="1" applyFont="1" applyFill="1" applyBorder="1"/>
    <xf numFmtId="3" fontId="65" fillId="9" borderId="134" xfId="21" applyNumberFormat="1" applyFont="1" applyFill="1" applyBorder="1"/>
    <xf numFmtId="3" fontId="64" fillId="9" borderId="133" xfId="21" applyNumberFormat="1" applyFont="1" applyFill="1" applyBorder="1"/>
    <xf numFmtId="0" fontId="64" fillId="9" borderId="110" xfId="21" applyFont="1" applyFill="1" applyBorder="1"/>
    <xf numFmtId="3" fontId="64" fillId="9" borderId="189" xfId="21" applyNumberFormat="1" applyFont="1" applyFill="1" applyBorder="1"/>
    <xf numFmtId="3" fontId="64" fillId="9" borderId="0" xfId="21" applyNumberFormat="1" applyFont="1" applyFill="1" applyBorder="1"/>
    <xf numFmtId="3" fontId="64" fillId="9" borderId="183" xfId="21" applyNumberFormat="1" applyFont="1" applyFill="1" applyBorder="1"/>
    <xf numFmtId="3" fontId="64" fillId="0" borderId="189" xfId="21" applyNumberFormat="1" applyFont="1" applyFill="1" applyBorder="1"/>
    <xf numFmtId="3" fontId="64" fillId="9" borderId="0" xfId="21" applyNumberFormat="1" applyFont="1" applyFill="1" applyBorder="1" applyAlignment="1">
      <alignment wrapText="1"/>
    </xf>
    <xf numFmtId="3" fontId="66" fillId="9" borderId="0" xfId="21" applyNumberFormat="1" applyFont="1" applyFill="1"/>
    <xf numFmtId="3" fontId="66" fillId="9" borderId="80" xfId="21" applyNumberFormat="1" applyFont="1" applyFill="1" applyBorder="1"/>
    <xf numFmtId="3" fontId="64" fillId="9" borderId="190" xfId="21" applyNumberFormat="1" applyFont="1" applyFill="1" applyBorder="1"/>
    <xf numFmtId="3" fontId="64" fillId="9" borderId="191" xfId="21" applyNumberFormat="1" applyFont="1" applyFill="1" applyBorder="1"/>
    <xf numFmtId="3" fontId="66" fillId="9" borderId="112" xfId="21" applyNumberFormat="1" applyFont="1" applyFill="1" applyBorder="1"/>
    <xf numFmtId="3" fontId="64" fillId="9" borderId="190" xfId="6" applyNumberFormat="1" applyFont="1" applyFill="1" applyBorder="1" applyAlignment="1">
      <alignment horizontal="right"/>
    </xf>
    <xf numFmtId="3" fontId="64" fillId="9" borderId="25" xfId="6" applyNumberFormat="1" applyFont="1" applyFill="1" applyBorder="1" applyAlignment="1">
      <alignment horizontal="right"/>
    </xf>
    <xf numFmtId="172" fontId="66" fillId="9" borderId="151" xfId="6" applyFont="1" applyFill="1" applyBorder="1"/>
    <xf numFmtId="0" fontId="65" fillId="9" borderId="117" xfId="21" applyFont="1" applyFill="1" applyBorder="1"/>
    <xf numFmtId="172" fontId="64" fillId="9" borderId="165" xfId="6" applyFont="1" applyFill="1" applyBorder="1"/>
    <xf numFmtId="0" fontId="64" fillId="9" borderId="129" xfId="21" applyFont="1" applyFill="1" applyBorder="1"/>
    <xf numFmtId="167" fontId="64" fillId="9" borderId="80" xfId="6" applyNumberFormat="1" applyFont="1" applyFill="1" applyBorder="1"/>
    <xf numFmtId="167" fontId="64" fillId="9" borderId="139" xfId="6" applyNumberFormat="1" applyFont="1" applyFill="1" applyBorder="1"/>
    <xf numFmtId="3" fontId="65" fillId="9" borderId="0" xfId="21" applyNumberFormat="1" applyFont="1" applyFill="1" applyBorder="1"/>
    <xf numFmtId="3" fontId="64" fillId="9" borderId="165" xfId="21" applyNumberFormat="1" applyFont="1" applyFill="1" applyBorder="1"/>
    <xf numFmtId="3" fontId="64" fillId="9" borderId="108" xfId="21" applyNumberFormat="1" applyFont="1" applyFill="1" applyBorder="1"/>
    <xf numFmtId="3" fontId="64" fillId="9" borderId="192" xfId="21" applyNumberFormat="1" applyFont="1" applyFill="1" applyBorder="1"/>
    <xf numFmtId="172" fontId="66" fillId="9" borderId="0" xfId="6" applyFont="1" applyFill="1" applyBorder="1"/>
    <xf numFmtId="3" fontId="64" fillId="9" borderId="25" xfId="21" applyNumberFormat="1" applyFont="1" applyFill="1" applyBorder="1"/>
    <xf numFmtId="3" fontId="64" fillId="9" borderId="123" xfId="21" applyNumberFormat="1" applyFont="1" applyFill="1" applyBorder="1"/>
    <xf numFmtId="167" fontId="66" fillId="9" borderId="112" xfId="6" applyNumberFormat="1" applyFont="1" applyFill="1" applyBorder="1"/>
    <xf numFmtId="167" fontId="66" fillId="9" borderId="98" xfId="6" applyNumberFormat="1" applyFont="1" applyFill="1" applyBorder="1"/>
    <xf numFmtId="3" fontId="65" fillId="9" borderId="190" xfId="21" applyNumberFormat="1" applyFont="1" applyFill="1" applyBorder="1"/>
    <xf numFmtId="167" fontId="64" fillId="9" borderId="192" xfId="6" applyNumberFormat="1" applyFont="1" applyFill="1" applyBorder="1"/>
    <xf numFmtId="0" fontId="66" fillId="9" borderId="165" xfId="21" applyFont="1" applyFill="1" applyBorder="1"/>
    <xf numFmtId="172" fontId="66" fillId="9" borderId="190" xfId="6" applyFont="1" applyFill="1" applyBorder="1"/>
    <xf numFmtId="167" fontId="64" fillId="9" borderId="191" xfId="6" applyNumberFormat="1" applyFont="1" applyFill="1" applyBorder="1"/>
    <xf numFmtId="172" fontId="64" fillId="9" borderId="193" xfId="6" applyFont="1" applyFill="1" applyBorder="1"/>
    <xf numFmtId="172" fontId="64" fillId="9" borderId="183" xfId="6" applyFont="1" applyFill="1" applyBorder="1"/>
    <xf numFmtId="172" fontId="64" fillId="9" borderId="25" xfId="6" applyFont="1" applyFill="1" applyBorder="1"/>
    <xf numFmtId="3" fontId="64" fillId="9" borderId="134" xfId="21" applyNumberFormat="1" applyFont="1" applyFill="1" applyBorder="1"/>
    <xf numFmtId="3" fontId="66" fillId="9" borderId="119" xfId="21" applyNumberFormat="1" applyFont="1" applyFill="1" applyBorder="1"/>
    <xf numFmtId="167" fontId="66" fillId="9" borderId="80" xfId="6" applyNumberFormat="1" applyFont="1" applyFill="1" applyBorder="1"/>
    <xf numFmtId="3" fontId="66" fillId="9" borderId="165" xfId="21" applyNumberFormat="1" applyFont="1" applyFill="1" applyBorder="1"/>
    <xf numFmtId="172" fontId="64" fillId="9" borderId="151" xfId="6" applyFont="1" applyFill="1" applyBorder="1"/>
    <xf numFmtId="172" fontId="64" fillId="9" borderId="191" xfId="6" applyFont="1" applyFill="1" applyBorder="1"/>
    <xf numFmtId="0" fontId="66" fillId="9" borderId="191" xfId="21" applyFont="1" applyFill="1" applyBorder="1"/>
    <xf numFmtId="0" fontId="66" fillId="9" borderId="192" xfId="21" applyFont="1" applyFill="1" applyBorder="1"/>
    <xf numFmtId="3" fontId="66" fillId="9" borderId="120" xfId="21" applyNumberFormat="1" applyFont="1" applyFill="1" applyBorder="1"/>
    <xf numFmtId="172" fontId="64" fillId="9" borderId="80" xfId="6" applyFont="1" applyFill="1" applyBorder="1"/>
    <xf numFmtId="172" fontId="66" fillId="9" borderId="191" xfId="6" applyFont="1" applyFill="1" applyBorder="1"/>
    <xf numFmtId="3" fontId="66" fillId="9" borderId="128" xfId="21" applyNumberFormat="1" applyFont="1" applyFill="1" applyBorder="1"/>
    <xf numFmtId="0" fontId="66" fillId="9" borderId="80" xfId="21" applyFont="1" applyFill="1" applyBorder="1"/>
    <xf numFmtId="0" fontId="66" fillId="9" borderId="112" xfId="21" applyFont="1" applyFill="1" applyBorder="1"/>
    <xf numFmtId="3" fontId="64" fillId="9" borderId="168" xfId="21" applyNumberFormat="1" applyFont="1" applyFill="1" applyBorder="1"/>
    <xf numFmtId="3" fontId="66" fillId="9" borderId="190" xfId="21" applyNumberFormat="1" applyFont="1" applyFill="1" applyBorder="1"/>
    <xf numFmtId="167" fontId="64" fillId="9" borderId="122" xfId="6" applyNumberFormat="1" applyFont="1" applyFill="1" applyBorder="1" applyAlignment="1">
      <alignment horizontal="right"/>
    </xf>
    <xf numFmtId="3" fontId="66" fillId="9" borderId="191" xfId="21" applyNumberFormat="1" applyFont="1" applyFill="1" applyBorder="1"/>
    <xf numFmtId="3" fontId="64" fillId="0" borderId="190" xfId="21" applyNumberFormat="1" applyFont="1" applyFill="1" applyBorder="1"/>
    <xf numFmtId="0" fontId="65" fillId="9" borderId="110" xfId="21" applyFont="1" applyFill="1" applyBorder="1"/>
    <xf numFmtId="167" fontId="64" fillId="9" borderId="112" xfId="6" applyNumberFormat="1" applyFont="1" applyFill="1" applyBorder="1"/>
    <xf numFmtId="9" fontId="66" fillId="9" borderId="191" xfId="25" applyFont="1" applyFill="1" applyBorder="1"/>
    <xf numFmtId="3" fontId="66" fillId="9" borderId="192" xfId="21" applyNumberFormat="1" applyFont="1" applyFill="1" applyBorder="1"/>
    <xf numFmtId="0" fontId="64" fillId="9" borderId="0" xfId="21" applyFont="1" applyFill="1" applyBorder="1"/>
    <xf numFmtId="0" fontId="66" fillId="9" borderId="111" xfId="21" applyFont="1" applyFill="1" applyBorder="1"/>
    <xf numFmtId="3" fontId="66" fillId="9" borderId="22" xfId="21" applyNumberFormat="1" applyFont="1" applyFill="1" applyBorder="1"/>
    <xf numFmtId="3" fontId="66" fillId="9" borderId="123" xfId="21" applyNumberFormat="1" applyFont="1" applyFill="1" applyBorder="1"/>
    <xf numFmtId="0" fontId="66" fillId="9" borderId="83" xfId="21" applyFont="1" applyFill="1" applyBorder="1"/>
    <xf numFmtId="3" fontId="66" fillId="9" borderId="136" xfId="21" applyNumberFormat="1" applyFont="1" applyFill="1" applyBorder="1"/>
    <xf numFmtId="172" fontId="64" fillId="9" borderId="190" xfId="6" applyFont="1" applyFill="1" applyBorder="1"/>
    <xf numFmtId="0" fontId="66" fillId="9" borderId="190" xfId="21" applyFont="1" applyFill="1" applyBorder="1"/>
    <xf numFmtId="3" fontId="66" fillId="9" borderId="122" xfId="21" applyNumberFormat="1" applyFont="1" applyFill="1" applyBorder="1"/>
    <xf numFmtId="167" fontId="64" fillId="9" borderId="190" xfId="6" applyNumberFormat="1" applyFont="1" applyFill="1" applyBorder="1"/>
    <xf numFmtId="3" fontId="64" fillId="9" borderId="22" xfId="21" applyNumberFormat="1" applyFont="1" applyFill="1" applyBorder="1"/>
    <xf numFmtId="3" fontId="66" fillId="9" borderId="83" xfId="21" applyNumberFormat="1" applyFont="1" applyFill="1" applyBorder="1"/>
    <xf numFmtId="3" fontId="66" fillId="9" borderId="135" xfId="21" applyNumberFormat="1" applyFont="1" applyFill="1" applyBorder="1"/>
    <xf numFmtId="167" fontId="64" fillId="9" borderId="184" xfId="6" applyNumberFormat="1" applyFont="1" applyFill="1" applyBorder="1"/>
    <xf numFmtId="0" fontId="66" fillId="11" borderId="28" xfId="21" applyFont="1" applyFill="1" applyBorder="1"/>
    <xf numFmtId="3" fontId="66" fillId="11" borderId="186" xfId="21" applyNumberFormat="1" applyFont="1" applyFill="1" applyBorder="1"/>
    <xf numFmtId="3" fontId="66" fillId="11" borderId="76" xfId="21" applyNumberFormat="1" applyFont="1" applyFill="1" applyBorder="1"/>
    <xf numFmtId="3" fontId="66" fillId="11" borderId="77" xfId="21" applyNumberFormat="1" applyFont="1" applyFill="1" applyBorder="1"/>
    <xf numFmtId="3" fontId="66" fillId="9" borderId="0" xfId="21" applyNumberFormat="1" applyFont="1" applyFill="1" applyBorder="1"/>
    <xf numFmtId="172" fontId="64" fillId="9" borderId="0" xfId="6" applyFont="1" applyFill="1" applyBorder="1"/>
    <xf numFmtId="167" fontId="64" fillId="9" borderId="0" xfId="6" applyNumberFormat="1" applyFont="1" applyFill="1" applyBorder="1"/>
    <xf numFmtId="3" fontId="66" fillId="9" borderId="0" xfId="21" applyNumberFormat="1" applyFont="1" applyFill="1" applyBorder="1" applyAlignment="1">
      <alignment horizontal="center"/>
    </xf>
    <xf numFmtId="169" fontId="66" fillId="9" borderId="0" xfId="21" applyNumberFormat="1" applyFont="1" applyFill="1" applyBorder="1"/>
    <xf numFmtId="0" fontId="66" fillId="9" borderId="0" xfId="21" applyFont="1" applyFill="1" applyBorder="1" applyAlignment="1">
      <alignment horizontal="center"/>
    </xf>
    <xf numFmtId="0" fontId="66" fillId="9" borderId="0" xfId="21" applyFont="1" applyFill="1" applyAlignment="1">
      <alignment horizontal="center"/>
    </xf>
    <xf numFmtId="0" fontId="66" fillId="9" borderId="0" xfId="21" applyFont="1" applyFill="1" applyAlignment="1">
      <alignment horizontal="left"/>
    </xf>
    <xf numFmtId="0" fontId="71" fillId="0" borderId="0" xfId="22" applyFont="1"/>
    <xf numFmtId="0" fontId="64" fillId="0" borderId="0" xfId="22" applyFont="1"/>
    <xf numFmtId="0" fontId="70" fillId="0" borderId="0" xfId="21" applyFont="1" applyBorder="1" applyAlignment="1">
      <alignment horizontal="center"/>
    </xf>
    <xf numFmtId="0" fontId="65" fillId="0" borderId="0" xfId="21" applyFont="1" applyFill="1" applyBorder="1" applyAlignment="1">
      <alignment horizontal="center"/>
    </xf>
    <xf numFmtId="0" fontId="65" fillId="0" borderId="0" xfId="21" applyFont="1" applyBorder="1" applyAlignment="1">
      <alignment horizontal="center"/>
    </xf>
    <xf numFmtId="0" fontId="65" fillId="0" borderId="0" xfId="22" applyFont="1" applyBorder="1" applyAlignment="1">
      <alignment horizontal="center" vertical="center"/>
    </xf>
    <xf numFmtId="168" fontId="64" fillId="0" borderId="0" xfId="7" applyFont="1"/>
    <xf numFmtId="14" fontId="64" fillId="0" borderId="0" xfId="22" applyNumberFormat="1" applyFont="1" applyFill="1"/>
    <xf numFmtId="14" fontId="64" fillId="0" borderId="0" xfId="22" applyNumberFormat="1" applyFont="1"/>
    <xf numFmtId="0" fontId="72" fillId="0" borderId="0" xfId="22" applyFont="1"/>
    <xf numFmtId="14" fontId="66" fillId="12" borderId="144" xfId="21" applyNumberFormat="1" applyFont="1" applyFill="1" applyBorder="1" applyAlignment="1">
      <alignment horizontal="center"/>
    </xf>
    <xf numFmtId="0" fontId="66" fillId="0" borderId="0" xfId="22" applyFont="1"/>
    <xf numFmtId="0" fontId="65" fillId="12" borderId="146" xfId="21" applyFont="1" applyFill="1" applyBorder="1" applyAlignment="1">
      <alignment horizontal="center"/>
    </xf>
    <xf numFmtId="0" fontId="66" fillId="0" borderId="143" xfId="22" applyFont="1" applyBorder="1"/>
    <xf numFmtId="183" fontId="64" fillId="0" borderId="155" xfId="22" applyNumberFormat="1" applyFont="1" applyFill="1" applyBorder="1" applyAlignment="1">
      <alignment horizontal="right"/>
    </xf>
    <xf numFmtId="183" fontId="64" fillId="0" borderId="167" xfId="22" applyNumberFormat="1" applyFont="1" applyFill="1" applyBorder="1" applyAlignment="1">
      <alignment horizontal="right"/>
    </xf>
    <xf numFmtId="0" fontId="65" fillId="0" borderId="111" xfId="22" applyFont="1" applyBorder="1"/>
    <xf numFmtId="183" fontId="64" fillId="0" borderId="152" xfId="22" applyNumberFormat="1" applyFont="1" applyFill="1" applyBorder="1" applyAlignment="1">
      <alignment horizontal="right"/>
    </xf>
    <xf numFmtId="183" fontId="64" fillId="0" borderId="136" xfId="22" applyNumberFormat="1" applyFont="1" applyFill="1" applyBorder="1" applyAlignment="1">
      <alignment horizontal="right"/>
    </xf>
    <xf numFmtId="0" fontId="64" fillId="0" borderId="111" xfId="22" applyFont="1" applyBorder="1"/>
    <xf numFmtId="168" fontId="64" fillId="0" borderId="0" xfId="22" applyNumberFormat="1" applyFont="1"/>
    <xf numFmtId="182" fontId="64" fillId="0" borderId="152" xfId="22" applyNumberFormat="1" applyFont="1" applyFill="1" applyBorder="1"/>
    <xf numFmtId="183" fontId="64" fillId="0" borderId="152" xfId="22" applyNumberFormat="1" applyFont="1" applyFill="1" applyBorder="1"/>
    <xf numFmtId="0" fontId="73" fillId="0" borderId="0" xfId="22" applyFont="1"/>
    <xf numFmtId="0" fontId="74" fillId="0" borderId="0" xfId="22" applyFont="1"/>
    <xf numFmtId="183" fontId="64" fillId="9" borderId="136" xfId="22" applyNumberFormat="1" applyFont="1" applyFill="1" applyBorder="1"/>
    <xf numFmtId="183" fontId="64" fillId="0" borderId="152" xfId="119" applyNumberFormat="1" applyFont="1" applyFill="1" applyBorder="1"/>
    <xf numFmtId="167" fontId="64" fillId="0" borderId="152" xfId="119" applyNumberFormat="1" applyFont="1" applyFill="1" applyBorder="1"/>
    <xf numFmtId="0" fontId="66" fillId="0" borderId="111" xfId="22" applyFont="1" applyBorder="1"/>
    <xf numFmtId="183" fontId="66" fillId="0" borderId="152" xfId="22" applyNumberFormat="1" applyFont="1" applyFill="1" applyBorder="1"/>
    <xf numFmtId="183" fontId="66" fillId="9" borderId="136" xfId="22" applyNumberFormat="1" applyFont="1" applyFill="1" applyBorder="1"/>
    <xf numFmtId="172" fontId="64" fillId="0" borderId="152" xfId="119" applyFont="1" applyFill="1" applyBorder="1"/>
    <xf numFmtId="183" fontId="64" fillId="9" borderId="136" xfId="22" applyNumberFormat="1" applyFont="1" applyFill="1" applyBorder="1" applyAlignment="1">
      <alignment horizontal="right"/>
    </xf>
    <xf numFmtId="177" fontId="66" fillId="0" borderId="152" xfId="22" applyNumberFormat="1" applyFont="1" applyFill="1" applyBorder="1" applyAlignment="1">
      <alignment horizontal="right"/>
    </xf>
    <xf numFmtId="183" fontId="66" fillId="9" borderId="136" xfId="22" applyNumberFormat="1" applyFont="1" applyFill="1" applyBorder="1" applyAlignment="1">
      <alignment horizontal="right"/>
    </xf>
    <xf numFmtId="183" fontId="66" fillId="0" borderId="152" xfId="22" applyNumberFormat="1" applyFont="1" applyFill="1" applyBorder="1" applyAlignment="1">
      <alignment horizontal="right"/>
    </xf>
    <xf numFmtId="0" fontId="66" fillId="0" borderId="152" xfId="22" applyFont="1" applyFill="1" applyBorder="1"/>
    <xf numFmtId="177" fontId="66" fillId="9" borderId="136" xfId="22" applyNumberFormat="1" applyFont="1" applyFill="1" applyBorder="1" applyAlignment="1">
      <alignment horizontal="right"/>
    </xf>
    <xf numFmtId="183" fontId="64" fillId="0" borderId="153" xfId="22" applyNumberFormat="1" applyFont="1" applyFill="1" applyBorder="1" applyAlignment="1">
      <alignment horizontal="right"/>
    </xf>
    <xf numFmtId="183" fontId="64" fillId="9" borderId="166" xfId="22" applyNumberFormat="1" applyFont="1" applyFill="1" applyBorder="1" applyAlignment="1">
      <alignment horizontal="right"/>
    </xf>
    <xf numFmtId="0" fontId="64" fillId="0" borderId="153" xfId="22" applyFont="1" applyFill="1" applyBorder="1"/>
    <xf numFmtId="0" fontId="64" fillId="0" borderId="110" xfId="22" applyFont="1" applyBorder="1"/>
    <xf numFmtId="177" fontId="64" fillId="0" borderId="152" xfId="22" applyNumberFormat="1" applyFont="1" applyFill="1" applyBorder="1" applyAlignment="1">
      <alignment horizontal="right"/>
    </xf>
    <xf numFmtId="0" fontId="64" fillId="0" borderId="143" xfId="22" applyFont="1" applyBorder="1"/>
    <xf numFmtId="177" fontId="64" fillId="0" borderId="155" xfId="22" applyNumberFormat="1" applyFont="1" applyFill="1" applyBorder="1" applyAlignment="1">
      <alignment horizontal="right"/>
    </xf>
    <xf numFmtId="177" fontId="64" fillId="9" borderId="167" xfId="22" applyNumberFormat="1" applyFont="1" applyFill="1" applyBorder="1" applyAlignment="1">
      <alignment horizontal="right"/>
    </xf>
    <xf numFmtId="0" fontId="64" fillId="0" borderId="155" xfId="22" applyFont="1" applyFill="1" applyBorder="1"/>
    <xf numFmtId="183" fontId="64" fillId="9" borderId="167" xfId="22" applyNumberFormat="1" applyFont="1" applyFill="1" applyBorder="1" applyAlignment="1">
      <alignment horizontal="right"/>
    </xf>
    <xf numFmtId="177" fontId="64" fillId="9" borderId="136" xfId="22" applyNumberFormat="1" applyFont="1" applyFill="1" applyBorder="1" applyAlignment="1">
      <alignment horizontal="right"/>
    </xf>
    <xf numFmtId="0" fontId="64" fillId="0" borderId="152" xfId="22" applyFont="1" applyFill="1" applyBorder="1"/>
    <xf numFmtId="3" fontId="66" fillId="9" borderId="108" xfId="22" applyNumberFormat="1" applyFont="1" applyFill="1" applyBorder="1"/>
    <xf numFmtId="0" fontId="66" fillId="0" borderId="179" xfId="22" applyFont="1" applyBorder="1"/>
    <xf numFmtId="0" fontId="66" fillId="11" borderId="28" xfId="22" applyFont="1" applyFill="1" applyBorder="1"/>
    <xf numFmtId="177" fontId="66" fillId="11" borderId="29" xfId="22" applyNumberFormat="1" applyFont="1" applyFill="1" applyBorder="1" applyAlignment="1">
      <alignment horizontal="right"/>
    </xf>
    <xf numFmtId="3" fontId="66" fillId="11" borderId="50" xfId="22" applyNumberFormat="1" applyFont="1" applyFill="1" applyBorder="1"/>
    <xf numFmtId="0" fontId="71" fillId="9" borderId="0" xfId="22" applyFont="1" applyFill="1"/>
    <xf numFmtId="0" fontId="66" fillId="9" borderId="0" xfId="22" applyFont="1" applyFill="1" applyBorder="1"/>
    <xf numFmtId="3" fontId="66" fillId="0" borderId="0" xfId="22" applyNumberFormat="1" applyFont="1" applyFill="1" applyBorder="1"/>
    <xf numFmtId="3" fontId="66" fillId="9" borderId="0" xfId="22" applyNumberFormat="1" applyFont="1" applyFill="1" applyBorder="1"/>
    <xf numFmtId="0" fontId="64" fillId="9" borderId="0" xfId="22" applyFont="1" applyFill="1"/>
    <xf numFmtId="168" fontId="64" fillId="0" borderId="0" xfId="120" applyFont="1" applyFill="1"/>
    <xf numFmtId="168" fontId="64" fillId="0" borderId="0" xfId="22" applyNumberFormat="1" applyFont="1" applyFill="1"/>
    <xf numFmtId="3" fontId="64" fillId="0" borderId="0" xfId="22" applyNumberFormat="1" applyFont="1" applyFill="1"/>
    <xf numFmtId="0" fontId="64" fillId="0" borderId="0" xfId="22" applyFont="1" applyFill="1"/>
    <xf numFmtId="0" fontId="1" fillId="0" borderId="0" xfId="16" applyFont="1"/>
    <xf numFmtId="0" fontId="1" fillId="0" borderId="0" xfId="16" applyFont="1" applyAlignment="1">
      <alignment horizontal="left" vertical="center"/>
    </xf>
    <xf numFmtId="14" fontId="64" fillId="0" borderId="0" xfId="0" applyNumberFormat="1" applyFont="1"/>
    <xf numFmtId="0" fontId="75" fillId="11" borderId="103" xfId="16" applyFont="1" applyFill="1" applyBorder="1" applyAlignment="1">
      <alignment horizontal="center" vertical="center"/>
    </xf>
    <xf numFmtId="0" fontId="75" fillId="11" borderId="61" xfId="16" applyFont="1" applyFill="1" applyBorder="1" applyAlignment="1">
      <alignment horizontal="center" vertical="center"/>
    </xf>
    <xf numFmtId="0" fontId="75" fillId="11" borderId="100" xfId="16" applyFont="1" applyFill="1" applyBorder="1" applyAlignment="1">
      <alignment horizontal="center" vertical="center"/>
    </xf>
    <xf numFmtId="14" fontId="66" fillId="11" borderId="130" xfId="21" applyNumberFormat="1" applyFont="1" applyFill="1" applyBorder="1" applyAlignment="1">
      <alignment horizontal="center"/>
    </xf>
    <xf numFmtId="14" fontId="66" fillId="11" borderId="131" xfId="21" applyNumberFormat="1" applyFont="1" applyFill="1" applyBorder="1" applyAlignment="1">
      <alignment horizontal="center"/>
    </xf>
    <xf numFmtId="0" fontId="75" fillId="11" borderId="104" xfId="16" applyFont="1" applyFill="1" applyBorder="1" applyAlignment="1">
      <alignment horizontal="center" vertical="center"/>
    </xf>
    <xf numFmtId="0" fontId="75" fillId="11" borderId="27" xfId="16" applyFont="1" applyFill="1" applyBorder="1" applyAlignment="1">
      <alignment horizontal="center" vertical="center"/>
    </xf>
    <xf numFmtId="0" fontId="75" fillId="11" borderId="95" xfId="16" applyFont="1" applyFill="1" applyBorder="1" applyAlignment="1">
      <alignment horizontal="center" vertical="center"/>
    </xf>
    <xf numFmtId="0" fontId="76" fillId="11" borderId="94" xfId="16" applyFont="1" applyFill="1" applyBorder="1" applyAlignment="1">
      <alignment horizontal="center" vertical="center"/>
    </xf>
    <xf numFmtId="0" fontId="76" fillId="11" borderId="105" xfId="16" applyFont="1" applyFill="1" applyBorder="1" applyAlignment="1">
      <alignment horizontal="center" vertical="center"/>
    </xf>
    <xf numFmtId="0" fontId="76" fillId="0" borderId="103" xfId="16" applyFont="1" applyBorder="1" applyAlignment="1">
      <alignment horizontal="left" vertical="center"/>
    </xf>
    <xf numFmtId="0" fontId="1" fillId="0" borderId="61" xfId="16" applyFont="1" applyBorder="1" applyAlignment="1">
      <alignment horizontal="left" vertical="center"/>
    </xf>
    <xf numFmtId="3" fontId="1" fillId="0" borderId="127" xfId="16" applyNumberFormat="1" applyFont="1" applyBorder="1" applyAlignment="1">
      <alignment horizontal="left" vertical="center"/>
    </xf>
    <xf numFmtId="3" fontId="1" fillId="0" borderId="187" xfId="16" applyNumberFormat="1" applyFont="1" applyBorder="1" applyAlignment="1">
      <alignment horizontal="left" vertical="center"/>
    </xf>
    <xf numFmtId="0" fontId="1" fillId="0" borderId="110" xfId="16" applyFont="1" applyBorder="1" applyAlignment="1">
      <alignment horizontal="left" vertical="center"/>
    </xf>
    <xf numFmtId="0" fontId="1" fillId="0" borderId="0" xfId="16" applyFont="1" applyBorder="1" applyAlignment="1">
      <alignment horizontal="left" vertical="center"/>
    </xf>
    <xf numFmtId="3" fontId="1" fillId="0" borderId="185" xfId="16" applyNumberFormat="1" applyFont="1" applyFill="1" applyBorder="1" applyAlignment="1">
      <alignment horizontal="right" vertical="center"/>
    </xf>
    <xf numFmtId="3" fontId="1" fillId="0" borderId="188" xfId="16" applyNumberFormat="1" applyFont="1" applyFill="1" applyBorder="1" applyAlignment="1">
      <alignment horizontal="right" vertical="center"/>
    </xf>
    <xf numFmtId="3" fontId="75" fillId="11" borderId="80" xfId="16" applyNumberFormat="1" applyFont="1" applyFill="1" applyBorder="1" applyAlignment="1">
      <alignment horizontal="right" vertical="center"/>
    </xf>
    <xf numFmtId="3" fontId="75" fillId="11" borderId="112" xfId="16" applyNumberFormat="1" applyFont="1" applyFill="1" applyBorder="1" applyAlignment="1">
      <alignment horizontal="right" vertical="center"/>
    </xf>
    <xf numFmtId="0" fontId="76" fillId="0" borderId="110" xfId="16" applyFont="1" applyBorder="1" applyAlignment="1">
      <alignment horizontal="left" vertical="center"/>
    </xf>
    <xf numFmtId="3" fontId="1" fillId="0" borderId="185" xfId="16" applyNumberFormat="1" applyFont="1" applyBorder="1" applyAlignment="1">
      <alignment horizontal="right" vertical="center"/>
    </xf>
    <xf numFmtId="3" fontId="1" fillId="0" borderId="188" xfId="16" applyNumberFormat="1" applyFont="1" applyBorder="1" applyAlignment="1">
      <alignment horizontal="right" vertical="center"/>
    </xf>
    <xf numFmtId="0" fontId="75" fillId="11" borderId="111" xfId="16" applyFont="1" applyFill="1" applyBorder="1" applyAlignment="1">
      <alignment horizontal="left" vertical="center"/>
    </xf>
    <xf numFmtId="0" fontId="1" fillId="11" borderId="92" xfId="16" applyFont="1" applyFill="1" applyBorder="1" applyAlignment="1">
      <alignment horizontal="left" vertical="center"/>
    </xf>
    <xf numFmtId="0" fontId="1" fillId="11" borderId="98" xfId="16" applyFont="1" applyFill="1" applyBorder="1" applyAlignment="1">
      <alignment horizontal="left" vertical="center"/>
    </xf>
    <xf numFmtId="0" fontId="1" fillId="0" borderId="110" xfId="16" applyFont="1" applyFill="1" applyBorder="1" applyAlignment="1">
      <alignment horizontal="left" vertical="center"/>
    </xf>
    <xf numFmtId="0" fontId="1" fillId="0" borderId="0" xfId="16" applyFont="1" applyFill="1" applyBorder="1" applyAlignment="1">
      <alignment horizontal="left" vertical="center"/>
    </xf>
    <xf numFmtId="0" fontId="62" fillId="11" borderId="92" xfId="16" applyFont="1" applyFill="1" applyBorder="1" applyAlignment="1">
      <alignment horizontal="left" vertical="center"/>
    </xf>
    <xf numFmtId="0" fontId="62" fillId="11" borderId="98" xfId="16" applyFont="1" applyFill="1" applyBorder="1" applyAlignment="1">
      <alignment horizontal="left" vertical="center"/>
    </xf>
    <xf numFmtId="3" fontId="62" fillId="11" borderId="80" xfId="16" applyNumberFormat="1" applyFont="1" applyFill="1" applyBorder="1" applyAlignment="1">
      <alignment horizontal="right" vertical="center"/>
    </xf>
    <xf numFmtId="3" fontId="62" fillId="11" borderId="112" xfId="16" applyNumberFormat="1" applyFont="1" applyFill="1" applyBorder="1" applyAlignment="1">
      <alignment horizontal="right" vertical="center"/>
    </xf>
    <xf numFmtId="0" fontId="62" fillId="0" borderId="0" xfId="16" applyFont="1"/>
    <xf numFmtId="0" fontId="75" fillId="0" borderId="0" xfId="16" applyFont="1" applyFill="1" applyBorder="1" applyAlignment="1">
      <alignment horizontal="left" vertical="center"/>
    </xf>
    <xf numFmtId="3" fontId="75" fillId="0" borderId="0" xfId="9" applyNumberFormat="1" applyFont="1" applyFill="1" applyBorder="1" applyAlignment="1">
      <alignment horizontal="right" vertical="center"/>
    </xf>
    <xf numFmtId="3" fontId="1" fillId="0" borderId="0" xfId="16" applyNumberFormat="1" applyFont="1"/>
    <xf numFmtId="167" fontId="64" fillId="0" borderId="0" xfId="6" applyNumberFormat="1" applyFont="1" applyAlignment="1">
      <alignment horizontal="left" vertical="center"/>
    </xf>
    <xf numFmtId="0" fontId="66" fillId="9" borderId="0" xfId="23" applyFont="1" applyFill="1" applyBorder="1" applyAlignment="1"/>
    <xf numFmtId="0" fontId="66" fillId="9" borderId="0" xfId="23" applyFont="1" applyFill="1" applyBorder="1" applyAlignment="1">
      <alignment horizontal="center"/>
    </xf>
    <xf numFmtId="0" fontId="64" fillId="9" borderId="0" xfId="23" applyFont="1" applyFill="1"/>
    <xf numFmtId="0" fontId="66" fillId="12" borderId="9" xfId="23" applyFont="1" applyFill="1" applyBorder="1" applyAlignment="1">
      <alignment horizontal="center"/>
    </xf>
    <xf numFmtId="0" fontId="66" fillId="12" borderId="171" xfId="23" applyFont="1" applyFill="1" applyBorder="1" applyAlignment="1">
      <alignment horizontal="center"/>
    </xf>
    <xf numFmtId="0" fontId="66" fillId="12" borderId="170" xfId="23" applyFont="1" applyFill="1" applyBorder="1" applyAlignment="1">
      <alignment horizontal="center"/>
    </xf>
    <xf numFmtId="0" fontId="64" fillId="9" borderId="119" xfId="23" applyFont="1" applyFill="1" applyBorder="1"/>
    <xf numFmtId="3" fontId="64" fillId="9" borderId="80" xfId="6" applyNumberFormat="1" applyFont="1" applyFill="1" applyBorder="1"/>
    <xf numFmtId="3" fontId="64" fillId="9" borderId="112" xfId="6" applyNumberFormat="1" applyFont="1" applyFill="1" applyBorder="1"/>
    <xf numFmtId="3" fontId="64" fillId="0" borderId="80" xfId="6" applyNumberFormat="1" applyFont="1" applyFill="1" applyBorder="1"/>
    <xf numFmtId="3" fontId="64" fillId="9" borderId="0" xfId="0" applyNumberFormat="1" applyFont="1" applyFill="1"/>
    <xf numFmtId="0" fontId="64" fillId="0" borderId="119" xfId="23" applyFont="1" applyFill="1" applyBorder="1"/>
    <xf numFmtId="3" fontId="64" fillId="0" borderId="112" xfId="6" applyNumberFormat="1" applyFont="1" applyFill="1" applyBorder="1"/>
    <xf numFmtId="0" fontId="64" fillId="0" borderId="0" xfId="0" applyFont="1" applyFill="1" applyBorder="1"/>
    <xf numFmtId="0" fontId="66" fillId="12" borderId="119" xfId="23" applyFont="1" applyFill="1" applyBorder="1"/>
    <xf numFmtId="3" fontId="66" fillId="12" borderId="80" xfId="6" applyNumberFormat="1" applyFont="1" applyFill="1" applyBorder="1"/>
    <xf numFmtId="3" fontId="66" fillId="12" borderId="112" xfId="6" applyNumberFormat="1" applyFont="1" applyFill="1" applyBorder="1"/>
    <xf numFmtId="0" fontId="66" fillId="9" borderId="125" xfId="23" applyFont="1" applyFill="1" applyBorder="1"/>
    <xf numFmtId="3" fontId="66" fillId="9" borderId="115" xfId="6" applyNumberFormat="1" applyFont="1" applyFill="1" applyBorder="1"/>
    <xf numFmtId="3" fontId="66" fillId="0" borderId="115" xfId="6" applyNumberFormat="1" applyFont="1" applyFill="1" applyBorder="1"/>
    <xf numFmtId="3" fontId="66" fillId="9" borderId="140" xfId="6" applyNumberFormat="1" applyFont="1" applyFill="1" applyBorder="1"/>
    <xf numFmtId="14" fontId="64" fillId="9" borderId="0" xfId="0" applyNumberFormat="1" applyFont="1" applyFill="1"/>
    <xf numFmtId="0" fontId="64" fillId="9" borderId="0" xfId="23" applyFont="1" applyFill="1" applyBorder="1"/>
    <xf numFmtId="169" fontId="66" fillId="9" borderId="0" xfId="23" applyNumberFormat="1" applyFont="1" applyFill="1" applyBorder="1"/>
    <xf numFmtId="3" fontId="68" fillId="9" borderId="0" xfId="6" applyNumberFormat="1" applyFont="1" applyFill="1" applyBorder="1" applyAlignment="1">
      <alignment horizontal="right" vertical="center"/>
    </xf>
    <xf numFmtId="0" fontId="77" fillId="9" borderId="0" xfId="23" applyFont="1" applyFill="1"/>
    <xf numFmtId="168" fontId="64" fillId="9" borderId="0" xfId="7" applyFont="1" applyFill="1" applyAlignment="1">
      <alignment horizontal="center"/>
    </xf>
    <xf numFmtId="3" fontId="64" fillId="9" borderId="0" xfId="23" applyNumberFormat="1" applyFont="1" applyFill="1"/>
    <xf numFmtId="0" fontId="65" fillId="9" borderId="0" xfId="0" applyFont="1" applyFill="1" applyAlignment="1">
      <alignment horizontal="left" vertical="center"/>
    </xf>
    <xf numFmtId="0" fontId="64" fillId="9" borderId="0" xfId="0" applyFont="1" applyFill="1" applyAlignment="1"/>
    <xf numFmtId="0" fontId="65" fillId="9" borderId="0" xfId="0" applyFont="1" applyFill="1" applyAlignment="1">
      <alignment horizontal="justify" vertical="center"/>
    </xf>
    <xf numFmtId="0" fontId="66" fillId="9" borderId="0" xfId="0" applyFont="1" applyFill="1" applyAlignment="1">
      <alignment horizontal="left" vertical="center"/>
    </xf>
    <xf numFmtId="0" fontId="64" fillId="12" borderId="29" xfId="0" applyFont="1" applyFill="1" applyBorder="1" applyAlignment="1">
      <alignment horizontal="justify" vertical="center"/>
    </xf>
    <xf numFmtId="0" fontId="64" fillId="12" borderId="50" xfId="0" applyFont="1" applyFill="1" applyBorder="1" applyAlignment="1">
      <alignment horizontal="left" vertical="center" wrapText="1"/>
    </xf>
    <xf numFmtId="4" fontId="64" fillId="0" borderId="109" xfId="0" applyNumberFormat="1" applyFont="1" applyFill="1" applyBorder="1" applyAlignment="1">
      <alignment horizontal="justify" vertical="center"/>
    </xf>
    <xf numFmtId="0" fontId="64" fillId="9" borderId="0" xfId="20" applyFont="1" applyFill="1"/>
    <xf numFmtId="0" fontId="64" fillId="9" borderId="0" xfId="20" applyFont="1" applyFill="1" applyAlignment="1">
      <alignment horizontal="center"/>
    </xf>
    <xf numFmtId="0" fontId="66" fillId="11" borderId="121" xfId="20" applyFont="1" applyFill="1" applyBorder="1" applyAlignment="1">
      <alignment horizontal="center" wrapText="1"/>
    </xf>
    <xf numFmtId="3" fontId="66" fillId="11" borderId="180" xfId="20" applyNumberFormat="1" applyFont="1" applyFill="1" applyBorder="1" applyAlignment="1">
      <alignment horizontal="center" vertical="center" wrapText="1"/>
    </xf>
    <xf numFmtId="3" fontId="66" fillId="11" borderId="121" xfId="20" applyNumberFormat="1" applyFont="1" applyFill="1" applyBorder="1" applyAlignment="1">
      <alignment horizontal="center" wrapText="1"/>
    </xf>
    <xf numFmtId="3" fontId="66" fillId="11" borderId="142" xfId="20" applyNumberFormat="1" applyFont="1" applyFill="1" applyBorder="1" applyAlignment="1">
      <alignment horizontal="center" wrapText="1"/>
    </xf>
    <xf numFmtId="3" fontId="66" fillId="11" borderId="141" xfId="20" applyNumberFormat="1" applyFont="1" applyFill="1" applyBorder="1" applyAlignment="1">
      <alignment horizontal="center"/>
    </xf>
    <xf numFmtId="3" fontId="66" fillId="11" borderId="149" xfId="20" applyNumberFormat="1" applyFont="1" applyFill="1" applyBorder="1" applyAlignment="1">
      <alignment horizontal="center"/>
    </xf>
    <xf numFmtId="14" fontId="66" fillId="11" borderId="94" xfId="20" applyNumberFormat="1" applyFont="1" applyFill="1" applyBorder="1" applyAlignment="1">
      <alignment horizontal="center"/>
    </xf>
    <xf numFmtId="14" fontId="66" fillId="11" borderId="105" xfId="20" applyNumberFormat="1" applyFont="1" applyFill="1" applyBorder="1" applyAlignment="1">
      <alignment horizontal="center"/>
    </xf>
    <xf numFmtId="0" fontId="65" fillId="9" borderId="124" xfId="20" applyFont="1" applyFill="1" applyBorder="1" applyAlignment="1">
      <alignment horizontal="center"/>
    </xf>
    <xf numFmtId="0" fontId="64" fillId="9" borderId="121" xfId="20" applyFont="1" applyFill="1" applyBorder="1"/>
    <xf numFmtId="4" fontId="64" fillId="9" borderId="121" xfId="20" applyNumberFormat="1" applyFont="1" applyFill="1" applyBorder="1"/>
    <xf numFmtId="3" fontId="64" fillId="9" borderId="121" xfId="20" applyNumberFormat="1" applyFont="1" applyFill="1" applyBorder="1"/>
    <xf numFmtId="3" fontId="64" fillId="9" borderId="142" xfId="20" applyNumberFormat="1" applyFont="1" applyFill="1" applyBorder="1"/>
    <xf numFmtId="0" fontId="65" fillId="9" borderId="119" xfId="20" applyFont="1" applyFill="1" applyBorder="1" applyAlignment="1">
      <alignment horizontal="left"/>
    </xf>
    <xf numFmtId="0" fontId="64" fillId="9" borderId="80" xfId="20" applyFont="1" applyFill="1" applyBorder="1"/>
    <xf numFmtId="4" fontId="64" fillId="9" borderId="80" xfId="20" applyNumberFormat="1" applyFont="1" applyFill="1" applyBorder="1"/>
    <xf numFmtId="3" fontId="64" fillId="9" borderId="80" xfId="20" applyNumberFormat="1" applyFont="1" applyFill="1" applyBorder="1"/>
    <xf numFmtId="3" fontId="64" fillId="9" borderId="112" xfId="20" applyNumberFormat="1" applyFont="1" applyFill="1" applyBorder="1"/>
    <xf numFmtId="0" fontId="64" fillId="9" borderId="119" xfId="20" applyFont="1" applyFill="1" applyBorder="1" applyAlignment="1">
      <alignment horizontal="left"/>
    </xf>
    <xf numFmtId="0" fontId="64" fillId="9" borderId="80" xfId="20" applyFont="1" applyFill="1" applyBorder="1" applyAlignment="1">
      <alignment horizontal="center"/>
    </xf>
    <xf numFmtId="0" fontId="66" fillId="9" borderId="80" xfId="20" applyFont="1" applyFill="1" applyBorder="1"/>
    <xf numFmtId="4" fontId="66" fillId="9" borderId="80" xfId="20" applyNumberFormat="1" applyFont="1" applyFill="1" applyBorder="1"/>
    <xf numFmtId="3" fontId="66" fillId="9" borderId="80" xfId="20" applyNumberFormat="1" applyFont="1" applyFill="1" applyBorder="1"/>
    <xf numFmtId="3" fontId="66" fillId="9" borderId="112" xfId="20" applyNumberFormat="1" applyFont="1" applyFill="1" applyBorder="1"/>
    <xf numFmtId="0" fontId="66" fillId="9" borderId="0" xfId="20" applyFont="1" applyFill="1"/>
    <xf numFmtId="0" fontId="64" fillId="9" borderId="119" xfId="20" applyFont="1" applyFill="1" applyBorder="1"/>
    <xf numFmtId="4" fontId="64" fillId="0" borderId="80" xfId="20" applyNumberFormat="1" applyFont="1" applyFill="1" applyBorder="1"/>
    <xf numFmtId="0" fontId="65" fillId="9" borderId="119" xfId="20" applyFont="1" applyFill="1" applyBorder="1"/>
    <xf numFmtId="0" fontId="66" fillId="9" borderId="80" xfId="20" applyFont="1" applyFill="1" applyBorder="1" applyAlignment="1">
      <alignment horizontal="center"/>
    </xf>
    <xf numFmtId="172" fontId="66" fillId="9" borderId="80" xfId="6" applyFont="1" applyFill="1" applyBorder="1"/>
    <xf numFmtId="40" fontId="64" fillId="9" borderId="80" xfId="0" applyNumberFormat="1" applyFont="1" applyFill="1" applyBorder="1" applyAlignment="1">
      <alignment horizontal="center"/>
    </xf>
    <xf numFmtId="0" fontId="64" fillId="9" borderId="169" xfId="20" applyFont="1" applyFill="1" applyBorder="1"/>
    <xf numFmtId="0" fontId="66" fillId="9" borderId="119" xfId="20" applyFont="1" applyFill="1" applyBorder="1"/>
    <xf numFmtId="0" fontId="66" fillId="9" borderId="125" xfId="20" applyFont="1" applyFill="1" applyBorder="1"/>
    <xf numFmtId="0" fontId="64" fillId="9" borderId="115" xfId="20" applyFont="1" applyFill="1" applyBorder="1" applyAlignment="1">
      <alignment horizontal="center"/>
    </xf>
    <xf numFmtId="4" fontId="66" fillId="9" borderId="115" xfId="20" applyNumberFormat="1" applyFont="1" applyFill="1" applyBorder="1"/>
    <xf numFmtId="4" fontId="64" fillId="9" borderId="115" xfId="20" applyNumberFormat="1" applyFont="1" applyFill="1" applyBorder="1"/>
    <xf numFmtId="167" fontId="64" fillId="9" borderId="115" xfId="6" applyNumberFormat="1" applyFont="1" applyFill="1" applyBorder="1"/>
    <xf numFmtId="172" fontId="64" fillId="9" borderId="115" xfId="6" applyFont="1" applyFill="1" applyBorder="1"/>
    <xf numFmtId="167" fontId="64" fillId="9" borderId="140" xfId="6" applyNumberFormat="1" applyFont="1" applyFill="1" applyBorder="1"/>
    <xf numFmtId="0" fontId="66" fillId="11" borderId="181" xfId="20" applyFont="1" applyFill="1" applyBorder="1"/>
    <xf numFmtId="0" fontId="66" fillId="11" borderId="94" xfId="20" applyFont="1" applyFill="1" applyBorder="1"/>
    <xf numFmtId="4" fontId="66" fillId="11" borderId="94" xfId="20" applyNumberFormat="1" applyFont="1" applyFill="1" applyBorder="1"/>
    <xf numFmtId="3" fontId="66" fillId="11" borderId="94" xfId="20" applyNumberFormat="1" applyFont="1" applyFill="1" applyBorder="1"/>
    <xf numFmtId="3" fontId="66" fillId="11" borderId="105" xfId="20" applyNumberFormat="1" applyFont="1" applyFill="1" applyBorder="1"/>
    <xf numFmtId="0" fontId="65" fillId="9" borderId="174" xfId="20" applyFont="1" applyFill="1" applyBorder="1" applyAlignment="1">
      <alignment horizontal="center"/>
    </xf>
    <xf numFmtId="0" fontId="64" fillId="9" borderId="25" xfId="20" applyFont="1" applyFill="1" applyBorder="1"/>
    <xf numFmtId="4" fontId="64" fillId="9" borderId="25" xfId="20" applyNumberFormat="1" applyFont="1" applyFill="1" applyBorder="1"/>
    <xf numFmtId="3" fontId="64" fillId="9" borderId="25" xfId="20" applyNumberFormat="1" applyFont="1" applyFill="1" applyBorder="1"/>
    <xf numFmtId="3" fontId="64" fillId="9" borderId="123" xfId="20" applyNumberFormat="1" applyFont="1" applyFill="1" applyBorder="1"/>
    <xf numFmtId="4" fontId="64" fillId="9" borderId="80" xfId="20" applyNumberFormat="1" applyFont="1" applyFill="1" applyBorder="1" applyAlignment="1">
      <alignment horizontal="right"/>
    </xf>
    <xf numFmtId="3" fontId="64" fillId="9" borderId="80" xfId="20" applyNumberFormat="1" applyFont="1" applyFill="1" applyBorder="1" applyAlignment="1">
      <alignment horizontal="right"/>
    </xf>
    <xf numFmtId="4" fontId="64" fillId="9" borderId="80" xfId="20" applyNumberFormat="1" applyFont="1" applyFill="1" applyBorder="1" applyAlignment="1"/>
    <xf numFmtId="3" fontId="64" fillId="9" borderId="0" xfId="20" applyNumberFormat="1" applyFont="1" applyFill="1"/>
    <xf numFmtId="4" fontId="64" fillId="9" borderId="0" xfId="20" applyNumberFormat="1" applyFont="1" applyFill="1"/>
    <xf numFmtId="0" fontId="66" fillId="9" borderId="169" xfId="20" applyFont="1" applyFill="1" applyBorder="1"/>
    <xf numFmtId="0" fontId="66" fillId="9" borderId="165" xfId="20" applyFont="1" applyFill="1" applyBorder="1"/>
    <xf numFmtId="4" fontId="66" fillId="9" borderId="165" xfId="20" applyNumberFormat="1" applyFont="1" applyFill="1" applyBorder="1"/>
    <xf numFmtId="4" fontId="64" fillId="9" borderId="165" xfId="20" applyNumberFormat="1" applyFont="1" applyFill="1" applyBorder="1"/>
    <xf numFmtId="3" fontId="66" fillId="9" borderId="165" xfId="20" applyNumberFormat="1" applyFont="1" applyFill="1" applyBorder="1"/>
    <xf numFmtId="3" fontId="66" fillId="9" borderId="122" xfId="20" applyNumberFormat="1" applyFont="1" applyFill="1" applyBorder="1"/>
    <xf numFmtId="0" fontId="66" fillId="11" borderId="75" xfId="20" applyFont="1" applyFill="1" applyBorder="1"/>
    <xf numFmtId="0" fontId="66" fillId="11" borderId="76" xfId="20" applyFont="1" applyFill="1" applyBorder="1"/>
    <xf numFmtId="4" fontId="66" fillId="11" borderId="76" xfId="20" applyNumberFormat="1" applyFont="1" applyFill="1" applyBorder="1"/>
    <xf numFmtId="3" fontId="66" fillId="11" borderId="76" xfId="20" applyNumberFormat="1" applyFont="1" applyFill="1" applyBorder="1"/>
    <xf numFmtId="3" fontId="66" fillId="11" borderId="77" xfId="20" applyNumberFormat="1" applyFont="1" applyFill="1" applyBorder="1"/>
    <xf numFmtId="0" fontId="65" fillId="9" borderId="0" xfId="20" applyFont="1" applyFill="1" applyBorder="1" applyAlignment="1"/>
    <xf numFmtId="0" fontId="65" fillId="9" borderId="0" xfId="20" applyFont="1" applyFill="1" applyBorder="1" applyAlignment="1">
      <alignment horizontal="center"/>
    </xf>
    <xf numFmtId="0" fontId="66" fillId="12" borderId="80" xfId="0" applyFont="1" applyFill="1" applyBorder="1" applyAlignment="1">
      <alignment horizontal="center" vertical="center"/>
    </xf>
    <xf numFmtId="0" fontId="66" fillId="12" borderId="80" xfId="0" applyFont="1" applyFill="1" applyBorder="1" applyAlignment="1">
      <alignment horizontal="center" vertical="center" wrapText="1"/>
    </xf>
    <xf numFmtId="0" fontId="64" fillId="9" borderId="80" xfId="0" applyFont="1" applyFill="1" applyBorder="1" applyAlignment="1">
      <alignment wrapText="1"/>
    </xf>
    <xf numFmtId="4" fontId="64" fillId="9" borderId="80" xfId="0" applyNumberFormat="1" applyFont="1" applyFill="1" applyBorder="1"/>
    <xf numFmtId="3" fontId="64" fillId="9" borderId="80" xfId="0" applyNumberFormat="1" applyFont="1" applyFill="1" applyBorder="1"/>
    <xf numFmtId="0" fontId="66" fillId="12" borderId="80" xfId="0" applyFont="1" applyFill="1" applyBorder="1"/>
    <xf numFmtId="3" fontId="66" fillId="12" borderId="80" xfId="0" applyNumberFormat="1" applyFont="1" applyFill="1" applyBorder="1"/>
    <xf numFmtId="4" fontId="66" fillId="12" borderId="80" xfId="0" applyNumberFormat="1" applyFont="1" applyFill="1" applyBorder="1"/>
    <xf numFmtId="3" fontId="66" fillId="9" borderId="0" xfId="0" applyNumberFormat="1" applyFont="1" applyFill="1"/>
    <xf numFmtId="168" fontId="64" fillId="9" borderId="80" xfId="7" applyFont="1" applyFill="1" applyBorder="1"/>
    <xf numFmtId="189" fontId="66" fillId="12" borderId="80" xfId="0" applyNumberFormat="1" applyFont="1" applyFill="1" applyBorder="1"/>
    <xf numFmtId="0" fontId="64" fillId="9" borderId="110" xfId="0" applyFont="1" applyFill="1" applyBorder="1"/>
    <xf numFmtId="167" fontId="64" fillId="9" borderId="144" xfId="6" applyNumberFormat="1" applyFont="1" applyFill="1" applyBorder="1"/>
    <xf numFmtId="169" fontId="64" fillId="9" borderId="144" xfId="0" applyNumberFormat="1" applyFont="1" applyFill="1" applyBorder="1"/>
    <xf numFmtId="0" fontId="64" fillId="9" borderId="144" xfId="0" applyFont="1" applyFill="1" applyBorder="1"/>
    <xf numFmtId="3" fontId="64" fillId="9" borderId="144" xfId="0" applyNumberFormat="1" applyFont="1" applyFill="1" applyBorder="1"/>
    <xf numFmtId="167" fontId="64" fillId="9" borderId="144" xfId="6" applyNumberFormat="1" applyFont="1" applyFill="1" applyBorder="1" applyAlignment="1">
      <alignment horizontal="right"/>
    </xf>
    <xf numFmtId="167" fontId="64" fillId="9" borderId="145" xfId="6" applyNumberFormat="1" applyFont="1" applyFill="1" applyBorder="1"/>
    <xf numFmtId="169" fontId="64" fillId="9" borderId="145" xfId="0" applyNumberFormat="1" applyFont="1" applyFill="1" applyBorder="1"/>
    <xf numFmtId="0" fontId="64" fillId="9" borderId="145" xfId="0" applyFont="1" applyFill="1" applyBorder="1"/>
    <xf numFmtId="3" fontId="64" fillId="9" borderId="145" xfId="0" applyNumberFormat="1" applyFont="1" applyFill="1" applyBorder="1"/>
    <xf numFmtId="167" fontId="64" fillId="9" borderId="145" xfId="6" applyNumberFormat="1" applyFont="1" applyFill="1" applyBorder="1" applyAlignment="1">
      <alignment horizontal="right"/>
    </xf>
    <xf numFmtId="169" fontId="64" fillId="9" borderId="145" xfId="0" applyNumberFormat="1" applyFont="1" applyFill="1" applyBorder="1" applyAlignment="1">
      <alignment horizontal="right"/>
    </xf>
    <xf numFmtId="169" fontId="64" fillId="9" borderId="146" xfId="0" applyNumberFormat="1" applyFont="1" applyFill="1" applyBorder="1"/>
    <xf numFmtId="0" fontId="64" fillId="9" borderId="146" xfId="0" applyFont="1" applyFill="1" applyBorder="1"/>
    <xf numFmtId="3" fontId="64" fillId="9" borderId="146" xfId="0" applyNumberFormat="1" applyFont="1" applyFill="1" applyBorder="1"/>
    <xf numFmtId="169" fontId="64" fillId="9" borderId="146" xfId="0" applyNumberFormat="1" applyFont="1" applyFill="1" applyBorder="1" applyAlignment="1">
      <alignment horizontal="right"/>
    </xf>
    <xf numFmtId="167" fontId="64" fillId="9" borderId="146" xfId="6" applyNumberFormat="1" applyFont="1" applyFill="1" applyBorder="1" applyAlignment="1">
      <alignment horizontal="right"/>
    </xf>
    <xf numFmtId="0" fontId="66" fillId="12" borderId="28" xfId="0" applyFont="1" applyFill="1" applyBorder="1"/>
    <xf numFmtId="169" fontId="66" fillId="12" borderId="29" xfId="0" applyNumberFormat="1" applyFont="1" applyFill="1" applyBorder="1"/>
    <xf numFmtId="169" fontId="66" fillId="12" borderId="30" xfId="0" applyNumberFormat="1" applyFont="1" applyFill="1" applyBorder="1"/>
    <xf numFmtId="0" fontId="66" fillId="12" borderId="29" xfId="0" applyFont="1" applyFill="1" applyBorder="1"/>
    <xf numFmtId="0" fontId="64" fillId="9" borderId="0" xfId="0" applyFont="1" applyFill="1" applyBorder="1"/>
    <xf numFmtId="3" fontId="64" fillId="9" borderId="0" xfId="0" applyNumberFormat="1" applyFont="1" applyFill="1" applyBorder="1"/>
    <xf numFmtId="0" fontId="66" fillId="9" borderId="0" xfId="0" applyFont="1" applyFill="1" applyBorder="1" applyAlignment="1">
      <alignment horizontal="center" vertical="center"/>
    </xf>
    <xf numFmtId="0" fontId="66" fillId="9" borderId="0" xfId="0" applyFont="1" applyFill="1" applyBorder="1" applyAlignment="1"/>
    <xf numFmtId="0" fontId="66" fillId="9" borderId="0" xfId="0" applyFont="1" applyFill="1" applyAlignment="1">
      <alignment horizontal="right"/>
    </xf>
    <xf numFmtId="0" fontId="64" fillId="9" borderId="0" xfId="0" applyFont="1" applyFill="1" applyBorder="1" applyAlignment="1">
      <alignment horizontal="center" vertical="center"/>
    </xf>
    <xf numFmtId="169" fontId="64" fillId="9" borderId="0" xfId="0" applyNumberFormat="1" applyFont="1" applyFill="1"/>
    <xf numFmtId="172" fontId="64" fillId="9" borderId="0" xfId="6" applyFont="1" applyFill="1"/>
    <xf numFmtId="0" fontId="66" fillId="12" borderId="124" xfId="0" applyFont="1" applyFill="1" applyBorder="1" applyAlignment="1">
      <alignment horizontal="center"/>
    </xf>
    <xf numFmtId="0" fontId="66" fillId="12" borderId="121" xfId="0" applyFont="1" applyFill="1" applyBorder="1" applyAlignment="1">
      <alignment horizontal="center"/>
    </xf>
    <xf numFmtId="0" fontId="66" fillId="12" borderId="142" xfId="0" applyFont="1" applyFill="1" applyBorder="1" applyAlignment="1">
      <alignment horizontal="center"/>
    </xf>
    <xf numFmtId="3" fontId="64" fillId="9" borderId="112" xfId="0" applyNumberFormat="1" applyFont="1" applyFill="1" applyBorder="1"/>
    <xf numFmtId="3" fontId="66" fillId="12" borderId="112" xfId="0" applyNumberFormat="1" applyFont="1" applyFill="1" applyBorder="1"/>
    <xf numFmtId="0" fontId="66" fillId="12" borderId="115" xfId="0" applyFont="1" applyFill="1" applyBorder="1"/>
    <xf numFmtId="3" fontId="66" fillId="12" borderId="115" xfId="0" applyNumberFormat="1" applyFont="1" applyFill="1" applyBorder="1"/>
    <xf numFmtId="3" fontId="66" fillId="12" borderId="140" xfId="0" applyNumberFormat="1" applyFont="1" applyFill="1" applyBorder="1"/>
    <xf numFmtId="168" fontId="66" fillId="12" borderId="80" xfId="0" applyNumberFormat="1" applyFont="1" applyFill="1" applyBorder="1"/>
    <xf numFmtId="0" fontId="66" fillId="12" borderId="112" xfId="0" applyFont="1" applyFill="1" applyBorder="1"/>
    <xf numFmtId="0" fontId="66" fillId="12" borderId="140" xfId="0" applyFont="1" applyFill="1" applyBorder="1"/>
    <xf numFmtId="0" fontId="64" fillId="9" borderId="119" xfId="0" applyFont="1" applyFill="1" applyBorder="1" applyAlignment="1">
      <alignment horizontal="center"/>
    </xf>
    <xf numFmtId="0" fontId="64" fillId="9" borderId="80" xfId="0" applyFont="1" applyFill="1" applyBorder="1" applyAlignment="1">
      <alignment horizontal="center"/>
    </xf>
    <xf numFmtId="0" fontId="64" fillId="9" borderId="112" xfId="0" applyFont="1" applyFill="1" applyBorder="1" applyAlignment="1">
      <alignment horizontal="center"/>
    </xf>
    <xf numFmtId="184" fontId="64" fillId="9" borderId="0" xfId="0" applyNumberFormat="1" applyFont="1" applyFill="1"/>
    <xf numFmtId="0" fontId="64" fillId="9" borderId="0" xfId="0" applyFont="1" applyFill="1" applyAlignment="1">
      <alignment wrapText="1"/>
    </xf>
    <xf numFmtId="0" fontId="66" fillId="12" borderId="124" xfId="0" applyFont="1" applyFill="1" applyBorder="1"/>
    <xf numFmtId="0" fontId="66" fillId="12" borderId="121" xfId="0" applyFont="1" applyFill="1" applyBorder="1"/>
    <xf numFmtId="0" fontId="66" fillId="12" borderId="142" xfId="0" applyFont="1" applyFill="1" applyBorder="1"/>
    <xf numFmtId="0" fontId="66" fillId="9" borderId="119" xfId="0" applyFont="1" applyFill="1" applyBorder="1"/>
    <xf numFmtId="168" fontId="64" fillId="9" borderId="0" xfId="0" applyNumberFormat="1" applyFont="1" applyFill="1"/>
    <xf numFmtId="0" fontId="66" fillId="9" borderId="0" xfId="0" applyFont="1" applyFill="1" applyAlignment="1">
      <alignment wrapText="1"/>
    </xf>
    <xf numFmtId="3" fontId="64" fillId="9" borderId="0" xfId="0" applyNumberFormat="1" applyFont="1" applyFill="1" applyAlignment="1">
      <alignment wrapText="1"/>
    </xf>
    <xf numFmtId="0" fontId="66" fillId="12" borderId="124" xfId="0" applyFont="1" applyFill="1" applyBorder="1" applyAlignment="1">
      <alignment horizontal="center" vertical="center" wrapText="1"/>
    </xf>
    <xf numFmtId="0" fontId="66" fillId="12" borderId="121" xfId="0" applyFont="1" applyFill="1" applyBorder="1" applyAlignment="1">
      <alignment horizontal="center" vertical="center" wrapText="1"/>
    </xf>
    <xf numFmtId="0" fontId="66" fillId="12" borderId="142" xfId="0" applyFont="1" applyFill="1" applyBorder="1" applyAlignment="1">
      <alignment horizontal="center" vertical="center" wrapText="1"/>
    </xf>
    <xf numFmtId="0" fontId="64" fillId="9" borderId="119" xfId="0" applyFont="1" applyFill="1" applyBorder="1" applyAlignment="1">
      <alignment horizontal="left" vertical="center"/>
    </xf>
    <xf numFmtId="0" fontId="64" fillId="9" borderId="80" xfId="0" applyFont="1" applyFill="1" applyBorder="1" applyAlignment="1">
      <alignment horizontal="center" vertical="center"/>
    </xf>
    <xf numFmtId="0" fontId="64" fillId="9" borderId="80" xfId="0" applyFont="1" applyFill="1" applyBorder="1" applyAlignment="1">
      <alignment horizontal="center" vertical="center" wrapText="1"/>
    </xf>
    <xf numFmtId="14" fontId="64" fillId="9" borderId="80" xfId="0" applyNumberFormat="1" applyFont="1" applyFill="1" applyBorder="1" applyAlignment="1">
      <alignment horizontal="center" vertical="center"/>
    </xf>
    <xf numFmtId="3" fontId="64" fillId="9" borderId="80" xfId="0" applyNumberFormat="1" applyFont="1" applyFill="1" applyBorder="1" applyAlignment="1">
      <alignment vertical="center"/>
    </xf>
    <xf numFmtId="3" fontId="64" fillId="9" borderId="112" xfId="0" applyNumberFormat="1" applyFont="1" applyFill="1" applyBorder="1" applyAlignment="1">
      <alignment vertical="center"/>
    </xf>
    <xf numFmtId="16" fontId="64" fillId="9" borderId="0" xfId="0" applyNumberFormat="1" applyFont="1" applyFill="1"/>
    <xf numFmtId="0" fontId="64" fillId="9" borderId="169" xfId="0" applyFont="1" applyFill="1" applyBorder="1" applyAlignment="1">
      <alignment horizontal="left" vertical="center"/>
    </xf>
    <xf numFmtId="3" fontId="64" fillId="9" borderId="165" xfId="0" applyNumberFormat="1" applyFont="1" applyFill="1" applyBorder="1" applyAlignment="1">
      <alignment vertical="center"/>
    </xf>
    <xf numFmtId="3" fontId="64" fillId="9" borderId="122" xfId="0" applyNumberFormat="1" applyFont="1" applyFill="1" applyBorder="1" applyAlignment="1">
      <alignment vertical="center"/>
    </xf>
    <xf numFmtId="0" fontId="64" fillId="9" borderId="119" xfId="0" applyFont="1" applyFill="1" applyBorder="1" applyAlignment="1">
      <alignment vertical="center"/>
    </xf>
    <xf numFmtId="0" fontId="64" fillId="0" borderId="165" xfId="0" applyFont="1" applyFill="1" applyBorder="1" applyAlignment="1">
      <alignment horizontal="center" vertical="center"/>
    </xf>
    <xf numFmtId="0" fontId="64" fillId="9" borderId="165" xfId="0" applyFont="1" applyFill="1" applyBorder="1" applyAlignment="1">
      <alignment horizontal="center" vertical="center" wrapText="1"/>
    </xf>
    <xf numFmtId="0" fontId="64" fillId="9" borderId="165" xfId="0" applyFont="1" applyFill="1" applyBorder="1" applyAlignment="1">
      <alignment horizontal="center" vertical="center"/>
    </xf>
    <xf numFmtId="0" fontId="64" fillId="0" borderId="80" xfId="0" applyFont="1" applyFill="1" applyBorder="1" applyAlignment="1">
      <alignment vertical="center"/>
    </xf>
    <xf numFmtId="0" fontId="64" fillId="9" borderId="80" xfId="0" applyFont="1" applyFill="1" applyBorder="1" applyAlignment="1">
      <alignment vertical="center" wrapText="1"/>
    </xf>
    <xf numFmtId="3" fontId="66" fillId="12" borderId="115" xfId="0" applyNumberFormat="1" applyFont="1" applyFill="1" applyBorder="1" applyAlignment="1"/>
    <xf numFmtId="3" fontId="66" fillId="12" borderId="140" xfId="0" applyNumberFormat="1" applyFont="1" applyFill="1" applyBorder="1" applyAlignment="1"/>
    <xf numFmtId="0" fontId="66" fillId="12" borderId="124" xfId="0" applyFont="1" applyFill="1" applyBorder="1" applyAlignment="1">
      <alignment horizontal="center" vertical="center"/>
    </xf>
    <xf numFmtId="0" fontId="64" fillId="9" borderId="112" xfId="0" applyFont="1" applyFill="1" applyBorder="1" applyAlignment="1">
      <alignment wrapText="1"/>
    </xf>
    <xf numFmtId="0" fontId="64" fillId="12" borderId="80" xfId="0" applyFont="1" applyFill="1" applyBorder="1" applyAlignment="1">
      <alignment wrapText="1"/>
    </xf>
    <xf numFmtId="0" fontId="64" fillId="12" borderId="112" xfId="0" applyFont="1" applyFill="1" applyBorder="1" applyAlignment="1">
      <alignment wrapText="1"/>
    </xf>
    <xf numFmtId="0" fontId="66" fillId="12" borderId="80" xfId="0" applyFont="1" applyFill="1" applyBorder="1" applyAlignment="1">
      <alignment horizontal="left"/>
    </xf>
    <xf numFmtId="3" fontId="64" fillId="0" borderId="80" xfId="0" applyNumberFormat="1" applyFont="1" applyFill="1" applyBorder="1" applyAlignment="1">
      <alignment wrapText="1"/>
    </xf>
    <xf numFmtId="3" fontId="64" fillId="9" borderId="80" xfId="0" applyNumberFormat="1" applyFont="1" applyFill="1" applyBorder="1" applyAlignment="1">
      <alignment wrapText="1"/>
    </xf>
    <xf numFmtId="3" fontId="66" fillId="12" borderId="80" xfId="0" applyNumberFormat="1" applyFont="1" applyFill="1" applyBorder="1" applyAlignment="1">
      <alignment wrapText="1"/>
    </xf>
    <xf numFmtId="14" fontId="64" fillId="9" borderId="0" xfId="0" applyNumberFormat="1" applyFont="1" applyFill="1" applyAlignment="1">
      <alignment wrapText="1"/>
    </xf>
    <xf numFmtId="0" fontId="64" fillId="9" borderId="80" xfId="0" applyFont="1" applyFill="1" applyBorder="1" applyAlignment="1">
      <alignment vertical="center"/>
    </xf>
    <xf numFmtId="0" fontId="66" fillId="12" borderId="121" xfId="0" applyFont="1" applyFill="1" applyBorder="1" applyAlignment="1">
      <alignment horizontal="center" vertical="center"/>
    </xf>
    <xf numFmtId="0" fontId="66" fillId="12" borderId="142" xfId="0" applyFont="1" applyFill="1" applyBorder="1" applyAlignment="1">
      <alignment horizontal="center" vertical="center"/>
    </xf>
    <xf numFmtId="3" fontId="64" fillId="9" borderId="80" xfId="0" applyNumberFormat="1" applyFont="1" applyFill="1" applyBorder="1" applyAlignment="1">
      <alignment horizontal="right" vertical="center"/>
    </xf>
    <xf numFmtId="3" fontId="64" fillId="0" borderId="80" xfId="0" applyNumberFormat="1" applyFont="1" applyFill="1" applyBorder="1" applyAlignment="1">
      <alignment horizontal="right" vertical="center"/>
    </xf>
    <xf numFmtId="3" fontId="64" fillId="9" borderId="112" xfId="0" applyNumberFormat="1" applyFont="1" applyFill="1" applyBorder="1" applyAlignment="1">
      <alignment horizontal="right" vertical="center"/>
    </xf>
    <xf numFmtId="3" fontId="64" fillId="0" borderId="80" xfId="0" applyNumberFormat="1" applyFont="1" applyFill="1" applyBorder="1"/>
    <xf numFmtId="0" fontId="64" fillId="9" borderId="174" xfId="0" applyFont="1" applyFill="1" applyBorder="1" applyAlignment="1">
      <alignment horizontal="left" vertical="center"/>
    </xf>
    <xf numFmtId="168" fontId="64" fillId="9" borderId="25" xfId="7" applyFont="1" applyFill="1" applyBorder="1" applyAlignment="1">
      <alignment horizontal="center" vertical="center" wrapText="1"/>
    </xf>
    <xf numFmtId="168" fontId="64" fillId="9" borderId="123" xfId="7" applyFont="1" applyFill="1" applyBorder="1" applyAlignment="1">
      <alignment horizontal="center" vertical="center" wrapText="1"/>
    </xf>
    <xf numFmtId="168" fontId="66" fillId="12" borderId="115" xfId="0" applyNumberFormat="1" applyFont="1" applyFill="1" applyBorder="1"/>
    <xf numFmtId="168" fontId="66" fillId="12" borderId="140" xfId="0" applyNumberFormat="1" applyFont="1" applyFill="1" applyBorder="1"/>
    <xf numFmtId="0" fontId="60" fillId="9" borderId="0" xfId="0" applyFont="1" applyFill="1"/>
    <xf numFmtId="0" fontId="64" fillId="9" borderId="119" xfId="0" applyFont="1" applyFill="1" applyBorder="1" applyAlignment="1">
      <alignment horizontal="left" vertical="center" wrapText="1"/>
    </xf>
    <xf numFmtId="3" fontId="66" fillId="12" borderId="140" xfId="0" applyNumberFormat="1" applyFont="1" applyFill="1" applyBorder="1" applyAlignment="1">
      <alignment horizontal="right"/>
    </xf>
    <xf numFmtId="0" fontId="66" fillId="12" borderId="178" xfId="0" applyFont="1" applyFill="1" applyBorder="1" applyAlignment="1">
      <alignment horizontal="center" vertical="center"/>
    </xf>
    <xf numFmtId="0" fontId="66" fillId="12" borderId="178" xfId="0" applyFont="1" applyFill="1" applyBorder="1" applyAlignment="1">
      <alignment horizontal="center" vertical="center" wrapText="1"/>
    </xf>
    <xf numFmtId="0" fontId="66" fillId="12" borderId="29" xfId="0" applyFont="1" applyFill="1" applyBorder="1" applyAlignment="1">
      <alignment horizontal="center" vertical="center" wrapText="1"/>
    </xf>
    <xf numFmtId="0" fontId="65" fillId="12" borderId="152" xfId="0" applyFont="1" applyFill="1" applyBorder="1"/>
    <xf numFmtId="0" fontId="64" fillId="9" borderId="152" xfId="0" applyFont="1" applyFill="1" applyBorder="1"/>
    <xf numFmtId="0" fontId="64" fillId="9" borderId="155" xfId="0" applyFont="1" applyFill="1" applyBorder="1"/>
    <xf numFmtId="3" fontId="64" fillId="0" borderId="152" xfId="0" applyNumberFormat="1" applyFont="1" applyFill="1" applyBorder="1"/>
    <xf numFmtId="3" fontId="64" fillId="9" borderId="152" xfId="0" applyNumberFormat="1" applyFont="1" applyFill="1" applyBorder="1"/>
    <xf numFmtId="0" fontId="64" fillId="9" borderId="152" xfId="0" applyFont="1" applyFill="1" applyBorder="1" applyAlignment="1">
      <alignment wrapText="1"/>
    </xf>
    <xf numFmtId="0" fontId="65" fillId="12" borderId="152" xfId="0" applyFont="1" applyFill="1" applyBorder="1" applyAlignment="1">
      <alignment horizontal="left" vertical="center"/>
    </xf>
    <xf numFmtId="168" fontId="66" fillId="12" borderId="152" xfId="7" applyFont="1" applyFill="1" applyBorder="1" applyAlignment="1">
      <alignment horizontal="left" vertical="center"/>
    </xf>
    <xf numFmtId="3" fontId="66" fillId="0" borderId="152" xfId="0" applyNumberFormat="1" applyFont="1" applyFill="1" applyBorder="1" applyAlignment="1">
      <alignment horizontal="right" vertical="center"/>
    </xf>
    <xf numFmtId="3" fontId="64" fillId="9" borderId="152" xfId="0" applyNumberFormat="1" applyFont="1" applyFill="1" applyBorder="1" applyAlignment="1">
      <alignment horizontal="right" vertical="center"/>
    </xf>
    <xf numFmtId="0" fontId="64" fillId="0" borderId="152" xfId="0" applyFont="1" applyFill="1" applyBorder="1"/>
    <xf numFmtId="0" fontId="64" fillId="9" borderId="179" xfId="0" applyFont="1" applyFill="1" applyBorder="1"/>
    <xf numFmtId="3" fontId="64" fillId="0" borderId="153" xfId="0" applyNumberFormat="1" applyFont="1" applyFill="1" applyBorder="1"/>
    <xf numFmtId="0" fontId="64" fillId="9" borderId="153" xfId="0" applyFont="1" applyFill="1" applyBorder="1"/>
    <xf numFmtId="3" fontId="64" fillId="9" borderId="153" xfId="0" applyNumberFormat="1" applyFont="1" applyFill="1" applyBorder="1"/>
    <xf numFmtId="0" fontId="64" fillId="9" borderId="111" xfId="0" applyFont="1" applyFill="1" applyBorder="1"/>
    <xf numFmtId="0" fontId="64" fillId="9" borderId="179" xfId="0" applyFont="1" applyFill="1" applyBorder="1" applyAlignment="1">
      <alignment wrapText="1"/>
    </xf>
    <xf numFmtId="0" fontId="65" fillId="12" borderId="154" xfId="0" applyFont="1" applyFill="1" applyBorder="1"/>
    <xf numFmtId="3" fontId="66" fillId="12" borderId="154" xfId="0" applyNumberFormat="1" applyFont="1" applyFill="1" applyBorder="1"/>
    <xf numFmtId="3" fontId="64" fillId="9" borderId="136" xfId="0" applyNumberFormat="1" applyFont="1" applyFill="1" applyBorder="1"/>
    <xf numFmtId="0" fontId="64" fillId="9" borderId="169" xfId="0" applyFont="1" applyFill="1" applyBorder="1"/>
    <xf numFmtId="3" fontId="64" fillId="9" borderId="168" xfId="0" applyNumberFormat="1" applyFont="1" applyFill="1" applyBorder="1"/>
    <xf numFmtId="3" fontId="64" fillId="9" borderId="122" xfId="0" applyNumberFormat="1" applyFont="1" applyFill="1" applyBorder="1"/>
    <xf numFmtId="0" fontId="64" fillId="9" borderId="119" xfId="0" applyFont="1" applyFill="1" applyBorder="1" applyAlignment="1">
      <alignment wrapText="1"/>
    </xf>
    <xf numFmtId="3" fontId="64" fillId="9" borderId="83" xfId="0" applyNumberFormat="1" applyFont="1" applyFill="1" applyBorder="1"/>
    <xf numFmtId="3" fontId="66" fillId="12" borderId="83" xfId="0" applyNumberFormat="1" applyFont="1" applyFill="1" applyBorder="1"/>
    <xf numFmtId="168" fontId="64" fillId="9" borderId="80" xfId="120" applyFont="1" applyFill="1" applyBorder="1"/>
    <xf numFmtId="168" fontId="66" fillId="12" borderId="121" xfId="7" applyFont="1" applyFill="1" applyBorder="1" applyAlignment="1">
      <alignment horizontal="center" vertical="center" wrapText="1"/>
    </xf>
    <xf numFmtId="0" fontId="66" fillId="11" borderId="124" xfId="0" applyFont="1" applyFill="1" applyBorder="1" applyAlignment="1">
      <alignment horizontal="center"/>
    </xf>
    <xf numFmtId="0" fontId="66" fillId="11" borderId="121" xfId="0" applyFont="1" applyFill="1" applyBorder="1" applyAlignment="1">
      <alignment horizontal="center"/>
    </xf>
    <xf numFmtId="0" fontId="66" fillId="11" borderId="142" xfId="0" applyFont="1" applyFill="1" applyBorder="1" applyAlignment="1">
      <alignment horizontal="center"/>
    </xf>
    <xf numFmtId="14" fontId="64" fillId="9" borderId="119" xfId="0" applyNumberFormat="1" applyFont="1" applyFill="1" applyBorder="1" applyAlignment="1">
      <alignment horizontal="center"/>
    </xf>
    <xf numFmtId="4" fontId="64" fillId="9" borderId="80" xfId="0" applyNumberFormat="1" applyFont="1" applyFill="1" applyBorder="1" applyAlignment="1">
      <alignment horizontal="center"/>
    </xf>
    <xf numFmtId="14" fontId="64" fillId="9" borderId="125" xfId="0" applyNumberFormat="1" applyFont="1" applyFill="1" applyBorder="1" applyAlignment="1">
      <alignment horizontal="center"/>
    </xf>
    <xf numFmtId="4" fontId="64" fillId="9" borderId="115" xfId="0" applyNumberFormat="1" applyFont="1" applyFill="1" applyBorder="1" applyAlignment="1">
      <alignment horizontal="center"/>
    </xf>
    <xf numFmtId="0" fontId="64" fillId="9" borderId="115" xfId="0" applyFont="1" applyFill="1" applyBorder="1" applyAlignment="1">
      <alignment horizontal="center"/>
    </xf>
    <xf numFmtId="0" fontId="64" fillId="9" borderId="140" xfId="0" applyFont="1" applyFill="1" applyBorder="1" applyAlignment="1">
      <alignment horizontal="center"/>
    </xf>
    <xf numFmtId="0" fontId="69" fillId="9" borderId="0" xfId="0" applyFont="1" applyFill="1" applyAlignment="1">
      <alignment vertical="center"/>
    </xf>
    <xf numFmtId="0" fontId="68" fillId="9" borderId="0" xfId="0" applyFont="1" applyFill="1" applyAlignment="1">
      <alignment vertical="center"/>
    </xf>
    <xf numFmtId="0" fontId="78" fillId="9" borderId="0" xfId="0" applyFont="1" applyFill="1" applyAlignment="1">
      <alignment vertical="center"/>
    </xf>
    <xf numFmtId="0" fontId="67" fillId="9" borderId="109" xfId="0" applyFont="1" applyFill="1" applyBorder="1" applyAlignment="1">
      <alignment vertical="center"/>
    </xf>
    <xf numFmtId="0" fontId="67" fillId="9" borderId="0" xfId="0" applyFont="1" applyFill="1" applyBorder="1" applyAlignment="1">
      <alignment horizontal="justify" vertical="center"/>
    </xf>
    <xf numFmtId="0" fontId="67" fillId="9" borderId="0" xfId="0" applyFont="1" applyFill="1" applyBorder="1" applyAlignment="1">
      <alignment horizontal="left" vertical="center" wrapText="1"/>
    </xf>
    <xf numFmtId="0" fontId="67" fillId="9" borderId="0" xfId="0" applyFont="1" applyFill="1" applyBorder="1" applyAlignment="1">
      <alignment horizontal="center" vertical="center"/>
    </xf>
    <xf numFmtId="3" fontId="67" fillId="9" borderId="0" xfId="0" applyNumberFormat="1" applyFont="1" applyFill="1" applyBorder="1" applyAlignment="1">
      <alignment horizontal="center" vertical="center"/>
    </xf>
    <xf numFmtId="0" fontId="68" fillId="9" borderId="0" xfId="0" applyFont="1" applyFill="1" applyAlignment="1">
      <alignment horizontal="right"/>
    </xf>
    <xf numFmtId="0" fontId="66" fillId="11" borderId="124" xfId="0" applyFont="1" applyFill="1" applyBorder="1" applyAlignment="1">
      <alignment horizontal="center" vertical="center"/>
    </xf>
    <xf numFmtId="0" fontId="66" fillId="11" borderId="142" xfId="0" applyFont="1" applyFill="1" applyBorder="1" applyAlignment="1">
      <alignment horizontal="center" wrapText="1"/>
    </xf>
    <xf numFmtId="9" fontId="64" fillId="9" borderId="112" xfId="25" applyFont="1" applyFill="1" applyBorder="1"/>
    <xf numFmtId="176" fontId="64" fillId="9" borderId="122" xfId="25" applyNumberFormat="1" applyFont="1" applyFill="1" applyBorder="1"/>
    <xf numFmtId="0" fontId="64" fillId="9" borderId="125" xfId="0" applyFont="1" applyFill="1" applyBorder="1"/>
    <xf numFmtId="9" fontId="64" fillId="9" borderId="140" xfId="25" applyFont="1" applyFill="1" applyBorder="1"/>
    <xf numFmtId="9" fontId="64" fillId="9" borderId="0" xfId="25" applyFont="1" applyFill="1" applyBorder="1"/>
    <xf numFmtId="0" fontId="66" fillId="9" borderId="0" xfId="0" applyFont="1" applyFill="1" applyBorder="1"/>
    <xf numFmtId="14" fontId="64" fillId="9" borderId="0" xfId="0" applyNumberFormat="1" applyFont="1" applyFill="1" applyAlignment="1">
      <alignment horizontal="center"/>
    </xf>
    <xf numFmtId="0" fontId="65" fillId="9" borderId="124" xfId="0" applyFont="1" applyFill="1" applyBorder="1"/>
    <xf numFmtId="0" fontId="64" fillId="9" borderId="121" xfId="0" applyFont="1" applyFill="1" applyBorder="1"/>
    <xf numFmtId="0" fontId="64" fillId="9" borderId="142" xfId="0" applyFont="1" applyFill="1" applyBorder="1"/>
    <xf numFmtId="168" fontId="64" fillId="9" borderId="112" xfId="7" applyFont="1" applyFill="1" applyBorder="1"/>
    <xf numFmtId="168" fontId="66" fillId="9" borderId="112" xfId="0" applyNumberFormat="1" applyFont="1" applyFill="1" applyBorder="1"/>
    <xf numFmtId="0" fontId="65" fillId="9" borderId="119" xfId="0" applyFont="1" applyFill="1" applyBorder="1"/>
    <xf numFmtId="1" fontId="64" fillId="9" borderId="80" xfId="0" applyNumberFormat="1" applyFont="1" applyFill="1" applyBorder="1"/>
    <xf numFmtId="0" fontId="66" fillId="9" borderId="119" xfId="0" applyFont="1" applyFill="1" applyBorder="1" applyAlignment="1">
      <alignment wrapText="1"/>
    </xf>
    <xf numFmtId="0" fontId="64" fillId="9" borderId="169" xfId="0" applyFont="1" applyFill="1" applyBorder="1" applyAlignment="1">
      <alignment wrapText="1"/>
    </xf>
    <xf numFmtId="3" fontId="64" fillId="9" borderId="165" xfId="0" applyNumberFormat="1" applyFont="1" applyFill="1" applyBorder="1"/>
    <xf numFmtId="0" fontId="66" fillId="9" borderId="125" xfId="0" applyFont="1" applyFill="1" applyBorder="1"/>
    <xf numFmtId="3" fontId="66" fillId="9" borderId="115" xfId="0" applyNumberFormat="1" applyFont="1" applyFill="1" applyBorder="1"/>
    <xf numFmtId="3" fontId="66" fillId="9" borderId="140" xfId="0" applyNumberFormat="1" applyFont="1" applyFill="1" applyBorder="1"/>
    <xf numFmtId="3" fontId="66" fillId="9" borderId="0" xfId="0" applyNumberFormat="1" applyFont="1" applyFill="1" applyBorder="1"/>
    <xf numFmtId="168" fontId="64" fillId="9" borderId="121" xfId="7" applyFont="1" applyFill="1" applyBorder="1"/>
    <xf numFmtId="168" fontId="62" fillId="9" borderId="80" xfId="7" applyFont="1" applyFill="1" applyBorder="1"/>
    <xf numFmtId="168" fontId="62" fillId="9" borderId="112" xfId="7" applyFont="1" applyFill="1" applyBorder="1"/>
    <xf numFmtId="168" fontId="64" fillId="9" borderId="165" xfId="7" applyFont="1" applyFill="1" applyBorder="1"/>
    <xf numFmtId="168" fontId="64" fillId="9" borderId="122" xfId="7" applyFont="1" applyFill="1" applyBorder="1"/>
    <xf numFmtId="168" fontId="66" fillId="9" borderId="115" xfId="7" applyFont="1" applyFill="1" applyBorder="1"/>
    <xf numFmtId="168" fontId="66" fillId="9" borderId="140" xfId="7" applyFont="1" applyFill="1" applyBorder="1"/>
    <xf numFmtId="0" fontId="64" fillId="9" borderId="174" xfId="0" applyFont="1" applyFill="1" applyBorder="1" applyAlignment="1">
      <alignment horizontal="left"/>
    </xf>
    <xf numFmtId="0" fontId="64" fillId="9" borderId="25" xfId="0" applyFont="1" applyFill="1" applyBorder="1" applyAlignment="1">
      <alignment horizontal="center"/>
    </xf>
    <xf numFmtId="0" fontId="64" fillId="9" borderId="25" xfId="0" applyFont="1" applyFill="1" applyBorder="1" applyAlignment="1">
      <alignment horizontal="center" wrapText="1"/>
    </xf>
    <xf numFmtId="3" fontId="64" fillId="9" borderId="25" xfId="0" applyNumberFormat="1" applyFont="1" applyFill="1" applyBorder="1" applyAlignment="1"/>
    <xf numFmtId="3" fontId="64" fillId="9" borderId="123" xfId="0" applyNumberFormat="1" applyFont="1" applyFill="1" applyBorder="1" applyAlignment="1"/>
    <xf numFmtId="0" fontId="64" fillId="9" borderId="169" xfId="0" applyFont="1" applyFill="1" applyBorder="1" applyAlignment="1">
      <alignment horizontal="left"/>
    </xf>
    <xf numFmtId="0" fontId="64" fillId="9" borderId="80" xfId="0" applyFont="1" applyFill="1" applyBorder="1" applyAlignment="1">
      <alignment horizontal="center" wrapText="1"/>
    </xf>
    <xf numFmtId="3" fontId="64" fillId="9" borderId="165" xfId="0" applyNumberFormat="1" applyFont="1" applyFill="1" applyBorder="1" applyAlignment="1"/>
    <xf numFmtId="3" fontId="64" fillId="9" borderId="122" xfId="0" applyNumberFormat="1" applyFont="1" applyFill="1" applyBorder="1" applyAlignment="1"/>
    <xf numFmtId="3" fontId="64" fillId="9" borderId="0" xfId="0" applyNumberFormat="1" applyFont="1" applyFill="1" applyBorder="1" applyAlignment="1">
      <alignment vertical="center"/>
    </xf>
    <xf numFmtId="0" fontId="64" fillId="0" borderId="165" xfId="0" applyFont="1" applyFill="1" applyBorder="1" applyAlignment="1">
      <alignment horizontal="center"/>
    </xf>
    <xf numFmtId="0" fontId="64" fillId="9" borderId="80" xfId="0" applyNumberFormat="1" applyFont="1" applyFill="1" applyBorder="1" applyAlignment="1">
      <alignment horizontal="right" vertical="center"/>
    </xf>
    <xf numFmtId="0" fontId="64" fillId="9" borderId="112" xfId="0" applyNumberFormat="1" applyFont="1" applyFill="1" applyBorder="1" applyAlignment="1">
      <alignment horizontal="right" vertical="center"/>
    </xf>
    <xf numFmtId="168" fontId="66" fillId="12" borderId="112" xfId="0" applyNumberFormat="1" applyFont="1" applyFill="1" applyBorder="1"/>
    <xf numFmtId="0" fontId="66" fillId="0" borderId="80" xfId="0" applyFont="1" applyFill="1" applyBorder="1"/>
    <xf numFmtId="3" fontId="66" fillId="0" borderId="80" xfId="0" applyNumberFormat="1" applyFont="1" applyFill="1" applyBorder="1" applyAlignment="1">
      <alignment wrapText="1"/>
    </xf>
    <xf numFmtId="3" fontId="64" fillId="12" borderId="112" xfId="0" applyNumberFormat="1" applyFont="1" applyFill="1" applyBorder="1"/>
    <xf numFmtId="168" fontId="64" fillId="0" borderId="115" xfId="120" applyFont="1" applyFill="1" applyBorder="1"/>
    <xf numFmtId="168" fontId="64" fillId="0" borderId="140" xfId="120" applyFont="1" applyFill="1" applyBorder="1"/>
    <xf numFmtId="3" fontId="64" fillId="0" borderId="112" xfId="0" applyNumberFormat="1" applyFont="1" applyFill="1" applyBorder="1" applyAlignment="1">
      <alignment horizontal="right" vertical="center"/>
    </xf>
    <xf numFmtId="0" fontId="75" fillId="11" borderId="28" xfId="16" applyFont="1" applyFill="1" applyBorder="1" applyAlignment="1">
      <alignment horizontal="left" vertical="center"/>
    </xf>
    <xf numFmtId="0" fontId="1" fillId="11" borderId="30" xfId="16" applyFont="1" applyFill="1" applyBorder="1" applyAlignment="1">
      <alignment horizontal="left" vertical="center"/>
    </xf>
    <xf numFmtId="3" fontId="75" fillId="11" borderId="77" xfId="9" applyNumberFormat="1" applyFont="1" applyFill="1" applyBorder="1" applyAlignment="1">
      <alignment horizontal="right" vertical="center"/>
    </xf>
    <xf numFmtId="1" fontId="64" fillId="9" borderId="80" xfId="20" applyNumberFormat="1" applyFont="1" applyFill="1" applyBorder="1"/>
    <xf numFmtId="1" fontId="64" fillId="9" borderId="112" xfId="6" applyNumberFormat="1" applyFont="1" applyFill="1" applyBorder="1"/>
    <xf numFmtId="0" fontId="66" fillId="0" borderId="28" xfId="0" applyFont="1" applyFill="1" applyBorder="1"/>
    <xf numFmtId="169" fontId="66" fillId="0" borderId="29" xfId="0" applyNumberFormat="1" applyFont="1" applyFill="1" applyBorder="1"/>
    <xf numFmtId="169" fontId="66" fillId="0" borderId="30" xfId="0" applyNumberFormat="1" applyFont="1" applyFill="1" applyBorder="1"/>
    <xf numFmtId="0" fontId="66" fillId="0" borderId="29" xfId="0" applyFont="1" applyFill="1" applyBorder="1"/>
    <xf numFmtId="169" fontId="66" fillId="0" borderId="30" xfId="0" applyNumberFormat="1" applyFont="1" applyFill="1" applyBorder="1" applyAlignment="1">
      <alignment horizontal="right"/>
    </xf>
    <xf numFmtId="0" fontId="66" fillId="0" borderId="125" xfId="0" applyFont="1" applyFill="1" applyBorder="1"/>
    <xf numFmtId="3" fontId="66" fillId="0" borderId="115" xfId="0" applyNumberFormat="1" applyFont="1" applyFill="1" applyBorder="1"/>
    <xf numFmtId="3" fontId="66" fillId="0" borderId="140" xfId="0" applyNumberFormat="1" applyFont="1" applyFill="1" applyBorder="1"/>
    <xf numFmtId="0" fontId="66" fillId="0" borderId="115" xfId="0" applyFont="1" applyFill="1" applyBorder="1"/>
    <xf numFmtId="0" fontId="66" fillId="0" borderId="140" xfId="0" applyFont="1" applyFill="1" applyBorder="1"/>
    <xf numFmtId="0" fontId="64" fillId="0" borderId="140" xfId="0" applyFont="1" applyFill="1" applyBorder="1"/>
    <xf numFmtId="0" fontId="64" fillId="0" borderId="115" xfId="0" applyFont="1" applyFill="1" applyBorder="1" applyAlignment="1">
      <alignment wrapText="1"/>
    </xf>
    <xf numFmtId="0" fontId="64" fillId="0" borderId="140" xfId="0" applyFont="1" applyFill="1" applyBorder="1" applyAlignment="1">
      <alignment wrapText="1"/>
    </xf>
    <xf numFmtId="168" fontId="66" fillId="9" borderId="80" xfId="7" applyFont="1" applyFill="1" applyBorder="1"/>
    <xf numFmtId="0" fontId="66" fillId="12" borderId="80" xfId="0" applyFont="1" applyFill="1" applyBorder="1" applyAlignment="1">
      <alignment horizontal="center"/>
    </xf>
    <xf numFmtId="0" fontId="64" fillId="9" borderId="0" xfId="0" applyFont="1" applyFill="1" applyAlignment="1">
      <alignment horizontal="left" vertical="center"/>
    </xf>
    <xf numFmtId="0" fontId="66" fillId="0" borderId="80" xfId="0" applyFont="1" applyFill="1" applyBorder="1" applyAlignment="1">
      <alignment horizontal="center"/>
    </xf>
    <xf numFmtId="187" fontId="66" fillId="0" borderId="80" xfId="0" applyNumberFormat="1" applyFont="1" applyFill="1" applyBorder="1"/>
    <xf numFmtId="4" fontId="66" fillId="0" borderId="80" xfId="0" applyNumberFormat="1" applyFont="1" applyFill="1" applyBorder="1"/>
    <xf numFmtId="188" fontId="66" fillId="0" borderId="80" xfId="0" applyNumberFormat="1" applyFont="1" applyFill="1" applyBorder="1"/>
    <xf numFmtId="167" fontId="64" fillId="0" borderId="112" xfId="119" applyNumberFormat="1" applyFont="1" applyFill="1" applyBorder="1"/>
    <xf numFmtId="0" fontId="23" fillId="0" borderId="0" xfId="12" applyFont="1" applyFill="1" applyBorder="1" applyAlignment="1">
      <alignment horizontal="center"/>
    </xf>
    <xf numFmtId="0" fontId="12" fillId="0" borderId="0" xfId="0" applyFont="1" applyBorder="1" applyAlignment="1">
      <alignment horizontal="center"/>
    </xf>
    <xf numFmtId="0" fontId="66" fillId="9" borderId="0" xfId="0" applyFont="1" applyFill="1" applyAlignment="1">
      <alignment horizontal="center" vertical="center"/>
    </xf>
    <xf numFmtId="0" fontId="67" fillId="9" borderId="144" xfId="0" applyFont="1" applyFill="1" applyBorder="1" applyAlignment="1">
      <alignment vertical="center" wrapText="1"/>
    </xf>
    <xf numFmtId="0" fontId="67" fillId="9" borderId="146" xfId="0" applyFont="1" applyFill="1" applyBorder="1" applyAlignment="1">
      <alignment vertical="center" wrapText="1"/>
    </xf>
    <xf numFmtId="0" fontId="65" fillId="9" borderId="0" xfId="0" applyFont="1" applyFill="1" applyAlignment="1">
      <alignment horizontal="center"/>
    </xf>
    <xf numFmtId="0" fontId="67" fillId="9" borderId="103" xfId="12" applyFont="1" applyFill="1" applyBorder="1" applyAlignment="1">
      <alignment horizontal="left" vertical="center" wrapText="1"/>
    </xf>
    <xf numFmtId="0" fontId="67" fillId="9" borderId="107" xfId="12" applyFont="1" applyFill="1" applyBorder="1" applyAlignment="1">
      <alignment horizontal="left" vertical="center" wrapText="1"/>
    </xf>
    <xf numFmtId="0" fontId="69" fillId="9" borderId="0" xfId="12" applyFont="1" applyFill="1" applyBorder="1" applyAlignment="1">
      <alignment horizontal="center" vertical="center" wrapText="1"/>
    </xf>
    <xf numFmtId="0" fontId="65" fillId="9" borderId="0" xfId="0" applyFont="1" applyFill="1" applyAlignment="1">
      <alignment horizontal="center" vertical="center"/>
    </xf>
    <xf numFmtId="0" fontId="66" fillId="0" borderId="0" xfId="0" applyFont="1" applyAlignment="1">
      <alignment horizontal="center" vertical="center"/>
    </xf>
    <xf numFmtId="0" fontId="66" fillId="9" borderId="0" xfId="21" applyFont="1" applyFill="1" applyBorder="1" applyAlignment="1">
      <alignment horizontal="center"/>
    </xf>
    <xf numFmtId="0" fontId="70" fillId="9" borderId="0" xfId="21" applyFont="1" applyFill="1" applyBorder="1" applyAlignment="1">
      <alignment horizontal="center"/>
    </xf>
    <xf numFmtId="0" fontId="65" fillId="9" borderId="0" xfId="21" applyFont="1" applyFill="1" applyBorder="1" applyAlignment="1">
      <alignment horizontal="center"/>
    </xf>
    <xf numFmtId="0" fontId="66" fillId="11" borderId="126" xfId="21" applyFont="1" applyFill="1" applyBorder="1" applyAlignment="1">
      <alignment horizontal="center" vertical="center"/>
    </xf>
    <xf numFmtId="0" fontId="66" fillId="11" borderId="101" xfId="21" applyFont="1" applyFill="1" applyBorder="1" applyAlignment="1">
      <alignment horizontal="center" vertical="center"/>
    </xf>
    <xf numFmtId="0" fontId="66" fillId="11" borderId="194" xfId="21" applyFont="1" applyFill="1" applyBorder="1" applyAlignment="1">
      <alignment horizontal="center" vertical="center"/>
    </xf>
    <xf numFmtId="0" fontId="66" fillId="11" borderId="102" xfId="21" applyFont="1" applyFill="1" applyBorder="1" applyAlignment="1">
      <alignment horizontal="center" vertical="center"/>
    </xf>
    <xf numFmtId="0" fontId="70" fillId="0" borderId="0" xfId="21" applyFont="1" applyBorder="1" applyAlignment="1">
      <alignment horizontal="center"/>
    </xf>
    <xf numFmtId="0" fontId="66" fillId="12" borderId="144" xfId="21" applyFont="1" applyFill="1" applyBorder="1" applyAlignment="1">
      <alignment horizontal="center" vertical="center"/>
    </xf>
    <xf numFmtId="0" fontId="66" fillId="12" borderId="146" xfId="21" applyFont="1" applyFill="1" applyBorder="1" applyAlignment="1">
      <alignment horizontal="center" vertical="center"/>
    </xf>
    <xf numFmtId="0" fontId="65" fillId="0" borderId="0" xfId="22" applyFont="1" applyBorder="1" applyAlignment="1">
      <alignment horizontal="center" vertical="center" wrapText="1"/>
    </xf>
    <xf numFmtId="0" fontId="66" fillId="0" borderId="0" xfId="22" applyFont="1" applyBorder="1" applyAlignment="1">
      <alignment horizontal="center" vertical="center"/>
    </xf>
    <xf numFmtId="0" fontId="62" fillId="0" borderId="0" xfId="16" applyFont="1" applyBorder="1" applyAlignment="1">
      <alignment horizontal="center" vertical="center"/>
    </xf>
    <xf numFmtId="0" fontId="75" fillId="11" borderId="111" xfId="16" applyFont="1" applyFill="1" applyBorder="1" applyAlignment="1">
      <alignment horizontal="left" vertical="center" wrapText="1"/>
    </xf>
    <xf numFmtId="0" fontId="75" fillId="11" borderId="92" xfId="16" applyFont="1" applyFill="1" applyBorder="1" applyAlignment="1">
      <alignment horizontal="left" vertical="center" wrapText="1"/>
    </xf>
    <xf numFmtId="0" fontId="75" fillId="11" borderId="98" xfId="16" applyFont="1" applyFill="1" applyBorder="1" applyAlignment="1">
      <alignment horizontal="left" vertical="center" wrapText="1"/>
    </xf>
    <xf numFmtId="0" fontId="65" fillId="0" borderId="0" xfId="23" applyFont="1" applyBorder="1" applyAlignment="1">
      <alignment horizontal="center" vertical="center"/>
    </xf>
    <xf numFmtId="0" fontId="66" fillId="12" borderId="61" xfId="23" applyFont="1" applyFill="1" applyBorder="1" applyAlignment="1">
      <alignment horizontal="center" vertical="center"/>
    </xf>
    <xf numFmtId="0" fontId="66" fillId="12" borderId="107" xfId="23" applyFont="1" applyFill="1" applyBorder="1" applyAlignment="1">
      <alignment horizontal="center" vertical="center"/>
    </xf>
    <xf numFmtId="0" fontId="66" fillId="12" borderId="79" xfId="23" applyFont="1" applyFill="1" applyBorder="1" applyAlignment="1">
      <alignment horizontal="center" vertical="center"/>
    </xf>
    <xf numFmtId="0" fontId="66" fillId="12" borderId="167" xfId="23" applyFont="1" applyFill="1" applyBorder="1" applyAlignment="1">
      <alignment horizontal="center" vertical="center"/>
    </xf>
    <xf numFmtId="0" fontId="66" fillId="9" borderId="0" xfId="23" applyFont="1" applyFill="1" applyBorder="1" applyAlignment="1">
      <alignment horizontal="center"/>
    </xf>
    <xf numFmtId="0" fontId="66" fillId="12" borderId="103" xfId="23" applyFont="1" applyFill="1" applyBorder="1" applyAlignment="1">
      <alignment horizontal="center" vertical="center"/>
    </xf>
    <xf numFmtId="0" fontId="66" fillId="12" borderId="110" xfId="23" applyFont="1" applyFill="1" applyBorder="1" applyAlignment="1">
      <alignment horizontal="center" vertical="center"/>
    </xf>
    <xf numFmtId="0" fontId="66" fillId="12" borderId="126" xfId="23" applyFont="1" applyFill="1" applyBorder="1" applyAlignment="1">
      <alignment horizontal="center" vertical="center"/>
    </xf>
    <xf numFmtId="0" fontId="65" fillId="9" borderId="0" xfId="23" applyFont="1" applyFill="1" applyBorder="1" applyAlignment="1">
      <alignment horizontal="center"/>
    </xf>
    <xf numFmtId="0" fontId="64" fillId="9" borderId="0" xfId="23" applyFont="1" applyFill="1" applyBorder="1" applyAlignment="1">
      <alignment horizontal="center"/>
    </xf>
    <xf numFmtId="0" fontId="66" fillId="12" borderId="9" xfId="23" applyFont="1" applyFill="1" applyBorder="1" applyAlignment="1">
      <alignment horizontal="center" vertical="center"/>
    </xf>
    <xf numFmtId="0" fontId="66" fillId="12" borderId="141" xfId="23" applyFont="1" applyFill="1" applyBorder="1" applyAlignment="1">
      <alignment horizontal="center" vertical="center"/>
    </xf>
    <xf numFmtId="0" fontId="66" fillId="12" borderId="150" xfId="23" applyFont="1" applyFill="1" applyBorder="1" applyAlignment="1">
      <alignment horizontal="center" vertical="center"/>
    </xf>
    <xf numFmtId="0" fontId="66" fillId="12" borderId="171" xfId="23" applyFont="1" applyFill="1" applyBorder="1" applyAlignment="1">
      <alignment horizontal="center" vertical="center" wrapText="1"/>
    </xf>
    <xf numFmtId="0" fontId="66" fillId="12" borderId="176" xfId="23" applyFont="1" applyFill="1" applyBorder="1" applyAlignment="1">
      <alignment horizontal="center" vertical="center"/>
    </xf>
    <xf numFmtId="0" fontId="66" fillId="12" borderId="100" xfId="23" applyFont="1" applyFill="1" applyBorder="1" applyAlignment="1">
      <alignment horizontal="center" vertical="center"/>
    </xf>
    <xf numFmtId="0" fontId="66" fillId="12" borderId="22" xfId="23" applyFont="1" applyFill="1" applyBorder="1" applyAlignment="1">
      <alignment horizontal="center" vertical="center"/>
    </xf>
    <xf numFmtId="0" fontId="66" fillId="12" borderId="175" xfId="23" applyFont="1" applyFill="1" applyBorder="1" applyAlignment="1">
      <alignment horizontal="center" vertical="center"/>
    </xf>
    <xf numFmtId="0" fontId="66" fillId="12" borderId="147" xfId="23" applyFont="1" applyFill="1" applyBorder="1" applyAlignment="1">
      <alignment horizontal="center" vertical="center"/>
    </xf>
    <xf numFmtId="0" fontId="66" fillId="12" borderId="171" xfId="23" applyFont="1" applyFill="1" applyBorder="1" applyAlignment="1">
      <alignment horizontal="center" vertical="center"/>
    </xf>
    <xf numFmtId="0" fontId="64" fillId="9" borderId="0" xfId="0" applyFont="1" applyFill="1" applyAlignment="1">
      <alignment horizontal="left"/>
    </xf>
    <xf numFmtId="0" fontId="64" fillId="9" borderId="0" xfId="0" applyFont="1" applyFill="1" applyAlignment="1">
      <alignment horizontal="left" wrapText="1"/>
    </xf>
    <xf numFmtId="0" fontId="64" fillId="9" borderId="0" xfId="0" applyFont="1" applyFill="1" applyAlignment="1">
      <alignment horizontal="left" vertical="top"/>
    </xf>
    <xf numFmtId="37" fontId="0" fillId="0" borderId="0" xfId="24" applyFont="1" applyBorder="1" applyAlignment="1">
      <alignment horizontal="center"/>
    </xf>
    <xf numFmtId="37" fontId="18" fillId="0" borderId="0" xfId="24" applyFont="1" applyBorder="1" applyAlignment="1">
      <alignment horizontal="center"/>
    </xf>
    <xf numFmtId="37" fontId="10" fillId="0" borderId="0" xfId="24" applyFont="1" applyAlignment="1">
      <alignment horizontal="center"/>
    </xf>
    <xf numFmtId="37" fontId="16" fillId="0" borderId="0" xfId="24" applyFont="1" applyBorder="1" applyAlignment="1">
      <alignment horizontal="center"/>
    </xf>
    <xf numFmtId="37" fontId="17" fillId="0" borderId="0" xfId="24" applyFont="1" applyBorder="1" applyAlignment="1">
      <alignment horizontal="center"/>
    </xf>
    <xf numFmtId="0" fontId="64" fillId="9" borderId="0" xfId="0" applyFont="1" applyFill="1" applyAlignment="1">
      <alignment horizontal="left" vertical="center" wrapText="1"/>
    </xf>
    <xf numFmtId="0" fontId="65" fillId="9" borderId="0" xfId="20" applyFont="1" applyFill="1" applyBorder="1" applyAlignment="1">
      <alignment horizontal="center"/>
    </xf>
    <xf numFmtId="0" fontId="64" fillId="9" borderId="0" xfId="20" applyFont="1" applyFill="1" applyBorder="1" applyAlignment="1">
      <alignment horizontal="center"/>
    </xf>
    <xf numFmtId="3" fontId="64" fillId="9" borderId="0" xfId="20" applyNumberFormat="1" applyFont="1" applyFill="1" applyAlignment="1">
      <alignment horizontal="center"/>
    </xf>
    <xf numFmtId="3" fontId="66" fillId="11" borderId="165" xfId="20" applyNumberFormat="1" applyFont="1" applyFill="1" applyBorder="1" applyAlignment="1">
      <alignment horizontal="center"/>
    </xf>
    <xf numFmtId="3" fontId="66" fillId="11" borderId="94" xfId="20" applyNumberFormat="1" applyFont="1" applyFill="1" applyBorder="1" applyAlignment="1">
      <alignment horizontal="center"/>
    </xf>
    <xf numFmtId="0" fontId="66" fillId="11" borderId="173" xfId="20" applyFont="1" applyFill="1" applyBorder="1" applyAlignment="1">
      <alignment horizontal="center" vertical="center"/>
    </xf>
    <xf numFmtId="0" fontId="66" fillId="11" borderId="129" xfId="20" applyFont="1" applyFill="1" applyBorder="1" applyAlignment="1">
      <alignment horizontal="center" vertical="center"/>
    </xf>
    <xf numFmtId="0" fontId="66" fillId="11" borderId="181" xfId="20" applyFont="1" applyFill="1" applyBorder="1" applyAlignment="1">
      <alignment horizontal="center" vertical="center"/>
    </xf>
    <xf numFmtId="0" fontId="66" fillId="11" borderId="121" xfId="20" applyFont="1" applyFill="1" applyBorder="1" applyAlignment="1">
      <alignment horizontal="center" vertical="center" wrapText="1"/>
    </xf>
    <xf numFmtId="0" fontId="66" fillId="11" borderId="80" xfId="20" applyFont="1" applyFill="1" applyBorder="1" applyAlignment="1">
      <alignment horizontal="center" vertical="center" wrapText="1"/>
    </xf>
    <xf numFmtId="0" fontId="66" fillId="11" borderId="115" xfId="20" applyFont="1" applyFill="1" applyBorder="1" applyAlignment="1">
      <alignment horizontal="center" vertical="center" wrapText="1"/>
    </xf>
    <xf numFmtId="0" fontId="66" fillId="11" borderId="80" xfId="20" applyFont="1" applyFill="1" applyBorder="1" applyAlignment="1">
      <alignment horizontal="center" vertical="center"/>
    </xf>
    <xf numFmtId="0" fontId="66" fillId="11" borderId="115" xfId="20" applyFont="1" applyFill="1" applyBorder="1" applyAlignment="1">
      <alignment horizontal="center" vertical="center"/>
    </xf>
    <xf numFmtId="0" fontId="64" fillId="9" borderId="0" xfId="0" applyFont="1" applyFill="1" applyAlignment="1">
      <alignment horizontal="left" vertical="center"/>
    </xf>
    <xf numFmtId="0" fontId="66" fillId="12" borderId="165" xfId="0" applyFont="1" applyFill="1" applyBorder="1" applyAlignment="1">
      <alignment horizontal="center"/>
    </xf>
    <xf numFmtId="0" fontId="66" fillId="12" borderId="25" xfId="0" applyFont="1" applyFill="1" applyBorder="1" applyAlignment="1">
      <alignment horizontal="center"/>
    </xf>
    <xf numFmtId="0" fontId="66" fillId="12" borderId="80" xfId="0" applyFont="1" applyFill="1" applyBorder="1" applyAlignment="1">
      <alignment horizontal="center"/>
    </xf>
    <xf numFmtId="0" fontId="66" fillId="0" borderId="0" xfId="18" applyFont="1" applyBorder="1" applyAlignment="1">
      <alignment horizontal="center"/>
    </xf>
    <xf numFmtId="0" fontId="65" fillId="0" borderId="0" xfId="18" applyFont="1" applyAlignment="1">
      <alignment horizontal="center"/>
    </xf>
    <xf numFmtId="0" fontId="64" fillId="0" borderId="0" xfId="0" applyFont="1" applyAlignment="1">
      <alignment horizontal="left" vertical="center" wrapText="1"/>
    </xf>
    <xf numFmtId="0" fontId="66" fillId="12" borderId="28" xfId="18" applyFont="1" applyFill="1" applyBorder="1" applyAlignment="1">
      <alignment horizontal="center"/>
    </xf>
    <xf numFmtId="0" fontId="66" fillId="12" borderId="30" xfId="18" applyFont="1" applyFill="1" applyBorder="1" applyAlignment="1">
      <alignment horizontal="center"/>
    </xf>
    <xf numFmtId="0" fontId="66" fillId="12" borderId="50" xfId="18" applyFont="1" applyFill="1" applyBorder="1" applyAlignment="1">
      <alignment horizontal="center"/>
    </xf>
    <xf numFmtId="0" fontId="66" fillId="12" borderId="61" xfId="18" applyFont="1" applyFill="1" applyBorder="1" applyAlignment="1">
      <alignment horizontal="center"/>
    </xf>
    <xf numFmtId="0" fontId="66" fillId="12" borderId="107" xfId="18" applyFont="1" applyFill="1" applyBorder="1" applyAlignment="1">
      <alignment horizontal="center"/>
    </xf>
    <xf numFmtId="0" fontId="66" fillId="12" borderId="144" xfId="18" applyFont="1" applyFill="1" applyBorder="1" applyAlignment="1">
      <alignment horizontal="center" vertical="center" wrapText="1"/>
    </xf>
    <xf numFmtId="0" fontId="66" fillId="12" borderId="145" xfId="18" applyFont="1" applyFill="1" applyBorder="1" applyAlignment="1">
      <alignment horizontal="center" vertical="center" wrapText="1"/>
    </xf>
    <xf numFmtId="0" fontId="66" fillId="12" borderId="146" xfId="18" applyFont="1" applyFill="1" applyBorder="1" applyAlignment="1">
      <alignment horizontal="center" vertical="center" wrapText="1"/>
    </xf>
    <xf numFmtId="0" fontId="66" fillId="12" borderId="144" xfId="18" applyFont="1" applyFill="1" applyBorder="1" applyAlignment="1">
      <alignment horizontal="center" vertical="center"/>
    </xf>
    <xf numFmtId="0" fontId="66" fillId="12" borderId="145" xfId="18" applyFont="1" applyFill="1" applyBorder="1" applyAlignment="1">
      <alignment horizontal="center" vertical="center"/>
    </xf>
    <xf numFmtId="0" fontId="66" fillId="12" borderId="146" xfId="18" applyFont="1" applyFill="1" applyBorder="1" applyAlignment="1">
      <alignment horizontal="center" vertical="center"/>
    </xf>
    <xf numFmtId="0" fontId="66" fillId="12" borderId="107" xfId="18" applyFont="1" applyFill="1" applyBorder="1" applyAlignment="1">
      <alignment horizontal="center" vertical="center"/>
    </xf>
    <xf numFmtId="0" fontId="66" fillId="12" borderId="108" xfId="18" applyFont="1" applyFill="1" applyBorder="1" applyAlignment="1">
      <alignment horizontal="center" vertical="center"/>
    </xf>
    <xf numFmtId="0" fontId="66" fillId="12" borderId="109" xfId="18" applyFont="1" applyFill="1" applyBorder="1" applyAlignment="1">
      <alignment horizontal="center" vertical="center"/>
    </xf>
    <xf numFmtId="0" fontId="65" fillId="0" borderId="0" xfId="19" applyFont="1" applyFill="1" applyAlignment="1">
      <alignment horizontal="center"/>
    </xf>
    <xf numFmtId="0" fontId="66" fillId="0" borderId="0" xfId="19" applyFont="1" applyFill="1" applyBorder="1" applyAlignment="1">
      <alignment horizontal="center"/>
    </xf>
    <xf numFmtId="0" fontId="66" fillId="12" borderId="103" xfId="19" applyFont="1" applyFill="1" applyBorder="1" applyAlignment="1">
      <alignment horizontal="center" vertical="center" wrapText="1"/>
    </xf>
    <xf numFmtId="0" fontId="66" fillId="12" borderId="110" xfId="19" applyFont="1" applyFill="1" applyBorder="1" applyAlignment="1">
      <alignment horizontal="center" vertical="center" wrapText="1"/>
    </xf>
    <xf numFmtId="0" fontId="66" fillId="12" borderId="130" xfId="19" applyFont="1" applyFill="1" applyBorder="1" applyAlignment="1">
      <alignment horizontal="center" vertical="center" wrapText="1"/>
    </xf>
    <xf numFmtId="0" fontId="66" fillId="12" borderId="182" xfId="19" applyFont="1" applyFill="1" applyBorder="1" applyAlignment="1">
      <alignment horizontal="center" vertical="center" wrapText="1"/>
    </xf>
    <xf numFmtId="0" fontId="66" fillId="12" borderId="131" xfId="19" applyFont="1" applyFill="1" applyBorder="1" applyAlignment="1">
      <alignment horizontal="center" vertical="center" wrapText="1"/>
    </xf>
    <xf numFmtId="0" fontId="66" fillId="12" borderId="183" xfId="19" applyFont="1" applyFill="1" applyBorder="1" applyAlignment="1">
      <alignment horizontal="center" vertical="center" wrapText="1"/>
    </xf>
    <xf numFmtId="0" fontId="66" fillId="12" borderId="28" xfId="0" applyFont="1" applyFill="1" applyBorder="1" applyAlignment="1">
      <alignment horizontal="center" vertical="center"/>
    </xf>
    <xf numFmtId="0" fontId="66" fillId="12" borderId="30" xfId="0" applyFont="1" applyFill="1" applyBorder="1" applyAlignment="1">
      <alignment horizontal="center" vertical="center"/>
    </xf>
    <xf numFmtId="0" fontId="66" fillId="12" borderId="148" xfId="0" applyFont="1" applyFill="1" applyBorder="1" applyAlignment="1">
      <alignment horizontal="center" vertical="center"/>
    </xf>
    <xf numFmtId="0" fontId="66" fillId="12" borderId="124" xfId="0" applyFont="1" applyFill="1" applyBorder="1" applyAlignment="1">
      <alignment horizontal="center"/>
    </xf>
    <xf numFmtId="0" fontId="66" fillId="12" borderId="121" xfId="0" applyFont="1" applyFill="1" applyBorder="1" applyAlignment="1">
      <alignment horizontal="center"/>
    </xf>
    <xf numFmtId="0" fontId="66" fillId="12" borderId="142" xfId="0" applyFont="1" applyFill="1" applyBorder="1" applyAlignment="1">
      <alignment horizontal="center"/>
    </xf>
    <xf numFmtId="0" fontId="64" fillId="9" borderId="111" xfId="0" applyFont="1" applyFill="1" applyBorder="1" applyAlignment="1">
      <alignment horizontal="center"/>
    </xf>
    <xf numFmtId="0" fontId="64" fillId="9" borderId="92" xfId="0" applyFont="1" applyFill="1" applyBorder="1" applyAlignment="1">
      <alignment horizontal="center"/>
    </xf>
    <xf numFmtId="0" fontId="64" fillId="9" borderId="136" xfId="0" applyFont="1" applyFill="1" applyBorder="1" applyAlignment="1">
      <alignment horizontal="center"/>
    </xf>
    <xf numFmtId="0" fontId="66" fillId="0" borderId="0" xfId="0" applyFont="1" applyBorder="1" applyAlignment="1">
      <alignment horizontal="center" vertical="center"/>
    </xf>
    <xf numFmtId="0" fontId="66" fillId="12" borderId="178" xfId="0" applyFont="1" applyFill="1" applyBorder="1" applyAlignment="1">
      <alignment horizontal="center" vertical="center"/>
    </xf>
    <xf numFmtId="0" fontId="66" fillId="12" borderId="154" xfId="0" applyFont="1" applyFill="1" applyBorder="1" applyAlignment="1">
      <alignment horizontal="center" vertical="center"/>
    </xf>
    <xf numFmtId="0" fontId="66" fillId="12" borderId="144" xfId="0" applyFont="1" applyFill="1" applyBorder="1" applyAlignment="1">
      <alignment horizontal="center" vertical="center" wrapText="1"/>
    </xf>
    <xf numFmtId="0" fontId="66" fillId="12" borderId="146" xfId="0" applyFont="1" applyFill="1" applyBorder="1" applyAlignment="1">
      <alignment horizontal="center" vertical="center" wrapText="1"/>
    </xf>
    <xf numFmtId="0" fontId="65" fillId="9" borderId="0" xfId="0" applyFont="1" applyFill="1" applyBorder="1" applyAlignment="1">
      <alignment horizontal="center" vertical="center"/>
    </xf>
    <xf numFmtId="0" fontId="66" fillId="9" borderId="0" xfId="0" applyFont="1" applyFill="1" applyBorder="1" applyAlignment="1">
      <alignment horizontal="center" vertical="center"/>
    </xf>
    <xf numFmtId="0" fontId="64" fillId="9" borderId="0" xfId="0" applyFont="1" applyFill="1" applyBorder="1" applyAlignment="1">
      <alignment horizontal="center" vertical="center"/>
    </xf>
    <xf numFmtId="0" fontId="66" fillId="12" borderId="103" xfId="0" applyFont="1" applyFill="1" applyBorder="1" applyAlignment="1">
      <alignment horizontal="center" vertical="center"/>
    </xf>
    <xf numFmtId="0" fontId="66" fillId="12" borderId="110" xfId="0" applyFont="1" applyFill="1" applyBorder="1" applyAlignment="1">
      <alignment horizontal="center" vertical="center"/>
    </xf>
    <xf numFmtId="0" fontId="66" fillId="12" borderId="104" xfId="0" applyFont="1" applyFill="1" applyBorder="1" applyAlignment="1">
      <alignment horizontal="center" vertical="center"/>
    </xf>
    <xf numFmtId="0" fontId="66" fillId="12" borderId="99" xfId="0" applyFont="1" applyFill="1" applyBorder="1" applyAlignment="1">
      <alignment horizontal="center"/>
    </xf>
    <xf numFmtId="0" fontId="66" fillId="12" borderId="106" xfId="0" applyFont="1" applyFill="1" applyBorder="1" applyAlignment="1">
      <alignment horizontal="center"/>
    </xf>
    <xf numFmtId="0" fontId="66" fillId="12" borderId="61" xfId="0" applyFont="1" applyFill="1" applyBorder="1" applyAlignment="1">
      <alignment horizontal="center"/>
    </xf>
    <xf numFmtId="0" fontId="66" fillId="12" borderId="177" xfId="0" applyFont="1" applyFill="1" applyBorder="1" applyAlignment="1">
      <alignment horizontal="center" vertical="center" wrapText="1"/>
    </xf>
    <xf numFmtId="0" fontId="66" fillId="12" borderId="113" xfId="0" applyFont="1" applyFill="1" applyBorder="1" applyAlignment="1">
      <alignment horizontal="center" vertical="center" wrapText="1"/>
    </xf>
    <xf numFmtId="0" fontId="66" fillId="12" borderId="178" xfId="0" applyFont="1" applyFill="1" applyBorder="1" applyAlignment="1">
      <alignment horizontal="center" vertical="center" wrapText="1"/>
    </xf>
    <xf numFmtId="0" fontId="66" fillId="12" borderId="154" xfId="0" applyFont="1" applyFill="1" applyBorder="1" applyAlignment="1">
      <alignment horizontal="center" vertical="center" wrapText="1"/>
    </xf>
    <xf numFmtId="0" fontId="64" fillId="0" borderId="0" xfId="0" applyFont="1" applyAlignment="1">
      <alignment horizontal="left" vertical="center"/>
    </xf>
    <xf numFmtId="0" fontId="66" fillId="12" borderId="172" xfId="0" applyFont="1" applyFill="1" applyBorder="1" applyAlignment="1">
      <alignment horizontal="center" vertical="center"/>
    </xf>
    <xf numFmtId="0" fontId="66" fillId="12" borderId="114" xfId="0" applyFont="1" applyFill="1" applyBorder="1" applyAlignment="1">
      <alignment horizontal="center" vertical="center"/>
    </xf>
    <xf numFmtId="0" fontId="66" fillId="12" borderId="172" xfId="0" applyFont="1" applyFill="1" applyBorder="1" applyAlignment="1">
      <alignment horizontal="center" vertical="center" wrapText="1"/>
    </xf>
    <xf numFmtId="0" fontId="66" fillId="12" borderId="114" xfId="0" applyFont="1" applyFill="1" applyBorder="1" applyAlignment="1">
      <alignment horizontal="center" vertical="center" wrapText="1"/>
    </xf>
    <xf numFmtId="0" fontId="66" fillId="12" borderId="28" xfId="0" applyFont="1" applyFill="1" applyBorder="1" applyAlignment="1">
      <alignment horizontal="center"/>
    </xf>
    <xf numFmtId="0" fontId="66" fillId="12" borderId="30" xfId="0" applyFont="1" applyFill="1" applyBorder="1" applyAlignment="1">
      <alignment horizontal="center"/>
    </xf>
    <xf numFmtId="0" fontId="66" fillId="12" borderId="50" xfId="0" applyFont="1" applyFill="1" applyBorder="1" applyAlignment="1">
      <alignment horizontal="center"/>
    </xf>
    <xf numFmtId="0" fontId="66" fillId="12" borderId="121" xfId="0" applyFont="1" applyFill="1" applyBorder="1" applyAlignment="1">
      <alignment horizontal="center" wrapText="1"/>
    </xf>
    <xf numFmtId="0" fontId="66" fillId="12" borderId="142" xfId="0" applyFont="1" applyFill="1" applyBorder="1" applyAlignment="1">
      <alignment horizontal="center" wrapText="1"/>
    </xf>
    <xf numFmtId="0" fontId="66" fillId="12" borderId="173" xfId="0" applyFont="1" applyFill="1" applyBorder="1" applyAlignment="1">
      <alignment horizontal="center"/>
    </xf>
    <xf numFmtId="0" fontId="66" fillId="12" borderId="174" xfId="0" applyFont="1" applyFill="1" applyBorder="1" applyAlignment="1">
      <alignment horizontal="center"/>
    </xf>
    <xf numFmtId="0" fontId="66" fillId="12" borderId="180" xfId="0" applyFont="1" applyFill="1" applyBorder="1" applyAlignment="1">
      <alignment horizontal="center"/>
    </xf>
    <xf numFmtId="0" fontId="64" fillId="9" borderId="83" xfId="0" applyFont="1" applyFill="1" applyBorder="1" applyAlignment="1">
      <alignment horizontal="center"/>
    </xf>
    <xf numFmtId="0" fontId="64" fillId="9" borderId="80" xfId="0" applyFont="1" applyFill="1" applyBorder="1" applyAlignment="1">
      <alignment horizontal="center" vertical="center" wrapText="1"/>
    </xf>
    <xf numFmtId="0" fontId="64" fillId="9" borderId="80" xfId="0" applyFont="1" applyFill="1" applyBorder="1" applyAlignment="1">
      <alignment horizontal="center"/>
    </xf>
    <xf numFmtId="0" fontId="66" fillId="12" borderId="181" xfId="0" applyFont="1" applyFill="1" applyBorder="1" applyAlignment="1">
      <alignment horizontal="center"/>
    </xf>
    <xf numFmtId="0" fontId="66" fillId="12" borderId="94" xfId="0" applyFont="1" applyFill="1" applyBorder="1" applyAlignment="1">
      <alignment horizontal="center"/>
    </xf>
    <xf numFmtId="0" fontId="20" fillId="0" borderId="0" xfId="0" applyFont="1" applyFill="1" applyBorder="1" applyAlignment="1">
      <alignment horizontal="center"/>
    </xf>
    <xf numFmtId="0" fontId="19" fillId="0" borderId="3" xfId="0" applyFont="1" applyFill="1" applyBorder="1" applyAlignment="1">
      <alignment horizontal="center"/>
    </xf>
    <xf numFmtId="0" fontId="19" fillId="0" borderId="14" xfId="0" applyFont="1" applyFill="1" applyBorder="1" applyAlignment="1">
      <alignment horizontal="center"/>
    </xf>
    <xf numFmtId="0" fontId="19" fillId="0" borderId="0" xfId="0" applyFont="1" applyFill="1" applyBorder="1" applyAlignment="1">
      <alignment horizontal="center"/>
    </xf>
    <xf numFmtId="0" fontId="23" fillId="0" borderId="15" xfId="0" applyFont="1" applyFill="1" applyBorder="1" applyAlignment="1">
      <alignment horizontal="center"/>
    </xf>
    <xf numFmtId="3" fontId="19" fillId="0" borderId="13"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45" fillId="10" borderId="91" xfId="0" applyNumberFormat="1" applyFont="1" applyFill="1" applyBorder="1" applyAlignment="1">
      <alignment horizontal="center" vertical="center" wrapText="1"/>
    </xf>
    <xf numFmtId="3" fontId="45" fillId="10" borderId="0" xfId="0" applyNumberFormat="1" applyFont="1" applyFill="1" applyBorder="1" applyAlignment="1">
      <alignment horizontal="center" vertical="center" wrapText="1"/>
    </xf>
    <xf numFmtId="3" fontId="45" fillId="10" borderId="79" xfId="0" applyNumberFormat="1" applyFont="1" applyFill="1" applyBorder="1" applyAlignment="1">
      <alignment horizontal="center" vertical="center" wrapText="1"/>
    </xf>
    <xf numFmtId="3" fontId="45" fillId="10" borderId="93" xfId="0" applyNumberFormat="1" applyFont="1" applyFill="1" applyBorder="1" applyAlignment="1">
      <alignment horizontal="center" vertical="center" wrapText="1"/>
    </xf>
    <xf numFmtId="3" fontId="45" fillId="10" borderId="24" xfId="0" applyNumberFormat="1" applyFont="1" applyFill="1" applyBorder="1" applyAlignment="1">
      <alignment horizontal="center" vertical="center" wrapText="1"/>
    </xf>
    <xf numFmtId="3" fontId="45" fillId="10" borderId="25" xfId="0" applyNumberFormat="1" applyFont="1" applyFill="1" applyBorder="1" applyAlignment="1">
      <alignment horizontal="center" vertical="center" wrapText="1"/>
    </xf>
    <xf numFmtId="3" fontId="45" fillId="10" borderId="83" xfId="0" applyNumberFormat="1" applyFont="1" applyFill="1" applyBorder="1" applyAlignment="1">
      <alignment horizontal="center" vertical="center" wrapText="1"/>
    </xf>
    <xf numFmtId="3" fontId="45" fillId="10" borderId="85"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5" fillId="10" borderId="21" xfId="0" applyFont="1" applyFill="1" applyBorder="1" applyAlignment="1">
      <alignment horizontal="center" vertical="center"/>
    </xf>
    <xf numFmtId="0" fontId="45" fillId="10" borderId="87" xfId="0" applyFont="1" applyFill="1" applyBorder="1" applyAlignment="1">
      <alignment horizontal="center" vertical="center"/>
    </xf>
    <xf numFmtId="0" fontId="45" fillId="10" borderId="22" xfId="0" applyFont="1" applyFill="1" applyBorder="1" applyAlignment="1">
      <alignment horizontal="center" vertical="center"/>
    </xf>
    <xf numFmtId="3" fontId="45" fillId="10" borderId="23" xfId="0" applyNumberFormat="1" applyFont="1" applyFill="1" applyBorder="1" applyAlignment="1">
      <alignment horizontal="center" vertical="center" wrapText="1"/>
    </xf>
    <xf numFmtId="3" fontId="45" fillId="10" borderId="88" xfId="0" applyNumberFormat="1" applyFont="1" applyFill="1" applyBorder="1" applyAlignment="1">
      <alignment horizontal="center" vertical="center" wrapText="1"/>
    </xf>
    <xf numFmtId="3" fontId="45" fillId="10" borderId="10" xfId="0" applyNumberFormat="1" applyFont="1" applyFill="1" applyBorder="1" applyAlignment="1">
      <alignment horizontal="center" vertical="center" wrapText="1"/>
    </xf>
    <xf numFmtId="3" fontId="45" fillId="10" borderId="81" xfId="0" applyNumberFormat="1" applyFont="1" applyFill="1" applyBorder="1" applyAlignment="1">
      <alignment horizontal="center" vertical="center" wrapText="1"/>
    </xf>
    <xf numFmtId="3" fontId="45" fillId="10" borderId="78" xfId="0" applyNumberFormat="1" applyFont="1" applyFill="1" applyBorder="1" applyAlignment="1">
      <alignment horizontal="center" vertical="center" wrapText="1"/>
    </xf>
  </cellXfs>
  <cellStyles count="206">
    <cellStyle name="20% - Énfasis1" xfId="93" builtinId="30" customBuiltin="1"/>
    <cellStyle name="20% - Énfasis1 2" xfId="177"/>
    <cellStyle name="20% - Énfasis2" xfId="97" builtinId="34" customBuiltin="1"/>
    <cellStyle name="20% - Énfasis2 2" xfId="179"/>
    <cellStyle name="20% - Énfasis3" xfId="101" builtinId="38" customBuiltin="1"/>
    <cellStyle name="20% - Énfasis3 2" xfId="181"/>
    <cellStyle name="20% - Énfasis4" xfId="105" builtinId="42" customBuiltin="1"/>
    <cellStyle name="20% - Énfasis4 2" xfId="183"/>
    <cellStyle name="20% - Énfasis5" xfId="109" builtinId="46" customBuiltin="1"/>
    <cellStyle name="20% - Énfasis5 2" xfId="185"/>
    <cellStyle name="20% - Énfasis6" xfId="113" builtinId="50" customBuiltin="1"/>
    <cellStyle name="20% - Énfasis6 2" xfId="187"/>
    <cellStyle name="40% - Énfasis1" xfId="94" builtinId="31" customBuiltin="1"/>
    <cellStyle name="40% - Énfasis1 2" xfId="178"/>
    <cellStyle name="40% - Énfasis2" xfId="98" builtinId="35" customBuiltin="1"/>
    <cellStyle name="40% - Énfasis2 2" xfId="180"/>
    <cellStyle name="40% - Énfasis3" xfId="102" builtinId="39" customBuiltin="1"/>
    <cellStyle name="40% - Énfasis3 2" xfId="182"/>
    <cellStyle name="40% - Énfasis4" xfId="106" builtinId="43" customBuiltin="1"/>
    <cellStyle name="40% - Énfasis4 2" xfId="184"/>
    <cellStyle name="40% - Énfasis5" xfId="110" builtinId="47" customBuiltin="1"/>
    <cellStyle name="40% - Énfasis5 2" xfId="186"/>
    <cellStyle name="40% - Énfasis6" xfId="114" builtinId="51" customBuiltin="1"/>
    <cellStyle name="40% - Énfasis6 2" xfId="188"/>
    <cellStyle name="60% - Énfasis1" xfId="95" builtinId="32" customBuiltin="1"/>
    <cellStyle name="60% - Énfasis2" xfId="99" builtinId="36" customBuiltin="1"/>
    <cellStyle name="60% - Énfasis3" xfId="103" builtinId="40" customBuiltin="1"/>
    <cellStyle name="60% - Énfasis4" xfId="107" builtinId="44" customBuiltin="1"/>
    <cellStyle name="60% - Énfasis5" xfId="111" builtinId="48" customBuiltin="1"/>
    <cellStyle name="60% - Énfasis6" xfId="115" builtinId="52" customBuiltin="1"/>
    <cellStyle name="Buena" xfId="81" builtinId="26" customBuiltin="1"/>
    <cellStyle name="Cálculo" xfId="86" builtinId="22" customBuiltin="1"/>
    <cellStyle name="Celda de comprobación" xfId="88" builtinId="23" customBuiltin="1"/>
    <cellStyle name="Celda vinculada" xfId="87" builtinId="24" customBuiltin="1"/>
    <cellStyle name="Dia" xfId="1"/>
    <cellStyle name="Encabez1" xfId="2"/>
    <cellStyle name="Encabez2" xfId="3"/>
    <cellStyle name="Encabezado 1" xfId="77" builtinId="16" customBuiltin="1"/>
    <cellStyle name="Encabezado 4" xfId="80" builtinId="19" customBuiltin="1"/>
    <cellStyle name="Énfasis1" xfId="92" builtinId="29" customBuiltin="1"/>
    <cellStyle name="Énfasis2" xfId="96" builtinId="33" customBuiltin="1"/>
    <cellStyle name="Énfasis3" xfId="100" builtinId="37" customBuiltin="1"/>
    <cellStyle name="Énfasis4" xfId="104" builtinId="41" customBuiltin="1"/>
    <cellStyle name="Énfasis5" xfId="108" builtinId="45" customBuiltin="1"/>
    <cellStyle name="Énfasis6" xfId="112" builtinId="49" customBuiltin="1"/>
    <cellStyle name="Entrada" xfId="84" builtinId="20" customBuiltin="1"/>
    <cellStyle name="Fijo" xfId="4"/>
    <cellStyle name="Financiero" xfId="5"/>
    <cellStyle name="Incorrecto" xfId="82" builtinId="27" customBuiltin="1"/>
    <cellStyle name="Millares" xfId="6" builtinId="3"/>
    <cellStyle name="Millares [0]" xfId="7" builtinId="6"/>
    <cellStyle name="Millares [0] 2" xfId="75"/>
    <cellStyle name="Millares [0] 2 2" xfId="176"/>
    <cellStyle name="Millares [0] 2 3" xfId="198"/>
    <cellStyle name="Millares [0] 3" xfId="117"/>
    <cellStyle name="Millares [0] 3 2" xfId="190"/>
    <cellStyle name="Millares [0] 4" xfId="120"/>
    <cellStyle name="Millares [0] 5" xfId="192"/>
    <cellStyle name="Millares [0] 6" xfId="196"/>
    <cellStyle name="Millares 17" xfId="197"/>
    <cellStyle name="Millares 17 2 2" xfId="202"/>
    <cellStyle name="Millares 18" xfId="201"/>
    <cellStyle name="Millares 2" xfId="8"/>
    <cellStyle name="Millares 3" xfId="9"/>
    <cellStyle name="Millares 3 2" xfId="121"/>
    <cellStyle name="Millares 4" xfId="119"/>
    <cellStyle name="Millares 5" xfId="126"/>
    <cellStyle name="Millares 5 2" xfId="205"/>
    <cellStyle name="Millares 8" xfId="204"/>
    <cellStyle name="Millares_Flujo de Efectivo Set´05" xfId="10"/>
    <cellStyle name="Monetario" xfId="11"/>
    <cellStyle name="Neutral" xfId="83" builtinId="28" customBuiltin="1"/>
    <cellStyle name="Normal" xfId="0" builtinId="0"/>
    <cellStyle name="Normal 10" xfId="33"/>
    <cellStyle name="Normal 10 2" xfId="134"/>
    <cellStyle name="Normal 10 3" xfId="199"/>
    <cellStyle name="Normal 102" xfId="194"/>
    <cellStyle name="Normal 102 2" xfId="200"/>
    <cellStyle name="Normal 11" xfId="34"/>
    <cellStyle name="Normal 11 2" xfId="135"/>
    <cellStyle name="Normal 12" xfId="35"/>
    <cellStyle name="Normal 12 2" xfId="136"/>
    <cellStyle name="Normal 13" xfId="36"/>
    <cellStyle name="Normal 13 2" xfId="137"/>
    <cellStyle name="Normal 13 3" xfId="203"/>
    <cellStyle name="Normal 14" xfId="38"/>
    <cellStyle name="Normal 14 2" xfId="139"/>
    <cellStyle name="Normal 15" xfId="37"/>
    <cellStyle name="Normal 15 2" xfId="138"/>
    <cellStyle name="Normal 16" xfId="41"/>
    <cellStyle name="Normal 16 2" xfId="142"/>
    <cellStyle name="Normal 17" xfId="43"/>
    <cellStyle name="Normal 17 2" xfId="144"/>
    <cellStyle name="Normal 18" xfId="45"/>
    <cellStyle name="Normal 18 2" xfId="146"/>
    <cellStyle name="Normal 19" xfId="48"/>
    <cellStyle name="Normal 19 2" xfId="149"/>
    <cellStyle name="Normal 2" xfId="12"/>
    <cellStyle name="Normal 2 12" xfId="13"/>
    <cellStyle name="Normal 2 12 2" xfId="122"/>
    <cellStyle name="Normal 2 2" xfId="14"/>
    <cellStyle name="Normal 20" xfId="51"/>
    <cellStyle name="Normal 20 2" xfId="152"/>
    <cellStyle name="Normal 21" xfId="53"/>
    <cellStyle name="Normal 21 2" xfId="154"/>
    <cellStyle name="Normal 22" xfId="57"/>
    <cellStyle name="Normal 22 2" xfId="158"/>
    <cellStyle name="Normal 23" xfId="58"/>
    <cellStyle name="Normal 23 2" xfId="159"/>
    <cellStyle name="Normal 24" xfId="62"/>
    <cellStyle name="Normal 24 2" xfId="163"/>
    <cellStyle name="Normal 25" xfId="39"/>
    <cellStyle name="Normal 25 2" xfId="140"/>
    <cellStyle name="Normal 26" xfId="40"/>
    <cellStyle name="Normal 26 2" xfId="141"/>
    <cellStyle name="Normal 27" xfId="42"/>
    <cellStyle name="Normal 27 2" xfId="143"/>
    <cellStyle name="Normal 28" xfId="44"/>
    <cellStyle name="Normal 28 2" xfId="145"/>
    <cellStyle name="Normal 29" xfId="46"/>
    <cellStyle name="Normal 29 2" xfId="147"/>
    <cellStyle name="Normal 3" xfId="15"/>
    <cellStyle name="Normal 3 2" xfId="123"/>
    <cellStyle name="Normal 30" xfId="47"/>
    <cellStyle name="Normal 30 2" xfId="148"/>
    <cellStyle name="Normal 31" xfId="49"/>
    <cellStyle name="Normal 31 2" xfId="150"/>
    <cellStyle name="Normal 32" xfId="63"/>
    <cellStyle name="Normal 32 2" xfId="164"/>
    <cellStyle name="Normal 33" xfId="50"/>
    <cellStyle name="Normal 33 2" xfId="151"/>
    <cellStyle name="Normal 34" xfId="52"/>
    <cellStyle name="Normal 34 2" xfId="153"/>
    <cellStyle name="Normal 35" xfId="54"/>
    <cellStyle name="Normal 35 2" xfId="155"/>
    <cellStyle name="Normal 36" xfId="64"/>
    <cellStyle name="Normal 36 2" xfId="165"/>
    <cellStyle name="Normal 37" xfId="65"/>
    <cellStyle name="Normal 37 2" xfId="166"/>
    <cellStyle name="Normal 38" xfId="55"/>
    <cellStyle name="Normal 38 2" xfId="156"/>
    <cellStyle name="Normal 39" xfId="56"/>
    <cellStyle name="Normal 39 2" xfId="157"/>
    <cellStyle name="Normal 4" xfId="16"/>
    <cellStyle name="Normal 4 2" xfId="17"/>
    <cellStyle name="Normal 4 2 2" xfId="125"/>
    <cellStyle name="Normal 4 3" xfId="124"/>
    <cellStyle name="Normal 40" xfId="66"/>
    <cellStyle name="Normal 40 2" xfId="167"/>
    <cellStyle name="Normal 41" xfId="67"/>
    <cellStyle name="Normal 41 2" xfId="168"/>
    <cellStyle name="Normal 42" xfId="59"/>
    <cellStyle name="Normal 42 2" xfId="160"/>
    <cellStyle name="Normal 43" xfId="60"/>
    <cellStyle name="Normal 43 2" xfId="161"/>
    <cellStyle name="Normal 44" xfId="61"/>
    <cellStyle name="Normal 44 2" xfId="162"/>
    <cellStyle name="Normal 45" xfId="68"/>
    <cellStyle name="Normal 45 2" xfId="169"/>
    <cellStyle name="Normal 46" xfId="69"/>
    <cellStyle name="Normal 46 2" xfId="170"/>
    <cellStyle name="Normal 47" xfId="70"/>
    <cellStyle name="Normal 47 2" xfId="171"/>
    <cellStyle name="Normal 48" xfId="71"/>
    <cellStyle name="Normal 48 2" xfId="172"/>
    <cellStyle name="Normal 49" xfId="72"/>
    <cellStyle name="Normal 49 2" xfId="173"/>
    <cellStyle name="Normal 5" xfId="28"/>
    <cellStyle name="Normal 5 2" xfId="129"/>
    <cellStyle name="Normal 50" xfId="73"/>
    <cellStyle name="Normal 50 2" xfId="174"/>
    <cellStyle name="Normal 51" xfId="74"/>
    <cellStyle name="Normal 51 2" xfId="175"/>
    <cellStyle name="Normal 52" xfId="116"/>
    <cellStyle name="Normal 52 2" xfId="189"/>
    <cellStyle name="Normal 53" xfId="193"/>
    <cellStyle name="Normal 6" xfId="30"/>
    <cellStyle name="Normal 6 2" xfId="131"/>
    <cellStyle name="Normal 7" xfId="31"/>
    <cellStyle name="Normal 7 2" xfId="132"/>
    <cellStyle name="Normal 8" xfId="29"/>
    <cellStyle name="Normal 8 2" xfId="130"/>
    <cellStyle name="Normal 9" xfId="32"/>
    <cellStyle name="Normal 9 2" xfId="133"/>
    <cellStyle name="Normal_ANEXOC" xfId="18"/>
    <cellStyle name="Normal_ANEXOD" xfId="19"/>
    <cellStyle name="Normal_ANEXOG" xfId="20"/>
    <cellStyle name="Normal_Balance a Dic´05" xfId="21"/>
    <cellStyle name="Normal_Estado de Resultado a Dic´05" xfId="22"/>
    <cellStyle name="Normal_Evolucion del Patrimonio" xfId="23"/>
    <cellStyle name="Normal_Flujo de Efectivo Set´05" xfId="24"/>
    <cellStyle name="Notas 2" xfId="118"/>
    <cellStyle name="Notas 2 2" xfId="191"/>
    <cellStyle name="Porcentaje" xfId="25" builtinId="5"/>
    <cellStyle name="Porcentaje 2" xfId="195"/>
    <cellStyle name="Porcentual 2" xfId="26"/>
    <cellStyle name="Porcentual 2 2" xfId="127"/>
    <cellStyle name="Porcentual 3" xfId="27"/>
    <cellStyle name="Porcentual 3 2" xfId="128"/>
    <cellStyle name="Salida" xfId="85" builtinId="21" customBuiltin="1"/>
    <cellStyle name="Texto de advertencia" xfId="89" builtinId="11" customBuiltin="1"/>
    <cellStyle name="Texto explicativo" xfId="90" builtinId="53" customBuiltin="1"/>
    <cellStyle name="Título" xfId="76" builtinId="15" customBuiltin="1"/>
    <cellStyle name="Título 2" xfId="78" builtinId="17" customBuiltin="1"/>
    <cellStyle name="Título 3" xfId="79" builtinId="18" customBuiltin="1"/>
    <cellStyle name="Total" xfId="91" builtinId="25" customBuiltin="1"/>
  </cellStyles>
  <dxfs count="0"/>
  <tableStyles count="0" defaultTableStyle="TableStyleMedium9" defaultPivotStyle="PivotStyleLight16"/>
  <colors>
    <mruColors>
      <color rgb="FF00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0</xdr:row>
      <xdr:rowOff>0</xdr:rowOff>
    </xdr:from>
    <xdr:to>
      <xdr:col>3</xdr:col>
      <xdr:colOff>103964</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500063" y="0"/>
          <a:ext cx="6485714" cy="1012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1333500</xdr:colOff>
      <xdr:row>0</xdr:row>
      <xdr:rowOff>95250</xdr:rowOff>
    </xdr:from>
    <xdr:to>
      <xdr:col>8</xdr:col>
      <xdr:colOff>63500</xdr:colOff>
      <xdr:row>5</xdr:row>
      <xdr:rowOff>168388</xdr:rowOff>
    </xdr:to>
    <xdr:pic>
      <xdr:nvPicPr>
        <xdr:cNvPr id="3" name="Imagen 2"/>
        <xdr:cNvPicPr>
          <a:picLocks noChangeAspect="1"/>
        </xdr:cNvPicPr>
      </xdr:nvPicPr>
      <xdr:blipFill>
        <a:blip xmlns:r="http://schemas.openxmlformats.org/officeDocument/2006/relationships" r:embed="rId1"/>
        <a:stretch>
          <a:fillRect/>
        </a:stretch>
      </xdr:blipFill>
      <xdr:spPr>
        <a:xfrm>
          <a:off x="5699125" y="95250"/>
          <a:ext cx="6588125" cy="10120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33617</xdr:colOff>
      <xdr:row>0</xdr:row>
      <xdr:rowOff>56030</xdr:rowOff>
    </xdr:from>
    <xdr:to>
      <xdr:col>9</xdr:col>
      <xdr:colOff>423331</xdr:colOff>
      <xdr:row>5</xdr:row>
      <xdr:rowOff>115561</xdr:rowOff>
    </xdr:to>
    <xdr:pic>
      <xdr:nvPicPr>
        <xdr:cNvPr id="4" name="Imagen 3"/>
        <xdr:cNvPicPr>
          <a:picLocks noChangeAspect="1"/>
        </xdr:cNvPicPr>
      </xdr:nvPicPr>
      <xdr:blipFill>
        <a:blip xmlns:r="http://schemas.openxmlformats.org/officeDocument/2006/relationships" r:embed="rId1"/>
        <a:stretch>
          <a:fillRect/>
        </a:stretch>
      </xdr:blipFill>
      <xdr:spPr>
        <a:xfrm>
          <a:off x="123264" y="56030"/>
          <a:ext cx="6485714" cy="10120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4</xdr:row>
      <xdr:rowOff>161925</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4552950"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4095750</xdr:colOff>
      <xdr:row>0</xdr:row>
      <xdr:rowOff>176893</xdr:rowOff>
    </xdr:from>
    <xdr:to>
      <xdr:col>6</xdr:col>
      <xdr:colOff>40821</xdr:colOff>
      <xdr:row>6</xdr:row>
      <xdr:rowOff>45924</xdr:rowOff>
    </xdr:to>
    <xdr:pic>
      <xdr:nvPicPr>
        <xdr:cNvPr id="2" name="Imagen 1"/>
        <xdr:cNvPicPr>
          <a:picLocks noChangeAspect="1"/>
        </xdr:cNvPicPr>
      </xdr:nvPicPr>
      <xdr:blipFill>
        <a:blip xmlns:r="http://schemas.openxmlformats.org/officeDocument/2006/relationships" r:embed="rId1"/>
        <a:stretch>
          <a:fillRect/>
        </a:stretch>
      </xdr:blipFill>
      <xdr:spPr>
        <a:xfrm>
          <a:off x="4371975" y="176893"/>
          <a:ext cx="5755821" cy="10120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1924050</xdr:colOff>
      <xdr:row>0</xdr:row>
      <xdr:rowOff>104776</xdr:rowOff>
    </xdr:from>
    <xdr:to>
      <xdr:col>4</xdr:col>
      <xdr:colOff>771227</xdr:colOff>
      <xdr:row>3</xdr:row>
      <xdr:rowOff>161926</xdr:rowOff>
    </xdr:to>
    <xdr:pic>
      <xdr:nvPicPr>
        <xdr:cNvPr id="3" name="Imagen 2"/>
        <xdr:cNvPicPr>
          <a:picLocks noChangeAspect="1"/>
        </xdr:cNvPicPr>
      </xdr:nvPicPr>
      <xdr:blipFill>
        <a:blip xmlns:r="http://schemas.openxmlformats.org/officeDocument/2006/relationships" r:embed="rId1"/>
        <a:stretch>
          <a:fillRect/>
        </a:stretch>
      </xdr:blipFill>
      <xdr:spPr>
        <a:xfrm>
          <a:off x="2686050" y="104776"/>
          <a:ext cx="4028777" cy="628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1866900</xdr:colOff>
      <xdr:row>0</xdr:row>
      <xdr:rowOff>76200</xdr:rowOff>
    </xdr:from>
    <xdr:to>
      <xdr:col>3</xdr:col>
      <xdr:colOff>1066800</xdr:colOff>
      <xdr:row>5</xdr:row>
      <xdr:rowOff>131335</xdr:rowOff>
    </xdr:to>
    <xdr:pic>
      <xdr:nvPicPr>
        <xdr:cNvPr id="2" name="Imagen 1"/>
        <xdr:cNvPicPr>
          <a:picLocks noChangeAspect="1"/>
        </xdr:cNvPicPr>
      </xdr:nvPicPr>
      <xdr:blipFill>
        <a:blip xmlns:r="http://schemas.openxmlformats.org/officeDocument/2006/relationships" r:embed="rId1"/>
        <a:stretch>
          <a:fillRect/>
        </a:stretch>
      </xdr:blipFill>
      <xdr:spPr>
        <a:xfrm>
          <a:off x="2628900" y="76200"/>
          <a:ext cx="3286125" cy="10076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4048125</xdr:colOff>
      <xdr:row>0</xdr:row>
      <xdr:rowOff>59532</xdr:rowOff>
    </xdr:from>
    <xdr:to>
      <xdr:col>6</xdr:col>
      <xdr:colOff>20621</xdr:colOff>
      <xdr:row>5</xdr:row>
      <xdr:rowOff>119063</xdr:rowOff>
    </xdr:to>
    <xdr:pic>
      <xdr:nvPicPr>
        <xdr:cNvPr id="4" name="Imagen 3"/>
        <xdr:cNvPicPr>
          <a:picLocks noChangeAspect="1"/>
        </xdr:cNvPicPr>
      </xdr:nvPicPr>
      <xdr:blipFill>
        <a:blip xmlns:r="http://schemas.openxmlformats.org/officeDocument/2006/relationships" r:embed="rId1"/>
        <a:stretch>
          <a:fillRect/>
        </a:stretch>
      </xdr:blipFill>
      <xdr:spPr>
        <a:xfrm>
          <a:off x="4476750" y="59532"/>
          <a:ext cx="5676090" cy="10120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1790700</xdr:colOff>
      <xdr:row>0</xdr:row>
      <xdr:rowOff>101600</xdr:rowOff>
    </xdr:from>
    <xdr:to>
      <xdr:col>5</xdr:col>
      <xdr:colOff>1524000</xdr:colOff>
      <xdr:row>5</xdr:row>
      <xdr:rowOff>161131</xdr:rowOff>
    </xdr:to>
    <xdr:pic>
      <xdr:nvPicPr>
        <xdr:cNvPr id="4" name="Imagen 3"/>
        <xdr:cNvPicPr>
          <a:picLocks noChangeAspect="1"/>
        </xdr:cNvPicPr>
      </xdr:nvPicPr>
      <xdr:blipFill>
        <a:blip xmlns:r="http://schemas.openxmlformats.org/officeDocument/2006/relationships" r:embed="rId1"/>
        <a:stretch>
          <a:fillRect/>
        </a:stretch>
      </xdr:blipFill>
      <xdr:spPr>
        <a:xfrm>
          <a:off x="2679700" y="101600"/>
          <a:ext cx="6146800" cy="101203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219075</xdr:colOff>
      <xdr:row>0</xdr:row>
      <xdr:rowOff>66676</xdr:rowOff>
    </xdr:from>
    <xdr:to>
      <xdr:col>3</xdr:col>
      <xdr:colOff>933449</xdr:colOff>
      <xdr:row>4</xdr:row>
      <xdr:rowOff>183252</xdr:rowOff>
    </xdr:to>
    <xdr:pic>
      <xdr:nvPicPr>
        <xdr:cNvPr id="3" name="Imagen 2"/>
        <xdr:cNvPicPr>
          <a:picLocks noChangeAspect="1"/>
        </xdr:cNvPicPr>
      </xdr:nvPicPr>
      <xdr:blipFill>
        <a:blip xmlns:r="http://schemas.openxmlformats.org/officeDocument/2006/relationships" r:embed="rId1"/>
        <a:stretch>
          <a:fillRect/>
        </a:stretch>
      </xdr:blipFill>
      <xdr:spPr>
        <a:xfrm>
          <a:off x="981075" y="66676"/>
          <a:ext cx="3581399" cy="878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1041400</xdr:colOff>
      <xdr:row>0</xdr:row>
      <xdr:rowOff>76200</xdr:rowOff>
    </xdr:from>
    <xdr:to>
      <xdr:col>9</xdr:col>
      <xdr:colOff>50800</xdr:colOff>
      <xdr:row>5</xdr:row>
      <xdr:rowOff>135731</xdr:rowOff>
    </xdr:to>
    <xdr:pic>
      <xdr:nvPicPr>
        <xdr:cNvPr id="3" name="Imagen 2"/>
        <xdr:cNvPicPr>
          <a:picLocks noChangeAspect="1"/>
        </xdr:cNvPicPr>
      </xdr:nvPicPr>
      <xdr:blipFill>
        <a:blip xmlns:r="http://schemas.openxmlformats.org/officeDocument/2006/relationships" r:embed="rId1"/>
        <a:stretch>
          <a:fillRect/>
        </a:stretch>
      </xdr:blipFill>
      <xdr:spPr>
        <a:xfrm>
          <a:off x="3708400" y="76200"/>
          <a:ext cx="6273800" cy="1012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11906</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5869781" cy="101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790575</xdr:colOff>
      <xdr:row>0</xdr:row>
      <xdr:rowOff>57150</xdr:rowOff>
    </xdr:from>
    <xdr:to>
      <xdr:col>5</xdr:col>
      <xdr:colOff>238125</xdr:colOff>
      <xdr:row>4</xdr:row>
      <xdr:rowOff>85725</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0"/>
          <a:ext cx="3848100" cy="7905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363876</xdr:colOff>
      <xdr:row>0</xdr:row>
      <xdr:rowOff>107022</xdr:rowOff>
    </xdr:from>
    <xdr:to>
      <xdr:col>5</xdr:col>
      <xdr:colOff>620730</xdr:colOff>
      <xdr:row>4</xdr:row>
      <xdr:rowOff>171235</xdr:rowOff>
    </xdr:to>
    <xdr:pic>
      <xdr:nvPicPr>
        <xdr:cNvPr id="3" name="Imagen 2"/>
        <xdr:cNvPicPr>
          <a:picLocks noChangeAspect="1"/>
        </xdr:cNvPicPr>
      </xdr:nvPicPr>
      <xdr:blipFill>
        <a:blip xmlns:r="http://schemas.openxmlformats.org/officeDocument/2006/relationships" r:embed="rId1"/>
        <a:stretch>
          <a:fillRect/>
        </a:stretch>
      </xdr:blipFill>
      <xdr:spPr>
        <a:xfrm>
          <a:off x="1123736" y="107022"/>
          <a:ext cx="4676882" cy="8347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2</xdr:col>
      <xdr:colOff>257175</xdr:colOff>
      <xdr:row>3</xdr:row>
      <xdr:rowOff>187303</xdr:rowOff>
    </xdr:to>
    <xdr:pic>
      <xdr:nvPicPr>
        <xdr:cNvPr id="3" name="Imagen 2"/>
        <xdr:cNvPicPr>
          <a:picLocks noChangeAspect="1"/>
        </xdr:cNvPicPr>
      </xdr:nvPicPr>
      <xdr:blipFill>
        <a:blip xmlns:r="http://schemas.openxmlformats.org/officeDocument/2006/relationships" r:embed="rId1"/>
        <a:stretch>
          <a:fillRect/>
        </a:stretch>
      </xdr:blipFill>
      <xdr:spPr>
        <a:xfrm>
          <a:off x="228600" y="152400"/>
          <a:ext cx="3886200" cy="60640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466725</xdr:colOff>
      <xdr:row>0</xdr:row>
      <xdr:rowOff>66675</xdr:rowOff>
    </xdr:from>
    <xdr:to>
      <xdr:col>5</xdr:col>
      <xdr:colOff>7073</xdr:colOff>
      <xdr:row>3</xdr:row>
      <xdr:rowOff>95250</xdr:rowOff>
    </xdr:to>
    <xdr:pic>
      <xdr:nvPicPr>
        <xdr:cNvPr id="3" name="Imagen 2"/>
        <xdr:cNvPicPr>
          <a:picLocks noChangeAspect="1"/>
        </xdr:cNvPicPr>
      </xdr:nvPicPr>
      <xdr:blipFill>
        <a:blip xmlns:r="http://schemas.openxmlformats.org/officeDocument/2006/relationships" r:embed="rId1"/>
        <a:stretch>
          <a:fillRect/>
        </a:stretch>
      </xdr:blipFill>
      <xdr:spPr>
        <a:xfrm>
          <a:off x="466725" y="66675"/>
          <a:ext cx="3845648" cy="6000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742949</xdr:colOff>
      <xdr:row>0</xdr:row>
      <xdr:rowOff>123825</xdr:rowOff>
    </xdr:from>
    <xdr:to>
      <xdr:col>5</xdr:col>
      <xdr:colOff>9524</xdr:colOff>
      <xdr:row>4</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742949" y="123825"/>
          <a:ext cx="4714875" cy="6381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428625</xdr:colOff>
      <xdr:row>0</xdr:row>
      <xdr:rowOff>76201</xdr:rowOff>
    </xdr:from>
    <xdr:to>
      <xdr:col>3</xdr:col>
      <xdr:colOff>482913</xdr:colOff>
      <xdr:row>3</xdr:row>
      <xdr:rowOff>57151</xdr:rowOff>
    </xdr:to>
    <xdr:pic>
      <xdr:nvPicPr>
        <xdr:cNvPr id="4" name="Imagen 3"/>
        <xdr:cNvPicPr>
          <a:picLocks noChangeAspect="1"/>
        </xdr:cNvPicPr>
      </xdr:nvPicPr>
      <xdr:blipFill>
        <a:blip xmlns:r="http://schemas.openxmlformats.org/officeDocument/2006/relationships" r:embed="rId1"/>
        <a:stretch>
          <a:fillRect/>
        </a:stretch>
      </xdr:blipFill>
      <xdr:spPr>
        <a:xfrm>
          <a:off x="1190625" y="76201"/>
          <a:ext cx="3540438"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514350</xdr:colOff>
      <xdr:row>0</xdr:row>
      <xdr:rowOff>66675</xdr:rowOff>
    </xdr:from>
    <xdr:to>
      <xdr:col>3</xdr:col>
      <xdr:colOff>352425</xdr:colOff>
      <xdr:row>2</xdr:row>
      <xdr:rowOff>185066</xdr:rowOff>
    </xdr:to>
    <xdr:pic>
      <xdr:nvPicPr>
        <xdr:cNvPr id="3" name="Imagen 2"/>
        <xdr:cNvPicPr>
          <a:picLocks noChangeAspect="1"/>
        </xdr:cNvPicPr>
      </xdr:nvPicPr>
      <xdr:blipFill>
        <a:blip xmlns:r="http://schemas.openxmlformats.org/officeDocument/2006/relationships" r:embed="rId1"/>
        <a:stretch>
          <a:fillRect/>
        </a:stretch>
      </xdr:blipFill>
      <xdr:spPr>
        <a:xfrm>
          <a:off x="1276350" y="66675"/>
          <a:ext cx="3600450" cy="4993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2419350</xdr:colOff>
      <xdr:row>0</xdr:row>
      <xdr:rowOff>66676</xdr:rowOff>
    </xdr:from>
    <xdr:to>
      <xdr:col>5</xdr:col>
      <xdr:colOff>209550</xdr:colOff>
      <xdr:row>3</xdr:row>
      <xdr:rowOff>88202</xdr:rowOff>
    </xdr:to>
    <xdr:pic>
      <xdr:nvPicPr>
        <xdr:cNvPr id="3" name="Imagen 2"/>
        <xdr:cNvPicPr>
          <a:picLocks noChangeAspect="1"/>
        </xdr:cNvPicPr>
      </xdr:nvPicPr>
      <xdr:blipFill>
        <a:blip xmlns:r="http://schemas.openxmlformats.org/officeDocument/2006/relationships" r:embed="rId1"/>
        <a:stretch>
          <a:fillRect/>
        </a:stretch>
      </xdr:blipFill>
      <xdr:spPr>
        <a:xfrm>
          <a:off x="3181350" y="66676"/>
          <a:ext cx="4400550" cy="5930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495300</xdr:colOff>
      <xdr:row>0</xdr:row>
      <xdr:rowOff>114301</xdr:rowOff>
    </xdr:from>
    <xdr:to>
      <xdr:col>5</xdr:col>
      <xdr:colOff>142875</xdr:colOff>
      <xdr:row>3</xdr:row>
      <xdr:rowOff>113533</xdr:rowOff>
    </xdr:to>
    <xdr:pic>
      <xdr:nvPicPr>
        <xdr:cNvPr id="3" name="Imagen 2"/>
        <xdr:cNvPicPr>
          <a:picLocks noChangeAspect="1"/>
        </xdr:cNvPicPr>
      </xdr:nvPicPr>
      <xdr:blipFill>
        <a:blip xmlns:r="http://schemas.openxmlformats.org/officeDocument/2006/relationships" r:embed="rId1"/>
        <a:stretch>
          <a:fillRect/>
        </a:stretch>
      </xdr:blipFill>
      <xdr:spPr>
        <a:xfrm>
          <a:off x="1257300" y="114301"/>
          <a:ext cx="3657600" cy="57073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190500</xdr:colOff>
      <xdr:row>0</xdr:row>
      <xdr:rowOff>66675</xdr:rowOff>
    </xdr:from>
    <xdr:to>
      <xdr:col>3</xdr:col>
      <xdr:colOff>956091</xdr:colOff>
      <xdr:row>3</xdr:row>
      <xdr:rowOff>133350</xdr:rowOff>
    </xdr:to>
    <xdr:pic>
      <xdr:nvPicPr>
        <xdr:cNvPr id="3" name="Imagen 2"/>
        <xdr:cNvPicPr>
          <a:picLocks noChangeAspect="1"/>
        </xdr:cNvPicPr>
      </xdr:nvPicPr>
      <xdr:blipFill>
        <a:blip xmlns:r="http://schemas.openxmlformats.org/officeDocument/2006/relationships" r:embed="rId1"/>
        <a:stretch>
          <a:fillRect/>
        </a:stretch>
      </xdr:blipFill>
      <xdr:spPr>
        <a:xfrm>
          <a:off x="952500" y="66675"/>
          <a:ext cx="4089816"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739588</xdr:colOff>
      <xdr:row>0</xdr:row>
      <xdr:rowOff>0</xdr:rowOff>
    </xdr:from>
    <xdr:to>
      <xdr:col>3</xdr:col>
      <xdr:colOff>33618</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739588" y="0"/>
          <a:ext cx="4896971" cy="101203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2066925</xdr:colOff>
      <xdr:row>0</xdr:row>
      <xdr:rowOff>47625</xdr:rowOff>
    </xdr:from>
    <xdr:to>
      <xdr:col>4</xdr:col>
      <xdr:colOff>361950</xdr:colOff>
      <xdr:row>3</xdr:row>
      <xdr:rowOff>84014</xdr:rowOff>
    </xdr:to>
    <xdr:pic>
      <xdr:nvPicPr>
        <xdr:cNvPr id="3" name="Imagen 2"/>
        <xdr:cNvPicPr>
          <a:picLocks noChangeAspect="1"/>
        </xdr:cNvPicPr>
      </xdr:nvPicPr>
      <xdr:blipFill>
        <a:blip xmlns:r="http://schemas.openxmlformats.org/officeDocument/2006/relationships" r:embed="rId1"/>
        <a:stretch>
          <a:fillRect/>
        </a:stretch>
      </xdr:blipFill>
      <xdr:spPr>
        <a:xfrm>
          <a:off x="2828925" y="47625"/>
          <a:ext cx="3895725" cy="60788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866775</xdr:colOff>
      <xdr:row>0</xdr:row>
      <xdr:rowOff>152401</xdr:rowOff>
    </xdr:from>
    <xdr:to>
      <xdr:col>3</xdr:col>
      <xdr:colOff>504825</xdr:colOff>
      <xdr:row>3</xdr:row>
      <xdr:rowOff>87723</xdr:rowOff>
    </xdr:to>
    <xdr:pic>
      <xdr:nvPicPr>
        <xdr:cNvPr id="3" name="Imagen 2"/>
        <xdr:cNvPicPr>
          <a:picLocks noChangeAspect="1"/>
        </xdr:cNvPicPr>
      </xdr:nvPicPr>
      <xdr:blipFill>
        <a:blip xmlns:r="http://schemas.openxmlformats.org/officeDocument/2006/relationships" r:embed="rId1"/>
        <a:stretch>
          <a:fillRect/>
        </a:stretch>
      </xdr:blipFill>
      <xdr:spPr>
        <a:xfrm>
          <a:off x="1628775" y="152401"/>
          <a:ext cx="3248025" cy="50682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1152525</xdr:colOff>
      <xdr:row>0</xdr:row>
      <xdr:rowOff>104776</xdr:rowOff>
    </xdr:from>
    <xdr:to>
      <xdr:col>5</xdr:col>
      <xdr:colOff>100172</xdr:colOff>
      <xdr:row>3</xdr:row>
      <xdr:rowOff>104776</xdr:rowOff>
    </xdr:to>
    <xdr:pic>
      <xdr:nvPicPr>
        <xdr:cNvPr id="3" name="Imagen 2"/>
        <xdr:cNvPicPr>
          <a:picLocks noChangeAspect="1"/>
        </xdr:cNvPicPr>
      </xdr:nvPicPr>
      <xdr:blipFill>
        <a:blip xmlns:r="http://schemas.openxmlformats.org/officeDocument/2006/relationships" r:embed="rId1"/>
        <a:stretch>
          <a:fillRect/>
        </a:stretch>
      </xdr:blipFill>
      <xdr:spPr>
        <a:xfrm>
          <a:off x="1914525" y="104776"/>
          <a:ext cx="3662522"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790575</xdr:colOff>
      <xdr:row>0</xdr:row>
      <xdr:rowOff>57151</xdr:rowOff>
    </xdr:from>
    <xdr:to>
      <xdr:col>5</xdr:col>
      <xdr:colOff>493258</xdr:colOff>
      <xdr:row>3</xdr:row>
      <xdr:rowOff>133351</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1"/>
          <a:ext cx="4150858" cy="6477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838200</xdr:colOff>
      <xdr:row>0</xdr:row>
      <xdr:rowOff>85726</xdr:rowOff>
    </xdr:from>
    <xdr:to>
      <xdr:col>3</xdr:col>
      <xdr:colOff>295275</xdr:colOff>
      <xdr:row>4</xdr:row>
      <xdr:rowOff>20792</xdr:rowOff>
    </xdr:to>
    <xdr:pic>
      <xdr:nvPicPr>
        <xdr:cNvPr id="3" name="Imagen 2"/>
        <xdr:cNvPicPr>
          <a:picLocks noChangeAspect="1"/>
        </xdr:cNvPicPr>
      </xdr:nvPicPr>
      <xdr:blipFill>
        <a:blip xmlns:r="http://schemas.openxmlformats.org/officeDocument/2006/relationships" r:embed="rId1"/>
        <a:stretch>
          <a:fillRect/>
        </a:stretch>
      </xdr:blipFill>
      <xdr:spPr>
        <a:xfrm>
          <a:off x="1600200" y="85726"/>
          <a:ext cx="4467225" cy="69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1047750</xdr:colOff>
      <xdr:row>0</xdr:row>
      <xdr:rowOff>95251</xdr:rowOff>
    </xdr:from>
    <xdr:to>
      <xdr:col>3</xdr:col>
      <xdr:colOff>342900</xdr:colOff>
      <xdr:row>4</xdr:row>
      <xdr:rowOff>20192</xdr:rowOff>
    </xdr:to>
    <xdr:pic>
      <xdr:nvPicPr>
        <xdr:cNvPr id="3" name="Imagen 2"/>
        <xdr:cNvPicPr>
          <a:picLocks noChangeAspect="1"/>
        </xdr:cNvPicPr>
      </xdr:nvPicPr>
      <xdr:blipFill>
        <a:blip xmlns:r="http://schemas.openxmlformats.org/officeDocument/2006/relationships" r:embed="rId1"/>
        <a:stretch>
          <a:fillRect/>
        </a:stretch>
      </xdr:blipFill>
      <xdr:spPr>
        <a:xfrm>
          <a:off x="1809750" y="95251"/>
          <a:ext cx="4343400" cy="6777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409575</xdr:colOff>
      <xdr:row>0</xdr:row>
      <xdr:rowOff>66676</xdr:rowOff>
    </xdr:from>
    <xdr:to>
      <xdr:col>3</xdr:col>
      <xdr:colOff>923925</xdr:colOff>
      <xdr:row>3</xdr:row>
      <xdr:rowOff>106038</xdr:rowOff>
    </xdr:to>
    <xdr:pic>
      <xdr:nvPicPr>
        <xdr:cNvPr id="3" name="Imagen 2"/>
        <xdr:cNvPicPr>
          <a:picLocks noChangeAspect="1"/>
        </xdr:cNvPicPr>
      </xdr:nvPicPr>
      <xdr:blipFill>
        <a:blip xmlns:r="http://schemas.openxmlformats.org/officeDocument/2006/relationships" r:embed="rId1"/>
        <a:stretch>
          <a:fillRect/>
        </a:stretch>
      </xdr:blipFill>
      <xdr:spPr>
        <a:xfrm>
          <a:off x="1171575" y="66676"/>
          <a:ext cx="3914775" cy="6108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3</xdr:col>
      <xdr:colOff>904875</xdr:colOff>
      <xdr:row>2</xdr:row>
      <xdr:rowOff>114300</xdr:rowOff>
    </xdr:to>
    <xdr:pic>
      <xdr:nvPicPr>
        <xdr:cNvPr id="3" name="Imagen 2"/>
        <xdr:cNvPicPr>
          <a:picLocks noChangeAspect="1"/>
        </xdr:cNvPicPr>
      </xdr:nvPicPr>
      <xdr:blipFill>
        <a:blip xmlns:r="http://schemas.openxmlformats.org/officeDocument/2006/relationships" r:embed="rId1"/>
        <a:stretch>
          <a:fillRect/>
        </a:stretch>
      </xdr:blipFill>
      <xdr:spPr>
        <a:xfrm>
          <a:off x="1114425" y="66675"/>
          <a:ext cx="3771900"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542925</xdr:colOff>
      <xdr:row>0</xdr:row>
      <xdr:rowOff>114300</xdr:rowOff>
    </xdr:from>
    <xdr:to>
      <xdr:col>3</xdr:col>
      <xdr:colOff>695325</xdr:colOff>
      <xdr:row>2</xdr:row>
      <xdr:rowOff>128651</xdr:rowOff>
    </xdr:to>
    <xdr:pic>
      <xdr:nvPicPr>
        <xdr:cNvPr id="3" name="Imagen 2"/>
        <xdr:cNvPicPr>
          <a:picLocks noChangeAspect="1"/>
        </xdr:cNvPicPr>
      </xdr:nvPicPr>
      <xdr:blipFill>
        <a:blip xmlns:r="http://schemas.openxmlformats.org/officeDocument/2006/relationships" r:embed="rId1"/>
        <a:stretch>
          <a:fillRect/>
        </a:stretch>
      </xdr:blipFill>
      <xdr:spPr>
        <a:xfrm>
          <a:off x="1304925" y="114300"/>
          <a:ext cx="3028950" cy="3953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533400</xdr:colOff>
      <xdr:row>0</xdr:row>
      <xdr:rowOff>88901</xdr:rowOff>
    </xdr:from>
    <xdr:to>
      <xdr:col>7</xdr:col>
      <xdr:colOff>250014</xdr:colOff>
      <xdr:row>4</xdr:row>
      <xdr:rowOff>187326</xdr:rowOff>
    </xdr:to>
    <xdr:pic>
      <xdr:nvPicPr>
        <xdr:cNvPr id="4" name="Imagen 3"/>
        <xdr:cNvPicPr>
          <a:picLocks noChangeAspect="1"/>
        </xdr:cNvPicPr>
      </xdr:nvPicPr>
      <xdr:blipFill>
        <a:blip xmlns:r="http://schemas.openxmlformats.org/officeDocument/2006/relationships" r:embed="rId1"/>
        <a:stretch>
          <a:fillRect/>
        </a:stretch>
      </xdr:blipFill>
      <xdr:spPr>
        <a:xfrm>
          <a:off x="1295400" y="88901"/>
          <a:ext cx="6485714"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9</xdr:col>
      <xdr:colOff>241300</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330200" y="0"/>
          <a:ext cx="7874000" cy="101203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47625</xdr:colOff>
      <xdr:row>0</xdr:row>
      <xdr:rowOff>130968</xdr:rowOff>
    </xdr:from>
    <xdr:to>
      <xdr:col>3</xdr:col>
      <xdr:colOff>871537</xdr:colOff>
      <xdr:row>4</xdr:row>
      <xdr:rowOff>153379</xdr:rowOff>
    </xdr:to>
    <xdr:pic>
      <xdr:nvPicPr>
        <xdr:cNvPr id="4" name="Imagen 3"/>
        <xdr:cNvPicPr>
          <a:picLocks noChangeAspect="1"/>
        </xdr:cNvPicPr>
      </xdr:nvPicPr>
      <xdr:blipFill>
        <a:blip xmlns:r="http://schemas.openxmlformats.org/officeDocument/2006/relationships" r:embed="rId1"/>
        <a:stretch>
          <a:fillRect/>
        </a:stretch>
      </xdr:blipFill>
      <xdr:spPr>
        <a:xfrm>
          <a:off x="809625" y="130968"/>
          <a:ext cx="5334000" cy="833437"/>
        </a:xfrm>
        <a:prstGeom prst="rect">
          <a:avLst/>
        </a:prstGeom>
      </xdr:spPr>
    </xdr:pic>
    <xdr:clientData/>
  </xdr:twoCellAnchor>
  <xdr:twoCellAnchor editAs="oneCell">
    <xdr:from>
      <xdr:col>1</xdr:col>
      <xdr:colOff>47625</xdr:colOff>
      <xdr:row>0</xdr:row>
      <xdr:rowOff>130968</xdr:rowOff>
    </xdr:from>
    <xdr:to>
      <xdr:col>3</xdr:col>
      <xdr:colOff>871537</xdr:colOff>
      <xdr:row>4</xdr:row>
      <xdr:rowOff>153379</xdr:rowOff>
    </xdr:to>
    <xdr:pic>
      <xdr:nvPicPr>
        <xdr:cNvPr id="3" name="Imagen 2"/>
        <xdr:cNvPicPr>
          <a:picLocks noChangeAspect="1"/>
        </xdr:cNvPicPr>
      </xdr:nvPicPr>
      <xdr:blipFill>
        <a:blip xmlns:r="http://schemas.openxmlformats.org/officeDocument/2006/relationships" r:embed="rId1"/>
        <a:stretch>
          <a:fillRect/>
        </a:stretch>
      </xdr:blipFill>
      <xdr:spPr>
        <a:xfrm>
          <a:off x="809625" y="130968"/>
          <a:ext cx="5329237" cy="784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750094</xdr:colOff>
      <xdr:row>0</xdr:row>
      <xdr:rowOff>11906</xdr:rowOff>
    </xdr:from>
    <xdr:to>
      <xdr:col>7</xdr:col>
      <xdr:colOff>0</xdr:colOff>
      <xdr:row>5</xdr:row>
      <xdr:rowOff>71437</xdr:rowOff>
    </xdr:to>
    <xdr:pic>
      <xdr:nvPicPr>
        <xdr:cNvPr id="4" name="Imagen 3"/>
        <xdr:cNvPicPr>
          <a:picLocks noChangeAspect="1"/>
        </xdr:cNvPicPr>
      </xdr:nvPicPr>
      <xdr:blipFill>
        <a:blip xmlns:r="http://schemas.openxmlformats.org/officeDocument/2006/relationships" r:embed="rId1"/>
        <a:stretch>
          <a:fillRect/>
        </a:stretch>
      </xdr:blipFill>
      <xdr:spPr>
        <a:xfrm>
          <a:off x="750094" y="11906"/>
          <a:ext cx="4583906" cy="10120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5</xdr:col>
      <xdr:colOff>742950</xdr:colOff>
      <xdr:row>3</xdr:row>
      <xdr:rowOff>161925</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38100"/>
          <a:ext cx="3781425"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3864429</xdr:colOff>
      <xdr:row>0</xdr:row>
      <xdr:rowOff>108857</xdr:rowOff>
    </xdr:from>
    <xdr:to>
      <xdr:col>6</xdr:col>
      <xdr:colOff>27214</xdr:colOff>
      <xdr:row>5</xdr:row>
      <xdr:rowOff>168388</xdr:rowOff>
    </xdr:to>
    <xdr:pic>
      <xdr:nvPicPr>
        <xdr:cNvPr id="4" name="Imagen 3"/>
        <xdr:cNvPicPr>
          <a:picLocks noChangeAspect="1"/>
        </xdr:cNvPicPr>
      </xdr:nvPicPr>
      <xdr:blipFill>
        <a:blip xmlns:r="http://schemas.openxmlformats.org/officeDocument/2006/relationships" r:embed="rId1"/>
        <a:stretch>
          <a:fillRect/>
        </a:stretch>
      </xdr:blipFill>
      <xdr:spPr>
        <a:xfrm>
          <a:off x="4014108" y="108857"/>
          <a:ext cx="7334249" cy="1012031"/>
        </a:xfrm>
        <a:prstGeom prst="rect">
          <a:avLst/>
        </a:prstGeom>
      </xdr:spPr>
    </xdr:pic>
    <xdr:clientData/>
  </xdr:twoCellAnchor>
  <xdr:twoCellAnchor editAs="oneCell">
    <xdr:from>
      <xdr:col>1</xdr:col>
      <xdr:colOff>3864429</xdr:colOff>
      <xdr:row>0</xdr:row>
      <xdr:rowOff>108857</xdr:rowOff>
    </xdr:from>
    <xdr:to>
      <xdr:col>6</xdr:col>
      <xdr:colOff>27214</xdr:colOff>
      <xdr:row>5</xdr:row>
      <xdr:rowOff>168388</xdr:rowOff>
    </xdr:to>
    <xdr:pic>
      <xdr:nvPicPr>
        <xdr:cNvPr id="3" name="Imagen 2"/>
        <xdr:cNvPicPr>
          <a:picLocks noChangeAspect="1"/>
        </xdr:cNvPicPr>
      </xdr:nvPicPr>
      <xdr:blipFill>
        <a:blip xmlns:r="http://schemas.openxmlformats.org/officeDocument/2006/relationships" r:embed="rId1"/>
        <a:stretch>
          <a:fillRect/>
        </a:stretch>
      </xdr:blipFill>
      <xdr:spPr>
        <a:xfrm>
          <a:off x="4016829" y="108857"/>
          <a:ext cx="7326085" cy="1012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1762124</xdr:colOff>
      <xdr:row>0</xdr:row>
      <xdr:rowOff>35719</xdr:rowOff>
    </xdr:from>
    <xdr:to>
      <xdr:col>3</xdr:col>
      <xdr:colOff>328613</xdr:colOff>
      <xdr:row>5</xdr:row>
      <xdr:rowOff>90487</xdr:rowOff>
    </xdr:to>
    <xdr:pic>
      <xdr:nvPicPr>
        <xdr:cNvPr id="6" name="Imagen 5"/>
        <xdr:cNvPicPr>
          <a:picLocks noChangeAspect="1"/>
        </xdr:cNvPicPr>
      </xdr:nvPicPr>
      <xdr:blipFill>
        <a:blip xmlns:r="http://schemas.openxmlformats.org/officeDocument/2006/relationships" r:embed="rId1"/>
        <a:stretch>
          <a:fillRect/>
        </a:stretch>
      </xdr:blipFill>
      <xdr:spPr>
        <a:xfrm>
          <a:off x="2071687" y="35719"/>
          <a:ext cx="5869782" cy="1012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369095</xdr:colOff>
      <xdr:row>0</xdr:row>
      <xdr:rowOff>23812</xdr:rowOff>
    </xdr:from>
    <xdr:to>
      <xdr:col>5</xdr:col>
      <xdr:colOff>1571625</xdr:colOff>
      <xdr:row>5</xdr:row>
      <xdr:rowOff>83343</xdr:rowOff>
    </xdr:to>
    <xdr:pic>
      <xdr:nvPicPr>
        <xdr:cNvPr id="3" name="Imagen 2"/>
        <xdr:cNvPicPr>
          <a:picLocks noChangeAspect="1"/>
        </xdr:cNvPicPr>
      </xdr:nvPicPr>
      <xdr:blipFill>
        <a:blip xmlns:r="http://schemas.openxmlformats.org/officeDocument/2006/relationships" r:embed="rId1"/>
        <a:stretch>
          <a:fillRect/>
        </a:stretch>
      </xdr:blipFill>
      <xdr:spPr>
        <a:xfrm>
          <a:off x="2583658" y="23812"/>
          <a:ext cx="5655467" cy="1012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37\Datos\PKF\AUDITORIA%202008\COOP%20YOAYU\E-CONFIABILIDAD\Libr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37\Datos\Users\CONTROLLER\Desktop\El%20Metal%20Dorado%20S.A\Auditorias%20Ejercico%202012\El%20Metal%20Dorado\El%20Metal%20Dorado%20S.A.%202011\Borrador%20de%20Informes%20El%20Metal%20CNV%202011\Borrador%20final%20EEFF%202011%20CNV%20Metal%20Dor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237\Datos\Users\hugo\Documents\HUGO%20TORRES\CONTROLLER\2008\CECTEC%20ONG\Ejecucion%20Presupuestaria%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amortización"/>
    </sheetNames>
    <sheetDataSet>
      <sheetData sheetId="0" refreshError="1">
        <row r="1">
          <cell r="A1" t="str">
            <v>Calculadora de préstamos</v>
          </cell>
        </row>
        <row r="5">
          <cell r="B5" t="str">
            <v>Escriba los valores</v>
          </cell>
          <cell r="F5" t="str">
            <v>Resumen del préstamo</v>
          </cell>
        </row>
        <row r="6">
          <cell r="C6" t="str">
            <v>Importe del préstamo</v>
          </cell>
          <cell r="D6">
            <v>50076750</v>
          </cell>
          <cell r="G6" t="str">
            <v>Pago programado</v>
          </cell>
          <cell r="H6">
            <v>1431843.4770186241</v>
          </cell>
        </row>
        <row r="7">
          <cell r="C7" t="str">
            <v>Interés anual</v>
          </cell>
          <cell r="D7">
            <v>0.3</v>
          </cell>
          <cell r="G7" t="str">
            <v>Número de pagos programados</v>
          </cell>
          <cell r="H7">
            <v>84</v>
          </cell>
        </row>
        <row r="8">
          <cell r="C8" t="str">
            <v>Período del préstamo en años</v>
          </cell>
          <cell r="D8">
            <v>7</v>
          </cell>
          <cell r="G8" t="str">
            <v>Número real de pagos</v>
          </cell>
          <cell r="H8">
            <v>84</v>
          </cell>
        </row>
        <row r="9">
          <cell r="C9" t="str">
            <v>Número de pagos anuales</v>
          </cell>
          <cell r="D9">
            <v>12</v>
          </cell>
          <cell r="G9" t="str">
            <v>Total de adelantos</v>
          </cell>
          <cell r="H9">
            <v>0</v>
          </cell>
        </row>
        <row r="10">
          <cell r="C10" t="str">
            <v>Fecha inicial del préstamo</v>
          </cell>
          <cell r="D10">
            <v>39463</v>
          </cell>
          <cell r="G10" t="str">
            <v>Interés total</v>
          </cell>
          <cell r="H10">
            <v>70198102.069564193</v>
          </cell>
        </row>
        <row r="11">
          <cell r="C11" t="str">
            <v>Pagos extra opcionales</v>
          </cell>
          <cell r="D11">
            <v>0</v>
          </cell>
        </row>
        <row r="13">
          <cell r="B13" t="str">
            <v>Entidad financiera:</v>
          </cell>
        </row>
        <row r="16">
          <cell r="A16" t="str">
            <v>Pago Nº</v>
          </cell>
          <cell r="B16" t="str">
            <v>Fecha del pago</v>
          </cell>
          <cell r="C16" t="str">
            <v>Saldo inicial</v>
          </cell>
          <cell r="D16" t="str">
            <v>Pago programado</v>
          </cell>
          <cell r="E16" t="str">
            <v>Pago extra</v>
          </cell>
          <cell r="F16" t="str">
            <v>Pago total</v>
          </cell>
          <cell r="G16" t="str">
            <v>Capital</v>
          </cell>
          <cell r="H16" t="str">
            <v>Intereses</v>
          </cell>
          <cell r="I16" t="str">
            <v>Saldo final</v>
          </cell>
        </row>
        <row r="18">
          <cell r="A18">
            <v>1</v>
          </cell>
          <cell r="B18">
            <v>39494</v>
          </cell>
          <cell r="C18">
            <v>50076750</v>
          </cell>
          <cell r="D18">
            <v>1431843.4770186241</v>
          </cell>
          <cell r="E18">
            <v>0</v>
          </cell>
          <cell r="F18">
            <v>1431843.4770186241</v>
          </cell>
          <cell r="G18">
            <v>179924.72701862408</v>
          </cell>
          <cell r="H18">
            <v>1251918.75</v>
          </cell>
          <cell r="I18">
            <v>49896825.272981375</v>
          </cell>
        </row>
        <row r="19">
          <cell r="A19">
            <v>2</v>
          </cell>
          <cell r="B19">
            <v>39523</v>
          </cell>
          <cell r="C19">
            <v>49896825.272981375</v>
          </cell>
          <cell r="D19">
            <v>1431843.4770186241</v>
          </cell>
          <cell r="E19">
            <v>0</v>
          </cell>
          <cell r="F19">
            <v>1431843.4770186241</v>
          </cell>
          <cell r="G19">
            <v>184422.84519408969</v>
          </cell>
          <cell r="H19">
            <v>1247420.6318245344</v>
          </cell>
          <cell r="I19">
            <v>49712402.427787289</v>
          </cell>
        </row>
        <row r="20">
          <cell r="A20">
            <v>3</v>
          </cell>
          <cell r="B20">
            <v>39554</v>
          </cell>
          <cell r="C20">
            <v>49712402.427787289</v>
          </cell>
          <cell r="D20">
            <v>1431843.4770186241</v>
          </cell>
          <cell r="E20">
            <v>0</v>
          </cell>
          <cell r="F20">
            <v>1431843.4770186241</v>
          </cell>
          <cell r="G20">
            <v>189033.4163239419</v>
          </cell>
          <cell r="H20">
            <v>1242810.0606946822</v>
          </cell>
          <cell r="I20">
            <v>49523369.011463344</v>
          </cell>
        </row>
        <row r="21">
          <cell r="A21">
            <v>4</v>
          </cell>
          <cell r="B21">
            <v>39584</v>
          </cell>
          <cell r="C21">
            <v>49523369.011463344</v>
          </cell>
          <cell r="D21">
            <v>1431843.4770186241</v>
          </cell>
          <cell r="E21">
            <v>0</v>
          </cell>
          <cell r="F21">
            <v>1431843.4770186241</v>
          </cell>
          <cell r="G21">
            <v>193759.25173204043</v>
          </cell>
          <cell r="H21">
            <v>1238084.2252865836</v>
          </cell>
          <cell r="I21">
            <v>49329609.7597313</v>
          </cell>
        </row>
        <row r="22">
          <cell r="A22">
            <v>5</v>
          </cell>
          <cell r="B22">
            <v>39615</v>
          </cell>
          <cell r="C22">
            <v>49329609.7597313</v>
          </cell>
          <cell r="D22">
            <v>1431843.4770186241</v>
          </cell>
          <cell r="E22">
            <v>0</v>
          </cell>
          <cell r="F22">
            <v>1431843.4770186241</v>
          </cell>
          <cell r="G22">
            <v>198603.23302534153</v>
          </cell>
          <cell r="H22">
            <v>1233240.2439932826</v>
          </cell>
          <cell r="I22">
            <v>49131006.526705958</v>
          </cell>
        </row>
        <row r="23">
          <cell r="A23">
            <v>6</v>
          </cell>
          <cell r="B23">
            <v>39645</v>
          </cell>
          <cell r="C23">
            <v>49131006.526705958</v>
          </cell>
          <cell r="D23">
            <v>1431843.4770186241</v>
          </cell>
          <cell r="E23">
            <v>0</v>
          </cell>
          <cell r="F23">
            <v>1431843.4770186241</v>
          </cell>
          <cell r="G23">
            <v>203568.31385097513</v>
          </cell>
          <cell r="H23">
            <v>1228275.1631676489</v>
          </cell>
          <cell r="I23">
            <v>48927438.212854981</v>
          </cell>
        </row>
        <row r="24">
          <cell r="A24">
            <v>7</v>
          </cell>
          <cell r="B24">
            <v>39676</v>
          </cell>
          <cell r="C24">
            <v>48927438.212854981</v>
          </cell>
          <cell r="D24">
            <v>1431843.4770186241</v>
          </cell>
          <cell r="E24">
            <v>0</v>
          </cell>
          <cell r="F24">
            <v>1431843.4770186241</v>
          </cell>
          <cell r="G24">
            <v>208657.5216972495</v>
          </cell>
          <cell r="H24">
            <v>1223185.9553213746</v>
          </cell>
          <cell r="I24">
            <v>48718780.691157728</v>
          </cell>
        </row>
        <row r="25">
          <cell r="A25">
            <v>8</v>
          </cell>
          <cell r="B25">
            <v>39707</v>
          </cell>
          <cell r="C25">
            <v>48718780.691157728</v>
          </cell>
          <cell r="D25">
            <v>1431843.4770186241</v>
          </cell>
          <cell r="E25">
            <v>0</v>
          </cell>
          <cell r="F25">
            <v>1431843.4770186241</v>
          </cell>
          <cell r="G25">
            <v>213873.95973968087</v>
          </cell>
          <cell r="H25">
            <v>1217969.5172789432</v>
          </cell>
          <cell r="I25">
            <v>48504906.731418051</v>
          </cell>
        </row>
        <row r="26">
          <cell r="A26">
            <v>9</v>
          </cell>
          <cell r="B26">
            <v>39737</v>
          </cell>
          <cell r="C26">
            <v>48504906.731418051</v>
          </cell>
          <cell r="D26">
            <v>1431843.4770186241</v>
          </cell>
          <cell r="E26">
            <v>0</v>
          </cell>
          <cell r="F26">
            <v>1431843.4770186241</v>
          </cell>
          <cell r="G26">
            <v>219220.80873317295</v>
          </cell>
          <cell r="H26">
            <v>1212622.6682854511</v>
          </cell>
          <cell r="I26">
            <v>48285685.922684878</v>
          </cell>
        </row>
        <row r="27">
          <cell r="A27">
            <v>10</v>
          </cell>
          <cell r="B27">
            <v>39768</v>
          </cell>
          <cell r="C27">
            <v>48285685.922684878</v>
          </cell>
          <cell r="D27">
            <v>1431843.4770186241</v>
          </cell>
          <cell r="E27">
            <v>0</v>
          </cell>
          <cell r="F27">
            <v>1431843.4770186241</v>
          </cell>
          <cell r="G27">
            <v>224701.32895150222</v>
          </cell>
          <cell r="H27">
            <v>1207142.1480671219</v>
          </cell>
          <cell r="I27">
            <v>48060984.593733378</v>
          </cell>
        </row>
        <row r="28">
          <cell r="A28">
            <v>11</v>
          </cell>
          <cell r="B28">
            <v>39798</v>
          </cell>
          <cell r="C28">
            <v>48060984.593733378</v>
          </cell>
          <cell r="D28">
            <v>1431843.4770186241</v>
          </cell>
          <cell r="E28">
            <v>0</v>
          </cell>
          <cell r="F28">
            <v>1431843.4770186241</v>
          </cell>
          <cell r="G28">
            <v>230318.86217528977</v>
          </cell>
          <cell r="H28">
            <v>1201524.6148433343</v>
          </cell>
          <cell r="I28">
            <v>47830665.731558084</v>
          </cell>
        </row>
        <row r="29">
          <cell r="A29">
            <v>12</v>
          </cell>
          <cell r="B29">
            <v>39829</v>
          </cell>
          <cell r="C29">
            <v>47830665.731558084</v>
          </cell>
          <cell r="D29">
            <v>1431843.4770186241</v>
          </cell>
          <cell r="E29">
            <v>0</v>
          </cell>
          <cell r="F29">
            <v>1431843.4770186241</v>
          </cell>
          <cell r="G29">
            <v>236076.83372967201</v>
          </cell>
          <cell r="H29">
            <v>1195766.6432889521</v>
          </cell>
          <cell r="I29">
            <v>47594588.897828415</v>
          </cell>
        </row>
        <row r="30">
          <cell r="A30">
            <v>13</v>
          </cell>
          <cell r="B30">
            <v>39860</v>
          </cell>
          <cell r="C30">
            <v>47594588.897828415</v>
          </cell>
          <cell r="D30">
            <v>1431843.4770186241</v>
          </cell>
          <cell r="E30">
            <v>0</v>
          </cell>
          <cell r="F30">
            <v>1431843.4770186241</v>
          </cell>
          <cell r="G30">
            <v>241978.75457291375</v>
          </cell>
          <cell r="H30">
            <v>1189864.7224457103</v>
          </cell>
          <cell r="I30">
            <v>47352610.143255502</v>
          </cell>
        </row>
        <row r="31">
          <cell r="A31">
            <v>14</v>
          </cell>
          <cell r="B31">
            <v>39888</v>
          </cell>
          <cell r="C31">
            <v>47352610.143255502</v>
          </cell>
          <cell r="D31">
            <v>1431843.4770186241</v>
          </cell>
          <cell r="E31">
            <v>0</v>
          </cell>
          <cell r="F31">
            <v>1431843.4770186241</v>
          </cell>
          <cell r="G31">
            <v>248028.22343723662</v>
          </cell>
          <cell r="H31">
            <v>1183815.2535813875</v>
          </cell>
          <cell r="I31">
            <v>47104581.919818267</v>
          </cell>
        </row>
        <row r="32">
          <cell r="A32">
            <v>15</v>
          </cell>
          <cell r="B32">
            <v>39919</v>
          </cell>
          <cell r="C32">
            <v>47104581.919818267</v>
          </cell>
          <cell r="D32">
            <v>1431843.4770186241</v>
          </cell>
          <cell r="E32">
            <v>0</v>
          </cell>
          <cell r="F32">
            <v>1431843.4770186241</v>
          </cell>
          <cell r="G32">
            <v>254228.92902316735</v>
          </cell>
          <cell r="H32">
            <v>1177614.5479954567</v>
          </cell>
          <cell r="I32">
            <v>46850352.990795098</v>
          </cell>
        </row>
        <row r="33">
          <cell r="A33">
            <v>16</v>
          </cell>
          <cell r="B33">
            <v>39949</v>
          </cell>
          <cell r="C33">
            <v>46850352.990795098</v>
          </cell>
          <cell r="D33">
            <v>1431843.4770186241</v>
          </cell>
          <cell r="E33">
            <v>0</v>
          </cell>
          <cell r="F33">
            <v>1431843.4770186241</v>
          </cell>
          <cell r="G33">
            <v>260584.65224874672</v>
          </cell>
          <cell r="H33">
            <v>1171258.8247698774</v>
          </cell>
          <cell r="I33">
            <v>46589768.338546351</v>
          </cell>
        </row>
        <row r="34">
          <cell r="A34">
            <v>17</v>
          </cell>
          <cell r="B34">
            <v>39980</v>
          </cell>
          <cell r="C34">
            <v>46589768.338546351</v>
          </cell>
          <cell r="D34">
            <v>1431843.4770186241</v>
          </cell>
          <cell r="E34">
            <v>0</v>
          </cell>
          <cell r="F34">
            <v>1431843.4770186241</v>
          </cell>
          <cell r="G34">
            <v>267099.26855496527</v>
          </cell>
          <cell r="H34">
            <v>1164744.2084636588</v>
          </cell>
          <cell r="I34">
            <v>46322669.069991387</v>
          </cell>
        </row>
        <row r="35">
          <cell r="A35">
            <v>18</v>
          </cell>
          <cell r="B35">
            <v>40010</v>
          </cell>
          <cell r="C35">
            <v>46322669.069991387</v>
          </cell>
          <cell r="D35">
            <v>1431843.4770186241</v>
          </cell>
          <cell r="E35">
            <v>0</v>
          </cell>
          <cell r="F35">
            <v>1431843.4770186241</v>
          </cell>
          <cell r="G35">
            <v>273776.75026883953</v>
          </cell>
          <cell r="H35">
            <v>1158066.7267497845</v>
          </cell>
          <cell r="I35">
            <v>46048892.319722548</v>
          </cell>
        </row>
        <row r="36">
          <cell r="A36">
            <v>19</v>
          </cell>
          <cell r="B36">
            <v>40041</v>
          </cell>
          <cell r="C36">
            <v>46048892.319722548</v>
          </cell>
          <cell r="D36">
            <v>1431843.4770186241</v>
          </cell>
          <cell r="E36">
            <v>0</v>
          </cell>
          <cell r="F36">
            <v>1431843.4770186241</v>
          </cell>
          <cell r="G36">
            <v>280621.16902556038</v>
          </cell>
          <cell r="H36">
            <v>1151222.3079930637</v>
          </cell>
          <cell r="I36">
            <v>45768271.150696985</v>
          </cell>
        </row>
        <row r="37">
          <cell r="A37">
            <v>20</v>
          </cell>
          <cell r="B37">
            <v>40072</v>
          </cell>
          <cell r="C37">
            <v>45768271.150696985</v>
          </cell>
          <cell r="D37">
            <v>1431843.4770186241</v>
          </cell>
          <cell r="E37">
            <v>0</v>
          </cell>
          <cell r="F37">
            <v>1431843.4770186241</v>
          </cell>
          <cell r="G37">
            <v>287636.69825119944</v>
          </cell>
          <cell r="H37">
            <v>1144206.7787674246</v>
          </cell>
          <cell r="I37">
            <v>45480634.452445783</v>
          </cell>
        </row>
        <row r="38">
          <cell r="A38">
            <v>21</v>
          </cell>
          <cell r="B38">
            <v>40102</v>
          </cell>
          <cell r="C38">
            <v>45480634.452445783</v>
          </cell>
          <cell r="D38">
            <v>1431843.4770186241</v>
          </cell>
          <cell r="E38">
            <v>0</v>
          </cell>
          <cell r="F38">
            <v>1431843.4770186241</v>
          </cell>
          <cell r="G38">
            <v>294827.61570747965</v>
          </cell>
          <cell r="H38">
            <v>1137015.8613111444</v>
          </cell>
          <cell r="I38">
            <v>45185806.836738303</v>
          </cell>
        </row>
        <row r="39">
          <cell r="A39">
            <v>22</v>
          </cell>
          <cell r="B39">
            <v>40133</v>
          </cell>
          <cell r="C39">
            <v>45185806.836738303</v>
          </cell>
          <cell r="D39">
            <v>1431843.4770186241</v>
          </cell>
          <cell r="E39">
            <v>0</v>
          </cell>
          <cell r="F39">
            <v>1431843.4770186241</v>
          </cell>
          <cell r="G39">
            <v>302198.30610016664</v>
          </cell>
          <cell r="H39">
            <v>1129645.1709184574</v>
          </cell>
          <cell r="I39">
            <v>44883608.530638136</v>
          </cell>
        </row>
        <row r="40">
          <cell r="A40">
            <v>23</v>
          </cell>
          <cell r="B40">
            <v>40163</v>
          </cell>
          <cell r="C40">
            <v>44883608.530638136</v>
          </cell>
          <cell r="D40">
            <v>1431843.4770186241</v>
          </cell>
          <cell r="E40">
            <v>0</v>
          </cell>
          <cell r="F40">
            <v>1431843.4770186241</v>
          </cell>
          <cell r="G40">
            <v>309753.26375267073</v>
          </cell>
          <cell r="H40">
            <v>1122090.2132659534</v>
          </cell>
          <cell r="I40">
            <v>44573855.266885467</v>
          </cell>
        </row>
        <row r="41">
          <cell r="A41">
            <v>24</v>
          </cell>
          <cell r="B41">
            <v>40194</v>
          </cell>
          <cell r="C41">
            <v>44573855.266885467</v>
          </cell>
          <cell r="D41">
            <v>1431843.4770186241</v>
          </cell>
          <cell r="E41">
            <v>0</v>
          </cell>
          <cell r="F41">
            <v>1431843.4770186241</v>
          </cell>
          <cell r="G41">
            <v>317497.09534648736</v>
          </cell>
          <cell r="H41">
            <v>1114346.3816721367</v>
          </cell>
          <cell r="I41">
            <v>44256358.171538979</v>
          </cell>
        </row>
        <row r="42">
          <cell r="A42">
            <v>25</v>
          </cell>
          <cell r="B42">
            <v>40225</v>
          </cell>
          <cell r="C42">
            <v>44256358.171538979</v>
          </cell>
          <cell r="D42">
            <v>1431843.4770186241</v>
          </cell>
          <cell r="E42">
            <v>0</v>
          </cell>
          <cell r="F42">
            <v>1431843.4770186241</v>
          </cell>
          <cell r="G42">
            <v>325434.52273014956</v>
          </cell>
          <cell r="H42">
            <v>1106408.9542884745</v>
          </cell>
          <cell r="I42">
            <v>43930923.648808829</v>
          </cell>
        </row>
        <row r="43">
          <cell r="A43">
            <v>26</v>
          </cell>
          <cell r="B43">
            <v>40253</v>
          </cell>
          <cell r="C43">
            <v>43930923.648808829</v>
          </cell>
          <cell r="D43">
            <v>1431843.4770186241</v>
          </cell>
          <cell r="E43">
            <v>0</v>
          </cell>
          <cell r="F43">
            <v>1431843.4770186241</v>
          </cell>
          <cell r="G43">
            <v>333570.38579840329</v>
          </cell>
          <cell r="H43">
            <v>1098273.0912202208</v>
          </cell>
          <cell r="I43">
            <v>43597353.263010427</v>
          </cell>
        </row>
        <row r="44">
          <cell r="A44">
            <v>27</v>
          </cell>
          <cell r="B44">
            <v>40284</v>
          </cell>
          <cell r="C44">
            <v>43597353.263010427</v>
          </cell>
          <cell r="D44">
            <v>1431843.4770186241</v>
          </cell>
          <cell r="E44">
            <v>0</v>
          </cell>
          <cell r="F44">
            <v>1431843.4770186241</v>
          </cell>
          <cell r="G44">
            <v>341909.64544336335</v>
          </cell>
          <cell r="H44">
            <v>1089933.8315752607</v>
          </cell>
          <cell r="I44">
            <v>43255443.617567062</v>
          </cell>
        </row>
        <row r="45">
          <cell r="A45">
            <v>28</v>
          </cell>
          <cell r="B45">
            <v>40314</v>
          </cell>
          <cell r="C45">
            <v>43255443.617567062</v>
          </cell>
          <cell r="D45">
            <v>1431843.4770186241</v>
          </cell>
          <cell r="E45">
            <v>0</v>
          </cell>
          <cell r="F45">
            <v>1431843.4770186241</v>
          </cell>
          <cell r="G45">
            <v>350457.38657944766</v>
          </cell>
          <cell r="H45">
            <v>1081386.0904391764</v>
          </cell>
          <cell r="I45">
            <v>42904986.230987616</v>
          </cell>
        </row>
        <row r="46">
          <cell r="A46">
            <v>29</v>
          </cell>
          <cell r="B46">
            <v>40345</v>
          </cell>
          <cell r="C46">
            <v>42904986.230987616</v>
          </cell>
          <cell r="D46">
            <v>1431843.4770186241</v>
          </cell>
          <cell r="E46">
            <v>0</v>
          </cell>
          <cell r="F46">
            <v>1431843.4770186241</v>
          </cell>
          <cell r="G46">
            <v>359218.82124393363</v>
          </cell>
          <cell r="H46">
            <v>1072624.6557746904</v>
          </cell>
          <cell r="I46">
            <v>42545767.409743682</v>
          </cell>
        </row>
        <row r="47">
          <cell r="A47">
            <v>30</v>
          </cell>
          <cell r="B47">
            <v>40375</v>
          </cell>
          <cell r="C47">
            <v>42545767.409743682</v>
          </cell>
          <cell r="D47">
            <v>1431843.4770186241</v>
          </cell>
          <cell r="E47">
            <v>0</v>
          </cell>
          <cell r="F47">
            <v>1431843.4770186241</v>
          </cell>
          <cell r="G47">
            <v>368199.29177503218</v>
          </cell>
          <cell r="H47">
            <v>1063644.1852435919</v>
          </cell>
          <cell r="I47">
            <v>42177568.117968649</v>
          </cell>
        </row>
        <row r="48">
          <cell r="A48">
            <v>31</v>
          </cell>
          <cell r="B48">
            <v>40406</v>
          </cell>
          <cell r="C48">
            <v>42177568.117968649</v>
          </cell>
          <cell r="D48">
            <v>1431843.4770186241</v>
          </cell>
          <cell r="E48">
            <v>0</v>
          </cell>
          <cell r="F48">
            <v>1431843.4770186241</v>
          </cell>
          <cell r="G48">
            <v>377404.27406940795</v>
          </cell>
          <cell r="H48">
            <v>1054439.2029492161</v>
          </cell>
          <cell r="I48">
            <v>41800163.843899243</v>
          </cell>
        </row>
        <row r="49">
          <cell r="A49">
            <v>32</v>
          </cell>
          <cell r="B49">
            <v>40437</v>
          </cell>
          <cell r="C49">
            <v>41800163.843899243</v>
          </cell>
          <cell r="D49">
            <v>1431843.4770186241</v>
          </cell>
          <cell r="E49">
            <v>0</v>
          </cell>
          <cell r="F49">
            <v>1431843.4770186241</v>
          </cell>
          <cell r="G49">
            <v>386839.38092114311</v>
          </cell>
          <cell r="H49">
            <v>1045004.096097481</v>
          </cell>
          <cell r="I49">
            <v>41413324.462978102</v>
          </cell>
        </row>
        <row r="50">
          <cell r="A50">
            <v>33</v>
          </cell>
          <cell r="B50">
            <v>40467</v>
          </cell>
          <cell r="C50">
            <v>41413324.462978102</v>
          </cell>
          <cell r="D50">
            <v>1431843.4770186241</v>
          </cell>
          <cell r="E50">
            <v>0</v>
          </cell>
          <cell r="F50">
            <v>1431843.4770186241</v>
          </cell>
          <cell r="G50">
            <v>396510.36544417159</v>
          </cell>
          <cell r="H50">
            <v>1035333.1115744525</v>
          </cell>
          <cell r="I50">
            <v>41016814.097533934</v>
          </cell>
        </row>
        <row r="51">
          <cell r="A51">
            <v>34</v>
          </cell>
          <cell r="B51">
            <v>40498</v>
          </cell>
          <cell r="C51">
            <v>41016814.097533934</v>
          </cell>
          <cell r="D51">
            <v>1431843.4770186241</v>
          </cell>
          <cell r="E51">
            <v>0</v>
          </cell>
          <cell r="F51">
            <v>1431843.4770186241</v>
          </cell>
          <cell r="G51">
            <v>406423.12458027573</v>
          </cell>
          <cell r="H51">
            <v>1025420.3524383483</v>
          </cell>
          <cell r="I51">
            <v>40610390.972953655</v>
          </cell>
        </row>
        <row r="52">
          <cell r="A52">
            <v>35</v>
          </cell>
          <cell r="B52">
            <v>40528</v>
          </cell>
          <cell r="C52">
            <v>40610390.972953655</v>
          </cell>
          <cell r="D52">
            <v>1431843.4770186241</v>
          </cell>
          <cell r="E52">
            <v>0</v>
          </cell>
          <cell r="F52">
            <v>1431843.4770186241</v>
          </cell>
          <cell r="G52">
            <v>416583.70269478264</v>
          </cell>
          <cell r="H52">
            <v>1015259.7743238414</v>
          </cell>
          <cell r="I52">
            <v>40193807.270258874</v>
          </cell>
        </row>
        <row r="53">
          <cell r="A53">
            <v>36</v>
          </cell>
          <cell r="B53">
            <v>40559</v>
          </cell>
          <cell r="C53">
            <v>40193807.270258874</v>
          </cell>
          <cell r="D53">
            <v>1431843.4770186241</v>
          </cell>
          <cell r="E53">
            <v>0</v>
          </cell>
          <cell r="F53">
            <v>1431843.4770186241</v>
          </cell>
          <cell r="G53">
            <v>426998.29526215233</v>
          </cell>
          <cell r="H53">
            <v>1004845.1817564717</v>
          </cell>
          <cell r="I53">
            <v>39766808.974996723</v>
          </cell>
        </row>
        <row r="54">
          <cell r="A54">
            <v>37</v>
          </cell>
          <cell r="B54">
            <v>40590</v>
          </cell>
          <cell r="C54">
            <v>39766808.974996723</v>
          </cell>
          <cell r="D54">
            <v>1431843.4770186241</v>
          </cell>
          <cell r="E54">
            <v>0</v>
          </cell>
          <cell r="F54">
            <v>1431843.4770186241</v>
          </cell>
          <cell r="G54">
            <v>437673.25264370593</v>
          </cell>
          <cell r="H54">
            <v>994170.22437491815</v>
          </cell>
          <cell r="I54">
            <v>39329135.722353019</v>
          </cell>
        </row>
        <row r="55">
          <cell r="A55">
            <v>38</v>
          </cell>
          <cell r="B55">
            <v>40618</v>
          </cell>
          <cell r="C55">
            <v>39329135.722353019</v>
          </cell>
          <cell r="D55">
            <v>1431843.4770186241</v>
          </cell>
          <cell r="E55">
            <v>0</v>
          </cell>
          <cell r="F55">
            <v>1431843.4770186241</v>
          </cell>
          <cell r="G55">
            <v>448615.08395979868</v>
          </cell>
          <cell r="H55">
            <v>983228.3930588254</v>
          </cell>
          <cell r="I55">
            <v>38880520.638393223</v>
          </cell>
        </row>
        <row r="56">
          <cell r="A56">
            <v>39</v>
          </cell>
          <cell r="B56">
            <v>40649</v>
          </cell>
          <cell r="C56">
            <v>38880520.638393223</v>
          </cell>
          <cell r="D56">
            <v>1431843.4770186241</v>
          </cell>
          <cell r="E56">
            <v>0</v>
          </cell>
          <cell r="F56">
            <v>1431843.4770186241</v>
          </cell>
          <cell r="G56">
            <v>459830.46105879359</v>
          </cell>
          <cell r="H56">
            <v>972013.01595983049</v>
          </cell>
          <cell r="I56">
            <v>38420690.177334428</v>
          </cell>
        </row>
        <row r="57">
          <cell r="A57">
            <v>40</v>
          </cell>
          <cell r="B57">
            <v>40679</v>
          </cell>
          <cell r="C57">
            <v>38420690.177334428</v>
          </cell>
          <cell r="D57">
            <v>1431843.4770186241</v>
          </cell>
          <cell r="E57">
            <v>0</v>
          </cell>
          <cell r="F57">
            <v>1431843.4770186241</v>
          </cell>
          <cell r="G57">
            <v>471326.22258526331</v>
          </cell>
          <cell r="H57">
            <v>960517.25443336077</v>
          </cell>
          <cell r="I57">
            <v>37949363.954749167</v>
          </cell>
        </row>
        <row r="58">
          <cell r="A58">
            <v>41</v>
          </cell>
          <cell r="B58">
            <v>40710</v>
          </cell>
          <cell r="C58">
            <v>37949363.954749167</v>
          </cell>
          <cell r="D58">
            <v>1431843.4770186241</v>
          </cell>
          <cell r="E58">
            <v>0</v>
          </cell>
          <cell r="F58">
            <v>1431843.4770186241</v>
          </cell>
          <cell r="G58">
            <v>483109.378149895</v>
          </cell>
          <cell r="H58">
            <v>948734.09886872908</v>
          </cell>
          <cell r="I58">
            <v>37466254.57659927</v>
          </cell>
        </row>
        <row r="59">
          <cell r="A59">
            <v>42</v>
          </cell>
          <cell r="B59">
            <v>40740</v>
          </cell>
          <cell r="C59">
            <v>37466254.57659927</v>
          </cell>
          <cell r="D59">
            <v>1431843.4770186241</v>
          </cell>
          <cell r="E59">
            <v>0</v>
          </cell>
          <cell r="F59">
            <v>1431843.4770186241</v>
          </cell>
          <cell r="G59">
            <v>495187.1126036424</v>
          </cell>
          <cell r="H59">
            <v>936656.36441498168</v>
          </cell>
          <cell r="I59">
            <v>36971067.463995628</v>
          </cell>
        </row>
        <row r="60">
          <cell r="A60">
            <v>43</v>
          </cell>
          <cell r="B60">
            <v>40771</v>
          </cell>
          <cell r="C60">
            <v>36971067.463995628</v>
          </cell>
          <cell r="D60">
            <v>1431843.4770186241</v>
          </cell>
          <cell r="E60">
            <v>0</v>
          </cell>
          <cell r="F60">
            <v>1431843.4770186241</v>
          </cell>
          <cell r="G60">
            <v>507566.79041873338</v>
          </cell>
          <cell r="H60">
            <v>924276.6865998907</v>
          </cell>
          <cell r="I60">
            <v>36463500.673576891</v>
          </cell>
        </row>
        <row r="61">
          <cell r="A61">
            <v>44</v>
          </cell>
          <cell r="B61">
            <v>40802</v>
          </cell>
          <cell r="C61">
            <v>36463500.673576891</v>
          </cell>
          <cell r="D61">
            <v>1431843.4770186241</v>
          </cell>
          <cell r="E61">
            <v>0</v>
          </cell>
          <cell r="F61">
            <v>1431843.4770186241</v>
          </cell>
          <cell r="G61">
            <v>520255.96017920179</v>
          </cell>
          <cell r="H61">
            <v>911587.51683942229</v>
          </cell>
          <cell r="I61">
            <v>35943244.713397689</v>
          </cell>
        </row>
        <row r="62">
          <cell r="A62">
            <v>45</v>
          </cell>
          <cell r="B62">
            <v>40832</v>
          </cell>
          <cell r="C62">
            <v>35943244.713397689</v>
          </cell>
          <cell r="D62">
            <v>1431843.4770186241</v>
          </cell>
          <cell r="E62">
            <v>0</v>
          </cell>
          <cell r="F62">
            <v>1431843.4770186241</v>
          </cell>
          <cell r="G62">
            <v>533262.35918368178</v>
          </cell>
          <cell r="H62">
            <v>898581.1178349423</v>
          </cell>
          <cell r="I62">
            <v>35409982.354214005</v>
          </cell>
        </row>
        <row r="63">
          <cell r="A63">
            <v>46</v>
          </cell>
          <cell r="B63">
            <v>40863</v>
          </cell>
          <cell r="C63">
            <v>35409982.354214005</v>
          </cell>
          <cell r="D63">
            <v>1431843.4770186241</v>
          </cell>
          <cell r="E63">
            <v>0</v>
          </cell>
          <cell r="F63">
            <v>1431843.4770186241</v>
          </cell>
          <cell r="G63">
            <v>546593.91816327395</v>
          </cell>
          <cell r="H63">
            <v>885249.55885535013</v>
          </cell>
          <cell r="I63">
            <v>34863388.436050728</v>
          </cell>
        </row>
        <row r="64">
          <cell r="A64">
            <v>47</v>
          </cell>
          <cell r="B64">
            <v>40893</v>
          </cell>
          <cell r="C64">
            <v>34863388.436050728</v>
          </cell>
          <cell r="D64">
            <v>1431843.4770186241</v>
          </cell>
          <cell r="E64">
            <v>0</v>
          </cell>
          <cell r="F64">
            <v>1431843.4770186241</v>
          </cell>
          <cell r="G64">
            <v>560258.7661173559</v>
          </cell>
          <cell r="H64">
            <v>871584.71090126818</v>
          </cell>
          <cell r="I64">
            <v>34303129.669933371</v>
          </cell>
        </row>
        <row r="65">
          <cell r="A65">
            <v>48</v>
          </cell>
          <cell r="B65">
            <v>40924</v>
          </cell>
          <cell r="C65">
            <v>34303129.669933371</v>
          </cell>
          <cell r="D65">
            <v>1431843.4770186241</v>
          </cell>
          <cell r="E65">
            <v>0</v>
          </cell>
          <cell r="F65">
            <v>1431843.4770186241</v>
          </cell>
          <cell r="G65">
            <v>574265.23527028982</v>
          </cell>
          <cell r="H65">
            <v>857578.24174833426</v>
          </cell>
          <cell r="I65">
            <v>33728864.43466308</v>
          </cell>
        </row>
        <row r="66">
          <cell r="A66">
            <v>49</v>
          </cell>
          <cell r="B66">
            <v>40955</v>
          </cell>
          <cell r="C66">
            <v>33728864.43466308</v>
          </cell>
          <cell r="D66">
            <v>1431843.4770186241</v>
          </cell>
          <cell r="E66">
            <v>0</v>
          </cell>
          <cell r="F66">
            <v>1431843.4770186241</v>
          </cell>
          <cell r="G66">
            <v>588621.86615204718</v>
          </cell>
          <cell r="H66">
            <v>843221.6108665769</v>
          </cell>
          <cell r="I66">
            <v>33140242.568511032</v>
          </cell>
        </row>
        <row r="67">
          <cell r="A67">
            <v>50</v>
          </cell>
          <cell r="B67">
            <v>40984</v>
          </cell>
          <cell r="C67">
            <v>33140242.568511032</v>
          </cell>
          <cell r="D67">
            <v>1431843.4770186241</v>
          </cell>
          <cell r="E67">
            <v>0</v>
          </cell>
          <cell r="F67">
            <v>1431843.4770186241</v>
          </cell>
          <cell r="G67">
            <v>603337.41280584829</v>
          </cell>
          <cell r="H67">
            <v>828506.06421277579</v>
          </cell>
          <cell r="I67">
            <v>32536905.155705184</v>
          </cell>
        </row>
        <row r="68">
          <cell r="A68">
            <v>51</v>
          </cell>
          <cell r="B68">
            <v>41015</v>
          </cell>
          <cell r="C68">
            <v>32536905.155705184</v>
          </cell>
          <cell r="D68">
            <v>1431843.4770186241</v>
          </cell>
          <cell r="E68">
            <v>0</v>
          </cell>
          <cell r="F68">
            <v>1431843.4770186241</v>
          </cell>
          <cell r="G68">
            <v>618420.84812599455</v>
          </cell>
          <cell r="H68">
            <v>813422.62889262952</v>
          </cell>
          <cell r="I68">
            <v>31918484.30757919</v>
          </cell>
        </row>
        <row r="69">
          <cell r="A69">
            <v>52</v>
          </cell>
          <cell r="B69">
            <v>41045</v>
          </cell>
          <cell r="C69">
            <v>31918484.30757919</v>
          </cell>
          <cell r="D69">
            <v>1431843.4770186241</v>
          </cell>
          <cell r="E69">
            <v>0</v>
          </cell>
          <cell r="F69">
            <v>1431843.4770186241</v>
          </cell>
          <cell r="G69">
            <v>633881.36932914436</v>
          </cell>
          <cell r="H69">
            <v>797962.10768947972</v>
          </cell>
          <cell r="I69">
            <v>31284602.938250046</v>
          </cell>
        </row>
        <row r="70">
          <cell r="A70">
            <v>53</v>
          </cell>
          <cell r="B70">
            <v>41076</v>
          </cell>
          <cell r="C70">
            <v>31284602.938250046</v>
          </cell>
          <cell r="D70">
            <v>1431843.4770186241</v>
          </cell>
          <cell r="E70">
            <v>0</v>
          </cell>
          <cell r="F70">
            <v>1431843.4770186241</v>
          </cell>
          <cell r="G70">
            <v>649728.40356237302</v>
          </cell>
          <cell r="H70">
            <v>782115.07345625106</v>
          </cell>
          <cell r="I70">
            <v>30634874.534687672</v>
          </cell>
        </row>
        <row r="71">
          <cell r="A71">
            <v>54</v>
          </cell>
          <cell r="B71">
            <v>41106</v>
          </cell>
          <cell r="C71">
            <v>30634874.534687672</v>
          </cell>
          <cell r="D71">
            <v>1431843.4770186241</v>
          </cell>
          <cell r="E71">
            <v>0</v>
          </cell>
          <cell r="F71">
            <v>1431843.4770186241</v>
          </cell>
          <cell r="G71">
            <v>665971.61365143221</v>
          </cell>
          <cell r="H71">
            <v>765871.86336719187</v>
          </cell>
          <cell r="I71">
            <v>29968902.92103624</v>
          </cell>
        </row>
        <row r="72">
          <cell r="A72">
            <v>55</v>
          </cell>
          <cell r="B72">
            <v>41137</v>
          </cell>
          <cell r="C72">
            <v>29968902.92103624</v>
          </cell>
          <cell r="D72">
            <v>1431843.4770186241</v>
          </cell>
          <cell r="E72">
            <v>0</v>
          </cell>
          <cell r="F72">
            <v>1431843.4770186241</v>
          </cell>
          <cell r="G72">
            <v>682620.90399271809</v>
          </cell>
          <cell r="H72">
            <v>749222.57302590599</v>
          </cell>
          <cell r="I72">
            <v>29286282.017043523</v>
          </cell>
        </row>
        <row r="73">
          <cell r="A73">
            <v>56</v>
          </cell>
          <cell r="B73">
            <v>41168</v>
          </cell>
          <cell r="C73">
            <v>29286282.017043523</v>
          </cell>
          <cell r="D73">
            <v>1431843.4770186241</v>
          </cell>
          <cell r="E73">
            <v>0</v>
          </cell>
          <cell r="F73">
            <v>1431843.4770186241</v>
          </cell>
          <cell r="G73">
            <v>699686.42659253592</v>
          </cell>
          <cell r="H73">
            <v>732157.05042608816</v>
          </cell>
          <cell r="I73">
            <v>28586595.590450987</v>
          </cell>
        </row>
        <row r="74">
          <cell r="A74">
            <v>57</v>
          </cell>
          <cell r="B74">
            <v>41198</v>
          </cell>
          <cell r="C74">
            <v>28586595.590450987</v>
          </cell>
          <cell r="D74">
            <v>1431843.4770186241</v>
          </cell>
          <cell r="E74">
            <v>0</v>
          </cell>
          <cell r="F74">
            <v>1431843.4770186241</v>
          </cell>
          <cell r="G74">
            <v>717178.5872573494</v>
          </cell>
          <cell r="H74">
            <v>714664.88976127468</v>
          </cell>
          <cell r="I74">
            <v>27869417.003193639</v>
          </cell>
        </row>
        <row r="75">
          <cell r="A75">
            <v>58</v>
          </cell>
          <cell r="B75">
            <v>41229</v>
          </cell>
          <cell r="C75">
            <v>27869417.003193639</v>
          </cell>
          <cell r="D75">
            <v>1431843.4770186241</v>
          </cell>
          <cell r="E75">
            <v>0</v>
          </cell>
          <cell r="F75">
            <v>1431843.4770186241</v>
          </cell>
          <cell r="G75">
            <v>735108.05193878314</v>
          </cell>
          <cell r="H75">
            <v>696735.42507984093</v>
          </cell>
          <cell r="I75">
            <v>27134308.951254856</v>
          </cell>
        </row>
        <row r="76">
          <cell r="A76">
            <v>59</v>
          </cell>
          <cell r="B76">
            <v>41259</v>
          </cell>
          <cell r="C76">
            <v>27134308.951254856</v>
          </cell>
          <cell r="D76">
            <v>1431843.4770186241</v>
          </cell>
          <cell r="E76">
            <v>0</v>
          </cell>
          <cell r="F76">
            <v>1431843.4770186241</v>
          </cell>
          <cell r="G76">
            <v>753485.75323725271</v>
          </cell>
          <cell r="H76">
            <v>678357.72378137137</v>
          </cell>
          <cell r="I76">
            <v>26380823.198017605</v>
          </cell>
        </row>
        <row r="77">
          <cell r="A77">
            <v>60</v>
          </cell>
          <cell r="B77">
            <v>41290</v>
          </cell>
          <cell r="C77">
            <v>26380823.198017605</v>
          </cell>
          <cell r="D77">
            <v>1431843.4770186241</v>
          </cell>
          <cell r="E77">
            <v>0</v>
          </cell>
          <cell r="F77">
            <v>1431843.4770186241</v>
          </cell>
          <cell r="G77">
            <v>772322.89706818399</v>
          </cell>
          <cell r="H77">
            <v>659520.57995044009</v>
          </cell>
          <cell r="I77">
            <v>25608500.300949421</v>
          </cell>
        </row>
        <row r="78">
          <cell r="A78">
            <v>61</v>
          </cell>
          <cell r="B78">
            <v>41321</v>
          </cell>
          <cell r="C78">
            <v>25608500.300949421</v>
          </cell>
          <cell r="D78">
            <v>1431843.4770186241</v>
          </cell>
          <cell r="E78">
            <v>0</v>
          </cell>
          <cell r="F78">
            <v>1431843.4770186241</v>
          </cell>
          <cell r="G78">
            <v>791630.96949488856</v>
          </cell>
          <cell r="H78">
            <v>640212.50752373552</v>
          </cell>
          <cell r="I78">
            <v>24816869.33145453</v>
          </cell>
        </row>
        <row r="79">
          <cell r="A79">
            <v>62</v>
          </cell>
          <cell r="B79">
            <v>41349</v>
          </cell>
          <cell r="C79">
            <v>24816869.33145453</v>
          </cell>
          <cell r="D79">
            <v>1431843.4770186241</v>
          </cell>
          <cell r="E79">
            <v>0</v>
          </cell>
          <cell r="F79">
            <v>1431843.4770186241</v>
          </cell>
          <cell r="G79">
            <v>811421.74373226089</v>
          </cell>
          <cell r="H79">
            <v>620421.73328636319</v>
          </cell>
          <cell r="I79">
            <v>24005447.587722268</v>
          </cell>
        </row>
        <row r="80">
          <cell r="A80">
            <v>63</v>
          </cell>
          <cell r="B80">
            <v>41380</v>
          </cell>
          <cell r="C80">
            <v>24005447.587722268</v>
          </cell>
          <cell r="D80">
            <v>1431843.4770186241</v>
          </cell>
          <cell r="E80">
            <v>0</v>
          </cell>
          <cell r="F80">
            <v>1431843.4770186241</v>
          </cell>
          <cell r="G80">
            <v>831707.28732556745</v>
          </cell>
          <cell r="H80">
            <v>600136.18969305663</v>
          </cell>
          <cell r="I80">
            <v>23173740.300396699</v>
          </cell>
        </row>
        <row r="81">
          <cell r="A81">
            <v>64</v>
          </cell>
          <cell r="B81">
            <v>41410</v>
          </cell>
          <cell r="C81">
            <v>23173740.300396699</v>
          </cell>
          <cell r="D81">
            <v>1431843.4770186241</v>
          </cell>
          <cell r="E81">
            <v>0</v>
          </cell>
          <cell r="F81">
            <v>1431843.4770186241</v>
          </cell>
          <cell r="G81">
            <v>852499.96950870659</v>
          </cell>
          <cell r="H81">
            <v>579343.50750991749</v>
          </cell>
          <cell r="I81">
            <v>22321240.330887992</v>
          </cell>
        </row>
        <row r="82">
          <cell r="A82">
            <v>65</v>
          </cell>
          <cell r="B82">
            <v>41441</v>
          </cell>
          <cell r="C82">
            <v>22321240.330887992</v>
          </cell>
          <cell r="D82">
            <v>1431843.4770186241</v>
          </cell>
          <cell r="E82">
            <v>0</v>
          </cell>
          <cell r="F82">
            <v>1431843.4770186241</v>
          </cell>
          <cell r="G82">
            <v>873812.4687464243</v>
          </cell>
          <cell r="H82">
            <v>558031.00827219978</v>
          </cell>
          <cell r="I82">
            <v>21447427.862141568</v>
          </cell>
        </row>
        <row r="83">
          <cell r="A83">
            <v>66</v>
          </cell>
          <cell r="B83">
            <v>41471</v>
          </cell>
          <cell r="C83">
            <v>21447427.862141568</v>
          </cell>
          <cell r="D83">
            <v>1431843.4770186241</v>
          </cell>
          <cell r="E83">
            <v>0</v>
          </cell>
          <cell r="F83">
            <v>1431843.4770186241</v>
          </cell>
          <cell r="G83">
            <v>895657.78046508494</v>
          </cell>
          <cell r="H83">
            <v>536185.69655353914</v>
          </cell>
          <cell r="I83">
            <v>20551770.081676483</v>
          </cell>
        </row>
        <row r="84">
          <cell r="A84">
            <v>67</v>
          </cell>
          <cell r="B84">
            <v>41502</v>
          </cell>
          <cell r="C84">
            <v>20551770.081676483</v>
          </cell>
          <cell r="D84">
            <v>1431843.4770186241</v>
          </cell>
          <cell r="E84">
            <v>0</v>
          </cell>
          <cell r="F84">
            <v>1431843.4770186241</v>
          </cell>
          <cell r="G84">
            <v>918049.22497671191</v>
          </cell>
          <cell r="H84">
            <v>513794.25204191211</v>
          </cell>
          <cell r="I84">
            <v>19633720.856699772</v>
          </cell>
        </row>
        <row r="85">
          <cell r="A85">
            <v>68</v>
          </cell>
          <cell r="B85">
            <v>41533</v>
          </cell>
          <cell r="C85">
            <v>19633720.856699772</v>
          </cell>
          <cell r="D85">
            <v>1431843.4770186241</v>
          </cell>
          <cell r="E85">
            <v>0</v>
          </cell>
          <cell r="F85">
            <v>1431843.4770186241</v>
          </cell>
          <cell r="G85">
            <v>941000.45560112968</v>
          </cell>
          <cell r="H85">
            <v>490843.02141749434</v>
          </cell>
          <cell r="I85">
            <v>18692720.401098642</v>
          </cell>
        </row>
        <row r="86">
          <cell r="A86">
            <v>69</v>
          </cell>
          <cell r="B86">
            <v>41563</v>
          </cell>
          <cell r="C86">
            <v>18692720.401098642</v>
          </cell>
          <cell r="D86">
            <v>1431843.4770186241</v>
          </cell>
          <cell r="E86">
            <v>0</v>
          </cell>
          <cell r="F86">
            <v>1431843.4770186241</v>
          </cell>
          <cell r="G86">
            <v>964525.46699115797</v>
          </cell>
          <cell r="H86">
            <v>467318.01002746605</v>
          </cell>
          <cell r="I86">
            <v>17728194.934107486</v>
          </cell>
        </row>
        <row r="87">
          <cell r="A87">
            <v>70</v>
          </cell>
          <cell r="B87">
            <v>41594</v>
          </cell>
          <cell r="C87">
            <v>17728194.934107486</v>
          </cell>
          <cell r="D87">
            <v>1431843.4770186241</v>
          </cell>
          <cell r="E87">
            <v>0</v>
          </cell>
          <cell r="F87">
            <v>1431843.4770186241</v>
          </cell>
          <cell r="G87">
            <v>988638.60366593697</v>
          </cell>
          <cell r="H87">
            <v>443204.87335268711</v>
          </cell>
          <cell r="I87">
            <v>16739556.330441549</v>
          </cell>
        </row>
        <row r="88">
          <cell r="A88">
            <v>71</v>
          </cell>
          <cell r="B88">
            <v>41624</v>
          </cell>
          <cell r="C88">
            <v>16739556.330441549</v>
          </cell>
          <cell r="D88">
            <v>1431843.4770186241</v>
          </cell>
          <cell r="E88">
            <v>0</v>
          </cell>
          <cell r="F88">
            <v>1431843.4770186241</v>
          </cell>
          <cell r="G88">
            <v>1013354.5687575852</v>
          </cell>
          <cell r="H88">
            <v>418488.90826103877</v>
          </cell>
          <cell r="I88">
            <v>15726201.761683963</v>
          </cell>
        </row>
        <row r="89">
          <cell r="A89">
            <v>72</v>
          </cell>
          <cell r="B89">
            <v>41655</v>
          </cell>
          <cell r="C89">
            <v>15726201.761683963</v>
          </cell>
          <cell r="D89">
            <v>1431843.4770186241</v>
          </cell>
          <cell r="E89">
            <v>0</v>
          </cell>
          <cell r="F89">
            <v>1431843.4770186241</v>
          </cell>
          <cell r="G89">
            <v>1038688.432976525</v>
          </cell>
          <cell r="H89">
            <v>393155.04404209903</v>
          </cell>
          <cell r="I89">
            <v>14687513.328707438</v>
          </cell>
        </row>
        <row r="90">
          <cell r="A90">
            <v>73</v>
          </cell>
          <cell r="B90">
            <v>41686</v>
          </cell>
          <cell r="C90">
            <v>14687513.328707438</v>
          </cell>
          <cell r="D90">
            <v>1431843.4770186241</v>
          </cell>
          <cell r="E90">
            <v>0</v>
          </cell>
          <cell r="F90">
            <v>1431843.4770186241</v>
          </cell>
          <cell r="G90">
            <v>1064655.643800938</v>
          </cell>
          <cell r="H90">
            <v>367187.83321768598</v>
          </cell>
          <cell r="I90">
            <v>13622857.684906499</v>
          </cell>
        </row>
        <row r="91">
          <cell r="A91">
            <v>74</v>
          </cell>
          <cell r="B91">
            <v>41714</v>
          </cell>
          <cell r="C91">
            <v>13622857.684906499</v>
          </cell>
          <cell r="D91">
            <v>1431843.4770186241</v>
          </cell>
          <cell r="E91">
            <v>0</v>
          </cell>
          <cell r="F91">
            <v>1431843.4770186241</v>
          </cell>
          <cell r="G91">
            <v>1091272.0348959616</v>
          </cell>
          <cell r="H91">
            <v>340571.4421226625</v>
          </cell>
          <cell r="I91">
            <v>12531585.650010537</v>
          </cell>
        </row>
        <row r="92">
          <cell r="A92">
            <v>75</v>
          </cell>
          <cell r="B92">
            <v>41745</v>
          </cell>
          <cell r="C92">
            <v>12531585.650010537</v>
          </cell>
          <cell r="D92">
            <v>1431843.4770186241</v>
          </cell>
          <cell r="E92">
            <v>0</v>
          </cell>
          <cell r="F92">
            <v>1431843.4770186241</v>
          </cell>
          <cell r="G92">
            <v>1118553.8357683606</v>
          </cell>
          <cell r="H92">
            <v>313289.64125026343</v>
          </cell>
          <cell r="I92">
            <v>11413031.814242177</v>
          </cell>
        </row>
        <row r="93">
          <cell r="A93">
            <v>76</v>
          </cell>
          <cell r="B93">
            <v>41775</v>
          </cell>
          <cell r="C93">
            <v>11413031.814242177</v>
          </cell>
          <cell r="D93">
            <v>1431843.4770186241</v>
          </cell>
          <cell r="E93">
            <v>0</v>
          </cell>
          <cell r="F93">
            <v>1431843.4770186241</v>
          </cell>
          <cell r="G93">
            <v>1146517.6816625698</v>
          </cell>
          <cell r="H93">
            <v>285325.79535605438</v>
          </cell>
          <cell r="I93">
            <v>10266514.132579606</v>
          </cell>
        </row>
        <row r="94">
          <cell r="A94">
            <v>77</v>
          </cell>
          <cell r="B94">
            <v>41806</v>
          </cell>
          <cell r="C94">
            <v>10266514.132579606</v>
          </cell>
          <cell r="D94">
            <v>1431843.4770186241</v>
          </cell>
          <cell r="E94">
            <v>0</v>
          </cell>
          <cell r="F94">
            <v>1431843.4770186241</v>
          </cell>
          <cell r="G94">
            <v>1175180.623704134</v>
          </cell>
          <cell r="H94">
            <v>256662.85331449014</v>
          </cell>
          <cell r="I94">
            <v>9091333.5088754725</v>
          </cell>
        </row>
        <row r="95">
          <cell r="A95">
            <v>78</v>
          </cell>
          <cell r="B95">
            <v>41836</v>
          </cell>
          <cell r="C95">
            <v>9091333.5088754725</v>
          </cell>
          <cell r="D95">
            <v>1431843.4770186241</v>
          </cell>
          <cell r="E95">
            <v>0</v>
          </cell>
          <cell r="F95">
            <v>1431843.4770186241</v>
          </cell>
          <cell r="G95">
            <v>1204560.1392967373</v>
          </cell>
          <cell r="H95">
            <v>227283.33772188681</v>
          </cell>
          <cell r="I95">
            <v>7886773.369578735</v>
          </cell>
        </row>
        <row r="96">
          <cell r="A96">
            <v>79</v>
          </cell>
          <cell r="B96">
            <v>41867</v>
          </cell>
          <cell r="C96">
            <v>7886773.369578735</v>
          </cell>
          <cell r="D96">
            <v>1431843.4770186241</v>
          </cell>
          <cell r="E96">
            <v>0</v>
          </cell>
          <cell r="F96">
            <v>1431843.4770186241</v>
          </cell>
          <cell r="G96">
            <v>1234674.1427791556</v>
          </cell>
          <cell r="H96">
            <v>197169.33423946836</v>
          </cell>
          <cell r="I96">
            <v>6652099.2267995793</v>
          </cell>
        </row>
        <row r="97">
          <cell r="A97">
            <v>80</v>
          </cell>
          <cell r="B97">
            <v>41898</v>
          </cell>
          <cell r="C97">
            <v>6652099.2267995793</v>
          </cell>
          <cell r="D97">
            <v>1431843.4770186241</v>
          </cell>
          <cell r="E97">
            <v>0</v>
          </cell>
          <cell r="F97">
            <v>1431843.4770186241</v>
          </cell>
          <cell r="G97">
            <v>1265540.9963486346</v>
          </cell>
          <cell r="H97">
            <v>166302.48066998948</v>
          </cell>
          <cell r="I97">
            <v>5386558.230450945</v>
          </cell>
        </row>
        <row r="98">
          <cell r="A98">
            <v>81</v>
          </cell>
          <cell r="B98">
            <v>41928</v>
          </cell>
          <cell r="C98">
            <v>5386558.230450945</v>
          </cell>
          <cell r="D98">
            <v>1431843.4770186241</v>
          </cell>
          <cell r="E98">
            <v>0</v>
          </cell>
          <cell r="F98">
            <v>1431843.4770186241</v>
          </cell>
          <cell r="G98">
            <v>1297179.5212573505</v>
          </cell>
          <cell r="H98">
            <v>134663.95576127362</v>
          </cell>
          <cell r="I98">
            <v>4089378.7091935948</v>
          </cell>
        </row>
        <row r="99">
          <cell r="A99">
            <v>82</v>
          </cell>
          <cell r="B99">
            <v>41959</v>
          </cell>
          <cell r="C99">
            <v>4089378.7091935948</v>
          </cell>
          <cell r="D99">
            <v>1431843.4770186241</v>
          </cell>
          <cell r="E99">
            <v>0</v>
          </cell>
          <cell r="F99">
            <v>1431843.4770186241</v>
          </cell>
          <cell r="G99">
            <v>1329609.0092887841</v>
          </cell>
          <cell r="H99">
            <v>102234.46772983986</v>
          </cell>
          <cell r="I99">
            <v>2759769.6999048106</v>
          </cell>
        </row>
        <row r="100">
          <cell r="A100">
            <v>83</v>
          </cell>
          <cell r="B100">
            <v>41989</v>
          </cell>
          <cell r="C100">
            <v>2759769.6999048106</v>
          </cell>
          <cell r="D100">
            <v>1431843.4770186241</v>
          </cell>
          <cell r="E100">
            <v>0</v>
          </cell>
          <cell r="F100">
            <v>1431843.4770186241</v>
          </cell>
          <cell r="G100">
            <v>1362849.2345210039</v>
          </cell>
          <cell r="H100">
            <v>68994.24249762026</v>
          </cell>
          <cell r="I100">
            <v>1396920.4653838067</v>
          </cell>
        </row>
        <row r="101">
          <cell r="A101">
            <v>84</v>
          </cell>
          <cell r="B101">
            <v>42020</v>
          </cell>
          <cell r="C101">
            <v>1396920.4653838067</v>
          </cell>
          <cell r="D101">
            <v>1431843.4770186241</v>
          </cell>
          <cell r="E101">
            <v>0</v>
          </cell>
          <cell r="F101">
            <v>1396920.4653838067</v>
          </cell>
          <cell r="G101">
            <v>1361997.4537492115</v>
          </cell>
          <cell r="H101">
            <v>34923.011634595168</v>
          </cell>
          <cell r="I101">
            <v>0</v>
          </cell>
        </row>
        <row r="102">
          <cell r="A102">
            <v>85</v>
          </cell>
          <cell r="B102">
            <v>42051</v>
          </cell>
          <cell r="C102">
            <v>0</v>
          </cell>
          <cell r="D102">
            <v>1431843.4770186241</v>
          </cell>
          <cell r="E102">
            <v>0</v>
          </cell>
          <cell r="F102">
            <v>0</v>
          </cell>
          <cell r="G102">
            <v>0</v>
          </cell>
          <cell r="H102">
            <v>0</v>
          </cell>
          <cell r="I102">
            <v>0</v>
          </cell>
        </row>
        <row r="103">
          <cell r="A103">
            <v>86</v>
          </cell>
          <cell r="B103">
            <v>42079</v>
          </cell>
          <cell r="C103">
            <v>0</v>
          </cell>
          <cell r="D103">
            <v>1431843.4770186241</v>
          </cell>
          <cell r="E103">
            <v>0</v>
          </cell>
          <cell r="F103">
            <v>0</v>
          </cell>
          <cell r="G103">
            <v>0</v>
          </cell>
          <cell r="H103">
            <v>0</v>
          </cell>
          <cell r="I103">
            <v>0</v>
          </cell>
        </row>
        <row r="104">
          <cell r="A104">
            <v>87</v>
          </cell>
          <cell r="B104">
            <v>42110</v>
          </cell>
          <cell r="C104">
            <v>0</v>
          </cell>
          <cell r="D104">
            <v>1431843.4770186241</v>
          </cell>
          <cell r="E104">
            <v>0</v>
          </cell>
          <cell r="F104">
            <v>0</v>
          </cell>
          <cell r="G104">
            <v>0</v>
          </cell>
          <cell r="H104">
            <v>0</v>
          </cell>
          <cell r="I104">
            <v>0</v>
          </cell>
        </row>
        <row r="105">
          <cell r="A105">
            <v>88</v>
          </cell>
          <cell r="B105">
            <v>42140</v>
          </cell>
          <cell r="C105">
            <v>0</v>
          </cell>
          <cell r="D105">
            <v>1431843.4770186241</v>
          </cell>
          <cell r="E105">
            <v>0</v>
          </cell>
          <cell r="F105">
            <v>0</v>
          </cell>
          <cell r="G105">
            <v>0</v>
          </cell>
          <cell r="H105">
            <v>0</v>
          </cell>
          <cell r="I105">
            <v>0</v>
          </cell>
        </row>
        <row r="106">
          <cell r="A106">
            <v>89</v>
          </cell>
          <cell r="B106">
            <v>42171</v>
          </cell>
          <cell r="C106">
            <v>0</v>
          </cell>
          <cell r="D106">
            <v>1431843.4770186241</v>
          </cell>
          <cell r="E106">
            <v>0</v>
          </cell>
          <cell r="F106">
            <v>0</v>
          </cell>
          <cell r="G106">
            <v>0</v>
          </cell>
          <cell r="H106">
            <v>0</v>
          </cell>
          <cell r="I106">
            <v>0</v>
          </cell>
        </row>
        <row r="107">
          <cell r="A107">
            <v>90</v>
          </cell>
          <cell r="B107">
            <v>42201</v>
          </cell>
          <cell r="C107">
            <v>0</v>
          </cell>
          <cell r="D107">
            <v>1431843.4770186241</v>
          </cell>
          <cell r="E107">
            <v>0</v>
          </cell>
          <cell r="F107">
            <v>0</v>
          </cell>
          <cell r="G107">
            <v>0</v>
          </cell>
          <cell r="H107">
            <v>0</v>
          </cell>
          <cell r="I107">
            <v>0</v>
          </cell>
        </row>
        <row r="108">
          <cell r="A108">
            <v>91</v>
          </cell>
          <cell r="B108">
            <v>42232</v>
          </cell>
          <cell r="C108">
            <v>0</v>
          </cell>
          <cell r="D108">
            <v>1431843.4770186241</v>
          </cell>
          <cell r="E108">
            <v>0</v>
          </cell>
          <cell r="F108">
            <v>0</v>
          </cell>
          <cell r="G108">
            <v>0</v>
          </cell>
          <cell r="H108">
            <v>0</v>
          </cell>
          <cell r="I108">
            <v>0</v>
          </cell>
        </row>
        <row r="109">
          <cell r="A109">
            <v>92</v>
          </cell>
          <cell r="B109">
            <v>42263</v>
          </cell>
          <cell r="C109">
            <v>0</v>
          </cell>
          <cell r="D109">
            <v>1431843.4770186241</v>
          </cell>
          <cell r="E109">
            <v>0</v>
          </cell>
          <cell r="F109">
            <v>0</v>
          </cell>
          <cell r="G109">
            <v>0</v>
          </cell>
          <cell r="H109">
            <v>0</v>
          </cell>
          <cell r="I109">
            <v>0</v>
          </cell>
        </row>
        <row r="110">
          <cell r="A110">
            <v>93</v>
          </cell>
          <cell r="B110">
            <v>42293</v>
          </cell>
          <cell r="C110">
            <v>0</v>
          </cell>
          <cell r="D110">
            <v>1431843.4770186241</v>
          </cell>
          <cell r="E110">
            <v>0</v>
          </cell>
          <cell r="F110">
            <v>0</v>
          </cell>
          <cell r="G110">
            <v>0</v>
          </cell>
          <cell r="H110">
            <v>0</v>
          </cell>
          <cell r="I110">
            <v>0</v>
          </cell>
        </row>
        <row r="111">
          <cell r="A111">
            <v>94</v>
          </cell>
          <cell r="B111">
            <v>42324</v>
          </cell>
          <cell r="C111">
            <v>0</v>
          </cell>
          <cell r="D111">
            <v>1431843.4770186241</v>
          </cell>
          <cell r="E111">
            <v>0</v>
          </cell>
          <cell r="F111">
            <v>0</v>
          </cell>
          <cell r="G111">
            <v>0</v>
          </cell>
          <cell r="H111">
            <v>0</v>
          </cell>
          <cell r="I111">
            <v>0</v>
          </cell>
        </row>
        <row r="112">
          <cell r="A112">
            <v>95</v>
          </cell>
          <cell r="B112">
            <v>42354</v>
          </cell>
          <cell r="C112">
            <v>0</v>
          </cell>
          <cell r="D112">
            <v>1431843.4770186241</v>
          </cell>
          <cell r="E112">
            <v>0</v>
          </cell>
          <cell r="F112">
            <v>0</v>
          </cell>
          <cell r="G112">
            <v>0</v>
          </cell>
          <cell r="H112">
            <v>0</v>
          </cell>
          <cell r="I112">
            <v>0</v>
          </cell>
        </row>
        <row r="113">
          <cell r="A113">
            <v>96</v>
          </cell>
          <cell r="B113">
            <v>42385</v>
          </cell>
          <cell r="C113">
            <v>0</v>
          </cell>
          <cell r="D113">
            <v>1431843.4770186241</v>
          </cell>
          <cell r="E113">
            <v>0</v>
          </cell>
          <cell r="F113">
            <v>0</v>
          </cell>
          <cell r="G113">
            <v>0</v>
          </cell>
          <cell r="H113">
            <v>0</v>
          </cell>
          <cell r="I113">
            <v>0</v>
          </cell>
        </row>
        <row r="114">
          <cell r="A114">
            <v>97</v>
          </cell>
          <cell r="B114">
            <v>42416</v>
          </cell>
          <cell r="C114">
            <v>0</v>
          </cell>
          <cell r="D114">
            <v>1431843.4770186241</v>
          </cell>
          <cell r="E114">
            <v>0</v>
          </cell>
          <cell r="F114">
            <v>0</v>
          </cell>
          <cell r="G114">
            <v>0</v>
          </cell>
          <cell r="H114">
            <v>0</v>
          </cell>
          <cell r="I114">
            <v>0</v>
          </cell>
        </row>
        <row r="115">
          <cell r="A115">
            <v>98</v>
          </cell>
          <cell r="B115">
            <v>42445</v>
          </cell>
          <cell r="C115">
            <v>0</v>
          </cell>
          <cell r="D115">
            <v>1431843.4770186241</v>
          </cell>
          <cell r="E115">
            <v>0</v>
          </cell>
          <cell r="F115">
            <v>0</v>
          </cell>
          <cell r="G115">
            <v>0</v>
          </cell>
          <cell r="H115">
            <v>0</v>
          </cell>
          <cell r="I115">
            <v>0</v>
          </cell>
        </row>
        <row r="116">
          <cell r="A116">
            <v>99</v>
          </cell>
          <cell r="B116">
            <v>42476</v>
          </cell>
          <cell r="C116">
            <v>0</v>
          </cell>
          <cell r="D116">
            <v>1431843.4770186241</v>
          </cell>
          <cell r="E116">
            <v>0</v>
          </cell>
          <cell r="F116">
            <v>0</v>
          </cell>
          <cell r="G116">
            <v>0</v>
          </cell>
          <cell r="H116">
            <v>0</v>
          </cell>
          <cell r="I116">
            <v>0</v>
          </cell>
        </row>
        <row r="117">
          <cell r="A117">
            <v>100</v>
          </cell>
          <cell r="B117">
            <v>42506</v>
          </cell>
          <cell r="C117">
            <v>0</v>
          </cell>
          <cell r="D117">
            <v>1431843.4770186241</v>
          </cell>
          <cell r="E117">
            <v>0</v>
          </cell>
          <cell r="F117">
            <v>0</v>
          </cell>
          <cell r="G117">
            <v>0</v>
          </cell>
          <cell r="H117">
            <v>0</v>
          </cell>
          <cell r="I117">
            <v>0</v>
          </cell>
        </row>
        <row r="118">
          <cell r="A118">
            <v>101</v>
          </cell>
          <cell r="B118">
            <v>42537</v>
          </cell>
          <cell r="C118">
            <v>0</v>
          </cell>
          <cell r="D118">
            <v>1431843.4770186241</v>
          </cell>
          <cell r="E118">
            <v>0</v>
          </cell>
          <cell r="F118">
            <v>0</v>
          </cell>
          <cell r="G118">
            <v>0</v>
          </cell>
          <cell r="H118">
            <v>0</v>
          </cell>
          <cell r="I118">
            <v>0</v>
          </cell>
        </row>
        <row r="119">
          <cell r="A119">
            <v>102</v>
          </cell>
          <cell r="B119">
            <v>42567</v>
          </cell>
          <cell r="C119">
            <v>0</v>
          </cell>
          <cell r="D119">
            <v>1431843.4770186241</v>
          </cell>
          <cell r="E119">
            <v>0</v>
          </cell>
          <cell r="F119">
            <v>0</v>
          </cell>
          <cell r="G119">
            <v>0</v>
          </cell>
          <cell r="H119">
            <v>0</v>
          </cell>
          <cell r="I119">
            <v>0</v>
          </cell>
        </row>
        <row r="120">
          <cell r="A120">
            <v>103</v>
          </cell>
          <cell r="B120">
            <v>42598</v>
          </cell>
          <cell r="C120">
            <v>0</v>
          </cell>
          <cell r="D120">
            <v>1431843.4770186241</v>
          </cell>
          <cell r="E120">
            <v>0</v>
          </cell>
          <cell r="F120">
            <v>0</v>
          </cell>
          <cell r="G120">
            <v>0</v>
          </cell>
          <cell r="H120">
            <v>0</v>
          </cell>
          <cell r="I120">
            <v>0</v>
          </cell>
        </row>
        <row r="121">
          <cell r="A121">
            <v>104</v>
          </cell>
          <cell r="B121">
            <v>42629</v>
          </cell>
          <cell r="C121">
            <v>0</v>
          </cell>
          <cell r="D121">
            <v>1431843.4770186241</v>
          </cell>
          <cell r="E121">
            <v>0</v>
          </cell>
          <cell r="F121">
            <v>0</v>
          </cell>
          <cell r="G121">
            <v>0</v>
          </cell>
          <cell r="H121">
            <v>0</v>
          </cell>
          <cell r="I121">
            <v>0</v>
          </cell>
        </row>
        <row r="122">
          <cell r="A122">
            <v>105</v>
          </cell>
          <cell r="B122">
            <v>42659</v>
          </cell>
          <cell r="C122">
            <v>0</v>
          </cell>
          <cell r="D122">
            <v>1431843.4770186241</v>
          </cell>
          <cell r="E122">
            <v>0</v>
          </cell>
          <cell r="F122">
            <v>0</v>
          </cell>
          <cell r="G122">
            <v>0</v>
          </cell>
          <cell r="H122">
            <v>0</v>
          </cell>
          <cell r="I122">
            <v>0</v>
          </cell>
        </row>
        <row r="123">
          <cell r="A123">
            <v>106</v>
          </cell>
          <cell r="B123">
            <v>42690</v>
          </cell>
          <cell r="C123">
            <v>0</v>
          </cell>
          <cell r="D123">
            <v>1431843.4770186241</v>
          </cell>
          <cell r="E123">
            <v>0</v>
          </cell>
          <cell r="F123">
            <v>0</v>
          </cell>
          <cell r="G123">
            <v>0</v>
          </cell>
          <cell r="H123">
            <v>0</v>
          </cell>
          <cell r="I123">
            <v>0</v>
          </cell>
        </row>
        <row r="124">
          <cell r="A124">
            <v>107</v>
          </cell>
          <cell r="B124">
            <v>42720</v>
          </cell>
          <cell r="C124">
            <v>0</v>
          </cell>
          <cell r="D124">
            <v>1431843.4770186241</v>
          </cell>
          <cell r="E124">
            <v>0</v>
          </cell>
          <cell r="F124">
            <v>0</v>
          </cell>
          <cell r="G124">
            <v>0</v>
          </cell>
          <cell r="H124">
            <v>0</v>
          </cell>
          <cell r="I124">
            <v>0</v>
          </cell>
        </row>
        <row r="125">
          <cell r="A125">
            <v>108</v>
          </cell>
          <cell r="B125">
            <v>42751</v>
          </cell>
          <cell r="C125">
            <v>0</v>
          </cell>
          <cell r="D125">
            <v>1431843.4770186241</v>
          </cell>
          <cell r="E125">
            <v>0</v>
          </cell>
          <cell r="F125">
            <v>0</v>
          </cell>
          <cell r="G125">
            <v>0</v>
          </cell>
          <cell r="H125">
            <v>0</v>
          </cell>
          <cell r="I125">
            <v>0</v>
          </cell>
        </row>
        <row r="126">
          <cell r="A126">
            <v>109</v>
          </cell>
          <cell r="B126">
            <v>42782</v>
          </cell>
          <cell r="C126">
            <v>0</v>
          </cell>
          <cell r="D126">
            <v>1431843.4770186241</v>
          </cell>
          <cell r="E126">
            <v>0</v>
          </cell>
          <cell r="F126">
            <v>0</v>
          </cell>
          <cell r="G126">
            <v>0</v>
          </cell>
          <cell r="H126">
            <v>0</v>
          </cell>
          <cell r="I126">
            <v>0</v>
          </cell>
        </row>
        <row r="127">
          <cell r="A127">
            <v>110</v>
          </cell>
          <cell r="B127">
            <v>42810</v>
          </cell>
          <cell r="C127">
            <v>0</v>
          </cell>
          <cell r="D127">
            <v>1431843.4770186241</v>
          </cell>
          <cell r="E127">
            <v>0</v>
          </cell>
          <cell r="F127">
            <v>0</v>
          </cell>
          <cell r="G127">
            <v>0</v>
          </cell>
          <cell r="H127">
            <v>0</v>
          </cell>
          <cell r="I127">
            <v>0</v>
          </cell>
        </row>
        <row r="128">
          <cell r="A128">
            <v>111</v>
          </cell>
          <cell r="B128">
            <v>42841</v>
          </cell>
          <cell r="C128">
            <v>0</v>
          </cell>
          <cell r="D128">
            <v>1431843.4770186241</v>
          </cell>
          <cell r="E128">
            <v>0</v>
          </cell>
          <cell r="F128">
            <v>0</v>
          </cell>
          <cell r="G128">
            <v>0</v>
          </cell>
          <cell r="H128">
            <v>0</v>
          </cell>
          <cell r="I128">
            <v>0</v>
          </cell>
        </row>
        <row r="129">
          <cell r="A129">
            <v>112</v>
          </cell>
          <cell r="B129">
            <v>42871</v>
          </cell>
          <cell r="C129">
            <v>0</v>
          </cell>
          <cell r="D129">
            <v>1431843.4770186241</v>
          </cell>
          <cell r="E129">
            <v>0</v>
          </cell>
          <cell r="F129">
            <v>0</v>
          </cell>
          <cell r="G129">
            <v>0</v>
          </cell>
          <cell r="H129">
            <v>0</v>
          </cell>
          <cell r="I129">
            <v>0</v>
          </cell>
        </row>
        <row r="130">
          <cell r="A130">
            <v>113</v>
          </cell>
          <cell r="B130">
            <v>42902</v>
          </cell>
          <cell r="C130">
            <v>0</v>
          </cell>
          <cell r="D130">
            <v>1431843.4770186241</v>
          </cell>
          <cell r="E130">
            <v>0</v>
          </cell>
          <cell r="F130">
            <v>0</v>
          </cell>
          <cell r="G130">
            <v>0</v>
          </cell>
          <cell r="H130">
            <v>0</v>
          </cell>
          <cell r="I130">
            <v>0</v>
          </cell>
        </row>
        <row r="131">
          <cell r="A131">
            <v>114</v>
          </cell>
          <cell r="B131">
            <v>42932</v>
          </cell>
          <cell r="C131">
            <v>0</v>
          </cell>
          <cell r="D131">
            <v>1431843.4770186241</v>
          </cell>
          <cell r="E131">
            <v>0</v>
          </cell>
          <cell r="F131">
            <v>0</v>
          </cell>
          <cell r="G131">
            <v>0</v>
          </cell>
          <cell r="H131">
            <v>0</v>
          </cell>
          <cell r="I131">
            <v>0</v>
          </cell>
        </row>
        <row r="132">
          <cell r="A132">
            <v>115</v>
          </cell>
          <cell r="B132">
            <v>42963</v>
          </cell>
          <cell r="C132">
            <v>0</v>
          </cell>
          <cell r="D132">
            <v>1431843.4770186241</v>
          </cell>
          <cell r="E132">
            <v>0</v>
          </cell>
          <cell r="F132">
            <v>0</v>
          </cell>
          <cell r="G132">
            <v>0</v>
          </cell>
          <cell r="H132">
            <v>0</v>
          </cell>
          <cell r="I132">
            <v>0</v>
          </cell>
        </row>
        <row r="133">
          <cell r="A133">
            <v>116</v>
          </cell>
          <cell r="B133">
            <v>42994</v>
          </cell>
          <cell r="C133">
            <v>0</v>
          </cell>
          <cell r="D133">
            <v>1431843.4770186241</v>
          </cell>
          <cell r="E133">
            <v>0</v>
          </cell>
          <cell r="F133">
            <v>0</v>
          </cell>
          <cell r="G133">
            <v>0</v>
          </cell>
          <cell r="H133">
            <v>0</v>
          </cell>
          <cell r="I133">
            <v>0</v>
          </cell>
        </row>
        <row r="134">
          <cell r="A134">
            <v>117</v>
          </cell>
          <cell r="B134">
            <v>43024</v>
          </cell>
          <cell r="C134">
            <v>0</v>
          </cell>
          <cell r="D134">
            <v>1431843.4770186241</v>
          </cell>
          <cell r="E134">
            <v>0</v>
          </cell>
          <cell r="F134">
            <v>0</v>
          </cell>
          <cell r="G134">
            <v>0</v>
          </cell>
          <cell r="H134">
            <v>0</v>
          </cell>
          <cell r="I134">
            <v>0</v>
          </cell>
        </row>
        <row r="135">
          <cell r="A135">
            <v>118</v>
          </cell>
          <cell r="B135">
            <v>43055</v>
          </cell>
          <cell r="C135">
            <v>0</v>
          </cell>
          <cell r="D135">
            <v>1431843.4770186241</v>
          </cell>
          <cell r="E135">
            <v>0</v>
          </cell>
          <cell r="F135">
            <v>0</v>
          </cell>
          <cell r="G135">
            <v>0</v>
          </cell>
          <cell r="H135">
            <v>0</v>
          </cell>
          <cell r="I135">
            <v>0</v>
          </cell>
        </row>
        <row r="136">
          <cell r="A136">
            <v>119</v>
          </cell>
          <cell r="B136">
            <v>43085</v>
          </cell>
          <cell r="C136">
            <v>0</v>
          </cell>
          <cell r="D136">
            <v>1431843.4770186241</v>
          </cell>
          <cell r="E136">
            <v>0</v>
          </cell>
          <cell r="F136">
            <v>0</v>
          </cell>
          <cell r="G136">
            <v>0</v>
          </cell>
          <cell r="H136">
            <v>0</v>
          </cell>
          <cell r="I136">
            <v>0</v>
          </cell>
        </row>
        <row r="137">
          <cell r="A137">
            <v>120</v>
          </cell>
          <cell r="B137">
            <v>43116</v>
          </cell>
          <cell r="C137">
            <v>0</v>
          </cell>
          <cell r="D137">
            <v>1431843.4770186241</v>
          </cell>
          <cell r="E137">
            <v>0</v>
          </cell>
          <cell r="F137">
            <v>0</v>
          </cell>
          <cell r="G137">
            <v>0</v>
          </cell>
          <cell r="H137">
            <v>0</v>
          </cell>
          <cell r="I137">
            <v>0</v>
          </cell>
        </row>
        <row r="138">
          <cell r="A138">
            <v>121</v>
          </cell>
          <cell r="B138">
            <v>43147</v>
          </cell>
          <cell r="C138">
            <v>0</v>
          </cell>
          <cell r="D138">
            <v>1431843.4770186241</v>
          </cell>
          <cell r="E138">
            <v>0</v>
          </cell>
          <cell r="F138">
            <v>0</v>
          </cell>
          <cell r="G138">
            <v>0</v>
          </cell>
          <cell r="H138">
            <v>0</v>
          </cell>
          <cell r="I138">
            <v>0</v>
          </cell>
        </row>
        <row r="139">
          <cell r="A139">
            <v>122</v>
          </cell>
          <cell r="B139">
            <v>43175</v>
          </cell>
          <cell r="C139">
            <v>0</v>
          </cell>
          <cell r="D139">
            <v>1431843.4770186241</v>
          </cell>
          <cell r="E139">
            <v>0</v>
          </cell>
          <cell r="F139">
            <v>0</v>
          </cell>
          <cell r="G139">
            <v>0</v>
          </cell>
          <cell r="H139">
            <v>0</v>
          </cell>
          <cell r="I139">
            <v>0</v>
          </cell>
        </row>
        <row r="140">
          <cell r="A140">
            <v>123</v>
          </cell>
          <cell r="B140">
            <v>43206</v>
          </cell>
          <cell r="C140">
            <v>0</v>
          </cell>
          <cell r="D140">
            <v>1431843.4770186241</v>
          </cell>
          <cell r="E140">
            <v>0</v>
          </cell>
          <cell r="F140">
            <v>0</v>
          </cell>
          <cell r="G140">
            <v>0</v>
          </cell>
          <cell r="H140">
            <v>0</v>
          </cell>
          <cell r="I140">
            <v>0</v>
          </cell>
        </row>
        <row r="141">
          <cell r="A141">
            <v>124</v>
          </cell>
          <cell r="B141">
            <v>43236</v>
          </cell>
          <cell r="C141">
            <v>0</v>
          </cell>
          <cell r="D141">
            <v>1431843.4770186241</v>
          </cell>
          <cell r="E141">
            <v>0</v>
          </cell>
          <cell r="F141">
            <v>0</v>
          </cell>
          <cell r="G141">
            <v>0</v>
          </cell>
          <cell r="H141">
            <v>0</v>
          </cell>
          <cell r="I141">
            <v>0</v>
          </cell>
        </row>
        <row r="142">
          <cell r="A142">
            <v>125</v>
          </cell>
          <cell r="B142">
            <v>43267</v>
          </cell>
          <cell r="C142">
            <v>0</v>
          </cell>
          <cell r="D142">
            <v>1431843.4770186241</v>
          </cell>
          <cell r="E142">
            <v>0</v>
          </cell>
          <cell r="F142">
            <v>0</v>
          </cell>
          <cell r="G142">
            <v>0</v>
          </cell>
          <cell r="H142">
            <v>0</v>
          </cell>
          <cell r="I142">
            <v>0</v>
          </cell>
        </row>
        <row r="143">
          <cell r="A143">
            <v>126</v>
          </cell>
          <cell r="B143">
            <v>43297</v>
          </cell>
          <cell r="C143">
            <v>0</v>
          </cell>
          <cell r="D143">
            <v>1431843.4770186241</v>
          </cell>
          <cell r="E143">
            <v>0</v>
          </cell>
          <cell r="F143">
            <v>0</v>
          </cell>
          <cell r="G143">
            <v>0</v>
          </cell>
          <cell r="H143">
            <v>0</v>
          </cell>
          <cell r="I143">
            <v>0</v>
          </cell>
        </row>
        <row r="144">
          <cell r="A144">
            <v>127</v>
          </cell>
          <cell r="B144">
            <v>43328</v>
          </cell>
          <cell r="C144">
            <v>0</v>
          </cell>
          <cell r="D144">
            <v>1431843.4770186241</v>
          </cell>
          <cell r="E144">
            <v>0</v>
          </cell>
          <cell r="F144">
            <v>0</v>
          </cell>
          <cell r="G144">
            <v>0</v>
          </cell>
          <cell r="H144">
            <v>0</v>
          </cell>
          <cell r="I144">
            <v>0</v>
          </cell>
        </row>
        <row r="145">
          <cell r="A145">
            <v>128</v>
          </cell>
          <cell r="B145">
            <v>43359</v>
          </cell>
          <cell r="C145">
            <v>0</v>
          </cell>
          <cell r="D145">
            <v>1431843.4770186241</v>
          </cell>
          <cell r="E145">
            <v>0</v>
          </cell>
          <cell r="F145">
            <v>0</v>
          </cell>
          <cell r="G145">
            <v>0</v>
          </cell>
          <cell r="H145">
            <v>0</v>
          </cell>
          <cell r="I145">
            <v>0</v>
          </cell>
        </row>
        <row r="146">
          <cell r="A146">
            <v>129</v>
          </cell>
          <cell r="B146">
            <v>43389</v>
          </cell>
          <cell r="C146">
            <v>0</v>
          </cell>
          <cell r="D146">
            <v>1431843.4770186241</v>
          </cell>
          <cell r="E146">
            <v>0</v>
          </cell>
          <cell r="F146">
            <v>0</v>
          </cell>
          <cell r="G146">
            <v>0</v>
          </cell>
          <cell r="H146">
            <v>0</v>
          </cell>
          <cell r="I146">
            <v>0</v>
          </cell>
        </row>
        <row r="147">
          <cell r="A147">
            <v>130</v>
          </cell>
          <cell r="B147">
            <v>43420</v>
          </cell>
          <cell r="C147">
            <v>0</v>
          </cell>
          <cell r="D147">
            <v>1431843.4770186241</v>
          </cell>
          <cell r="E147">
            <v>0</v>
          </cell>
          <cell r="F147">
            <v>0</v>
          </cell>
          <cell r="G147">
            <v>0</v>
          </cell>
          <cell r="H147">
            <v>0</v>
          </cell>
          <cell r="I147">
            <v>0</v>
          </cell>
        </row>
        <row r="148">
          <cell r="A148">
            <v>131</v>
          </cell>
          <cell r="B148">
            <v>43450</v>
          </cell>
          <cell r="C148">
            <v>0</v>
          </cell>
          <cell r="D148">
            <v>1431843.4770186241</v>
          </cell>
          <cell r="E148">
            <v>0</v>
          </cell>
          <cell r="F148">
            <v>0</v>
          </cell>
          <cell r="G148">
            <v>0</v>
          </cell>
          <cell r="H148">
            <v>0</v>
          </cell>
          <cell r="I148">
            <v>0</v>
          </cell>
        </row>
        <row r="149">
          <cell r="A149">
            <v>132</v>
          </cell>
          <cell r="B149">
            <v>43481</v>
          </cell>
          <cell r="C149">
            <v>0</v>
          </cell>
          <cell r="D149">
            <v>1431843.4770186241</v>
          </cell>
          <cell r="E149">
            <v>0</v>
          </cell>
          <cell r="F149">
            <v>0</v>
          </cell>
          <cell r="G149">
            <v>0</v>
          </cell>
          <cell r="H149">
            <v>0</v>
          </cell>
          <cell r="I149">
            <v>0</v>
          </cell>
        </row>
        <row r="150">
          <cell r="A150">
            <v>133</v>
          </cell>
          <cell r="B150">
            <v>43512</v>
          </cell>
          <cell r="C150">
            <v>0</v>
          </cell>
          <cell r="D150">
            <v>1431843.4770186241</v>
          </cell>
          <cell r="E150">
            <v>0</v>
          </cell>
          <cell r="F150">
            <v>0</v>
          </cell>
          <cell r="G150">
            <v>0</v>
          </cell>
          <cell r="H150">
            <v>0</v>
          </cell>
          <cell r="I150">
            <v>0</v>
          </cell>
        </row>
        <row r="151">
          <cell r="A151">
            <v>134</v>
          </cell>
          <cell r="B151">
            <v>43540</v>
          </cell>
          <cell r="C151">
            <v>0</v>
          </cell>
          <cell r="D151">
            <v>1431843.4770186241</v>
          </cell>
          <cell r="E151">
            <v>0</v>
          </cell>
          <cell r="F151">
            <v>0</v>
          </cell>
          <cell r="G151">
            <v>0</v>
          </cell>
          <cell r="H151">
            <v>0</v>
          </cell>
          <cell r="I151">
            <v>0</v>
          </cell>
        </row>
        <row r="152">
          <cell r="A152">
            <v>135</v>
          </cell>
          <cell r="B152">
            <v>43571</v>
          </cell>
          <cell r="C152">
            <v>0</v>
          </cell>
          <cell r="D152">
            <v>1431843.4770186241</v>
          </cell>
          <cell r="E152">
            <v>0</v>
          </cell>
          <cell r="F152">
            <v>0</v>
          </cell>
          <cell r="G152">
            <v>0</v>
          </cell>
          <cell r="H152">
            <v>0</v>
          </cell>
          <cell r="I152">
            <v>0</v>
          </cell>
        </row>
        <row r="153">
          <cell r="A153">
            <v>136</v>
          </cell>
          <cell r="B153">
            <v>43601</v>
          </cell>
          <cell r="C153">
            <v>0</v>
          </cell>
          <cell r="D153">
            <v>1431843.4770186241</v>
          </cell>
          <cell r="E153">
            <v>0</v>
          </cell>
          <cell r="F153">
            <v>0</v>
          </cell>
          <cell r="G153">
            <v>0</v>
          </cell>
          <cell r="H153">
            <v>0</v>
          </cell>
          <cell r="I153">
            <v>0</v>
          </cell>
        </row>
        <row r="154">
          <cell r="A154">
            <v>137</v>
          </cell>
          <cell r="B154">
            <v>43632</v>
          </cell>
          <cell r="C154">
            <v>0</v>
          </cell>
          <cell r="D154">
            <v>1431843.4770186241</v>
          </cell>
          <cell r="E154">
            <v>0</v>
          </cell>
          <cell r="F154">
            <v>0</v>
          </cell>
          <cell r="G154">
            <v>0</v>
          </cell>
          <cell r="H154">
            <v>0</v>
          </cell>
          <cell r="I154">
            <v>0</v>
          </cell>
        </row>
        <row r="155">
          <cell r="A155">
            <v>138</v>
          </cell>
          <cell r="B155">
            <v>43662</v>
          </cell>
          <cell r="C155">
            <v>0</v>
          </cell>
          <cell r="D155">
            <v>1431843.4770186241</v>
          </cell>
          <cell r="E155">
            <v>0</v>
          </cell>
          <cell r="F155">
            <v>0</v>
          </cell>
          <cell r="G155">
            <v>0</v>
          </cell>
          <cell r="H155">
            <v>0</v>
          </cell>
          <cell r="I155">
            <v>0</v>
          </cell>
        </row>
        <row r="156">
          <cell r="A156">
            <v>139</v>
          </cell>
          <cell r="B156">
            <v>43693</v>
          </cell>
          <cell r="C156">
            <v>0</v>
          </cell>
          <cell r="D156">
            <v>1431843.4770186241</v>
          </cell>
          <cell r="E156">
            <v>0</v>
          </cell>
          <cell r="F156">
            <v>0</v>
          </cell>
          <cell r="G156">
            <v>0</v>
          </cell>
          <cell r="H156">
            <v>0</v>
          </cell>
          <cell r="I156">
            <v>0</v>
          </cell>
        </row>
        <row r="157">
          <cell r="A157">
            <v>140</v>
          </cell>
          <cell r="B157">
            <v>43724</v>
          </cell>
          <cell r="C157">
            <v>0</v>
          </cell>
          <cell r="D157">
            <v>1431843.4770186241</v>
          </cell>
          <cell r="E157">
            <v>0</v>
          </cell>
          <cell r="F157">
            <v>0</v>
          </cell>
          <cell r="G157">
            <v>0</v>
          </cell>
          <cell r="H157">
            <v>0</v>
          </cell>
          <cell r="I157">
            <v>0</v>
          </cell>
        </row>
        <row r="158">
          <cell r="A158">
            <v>141</v>
          </cell>
          <cell r="B158">
            <v>43754</v>
          </cell>
          <cell r="C158">
            <v>0</v>
          </cell>
          <cell r="D158">
            <v>1431843.4770186241</v>
          </cell>
          <cell r="E158">
            <v>0</v>
          </cell>
          <cell r="F158">
            <v>0</v>
          </cell>
          <cell r="G158">
            <v>0</v>
          </cell>
          <cell r="H158">
            <v>0</v>
          </cell>
          <cell r="I158">
            <v>0</v>
          </cell>
        </row>
        <row r="159">
          <cell r="A159">
            <v>142</v>
          </cell>
          <cell r="B159">
            <v>43785</v>
          </cell>
          <cell r="C159">
            <v>0</v>
          </cell>
          <cell r="D159">
            <v>1431843.4770186241</v>
          </cell>
          <cell r="E159">
            <v>0</v>
          </cell>
          <cell r="F159">
            <v>0</v>
          </cell>
          <cell r="G159">
            <v>0</v>
          </cell>
          <cell r="H159">
            <v>0</v>
          </cell>
          <cell r="I159">
            <v>0</v>
          </cell>
        </row>
        <row r="160">
          <cell r="A160">
            <v>143</v>
          </cell>
          <cell r="B160">
            <v>43815</v>
          </cell>
          <cell r="C160">
            <v>0</v>
          </cell>
          <cell r="D160">
            <v>1431843.4770186241</v>
          </cell>
          <cell r="E160">
            <v>0</v>
          </cell>
          <cell r="F160">
            <v>0</v>
          </cell>
          <cell r="G160">
            <v>0</v>
          </cell>
          <cell r="H160">
            <v>0</v>
          </cell>
          <cell r="I160">
            <v>0</v>
          </cell>
        </row>
        <row r="161">
          <cell r="A161">
            <v>144</v>
          </cell>
          <cell r="B161">
            <v>43846</v>
          </cell>
          <cell r="C161">
            <v>0</v>
          </cell>
          <cell r="D161">
            <v>1431843.4770186241</v>
          </cell>
          <cell r="E161">
            <v>0</v>
          </cell>
          <cell r="F161">
            <v>0</v>
          </cell>
          <cell r="G161">
            <v>0</v>
          </cell>
          <cell r="H161">
            <v>0</v>
          </cell>
          <cell r="I161">
            <v>0</v>
          </cell>
        </row>
        <row r="162">
          <cell r="A162">
            <v>145</v>
          </cell>
          <cell r="B162">
            <v>43877</v>
          </cell>
          <cell r="C162">
            <v>0</v>
          </cell>
          <cell r="D162">
            <v>1431843.4770186241</v>
          </cell>
          <cell r="E162">
            <v>0</v>
          </cell>
          <cell r="F162">
            <v>0</v>
          </cell>
          <cell r="G162">
            <v>0</v>
          </cell>
          <cell r="H162">
            <v>0</v>
          </cell>
          <cell r="I162">
            <v>0</v>
          </cell>
        </row>
        <row r="163">
          <cell r="A163">
            <v>146</v>
          </cell>
          <cell r="B163">
            <v>43906</v>
          </cell>
          <cell r="C163">
            <v>0</v>
          </cell>
          <cell r="D163">
            <v>1431843.4770186241</v>
          </cell>
          <cell r="E163">
            <v>0</v>
          </cell>
          <cell r="F163">
            <v>0</v>
          </cell>
          <cell r="G163">
            <v>0</v>
          </cell>
          <cell r="H163">
            <v>0</v>
          </cell>
          <cell r="I163">
            <v>0</v>
          </cell>
        </row>
        <row r="164">
          <cell r="A164">
            <v>147</v>
          </cell>
          <cell r="B164">
            <v>43937</v>
          </cell>
          <cell r="C164">
            <v>0</v>
          </cell>
          <cell r="D164">
            <v>1431843.4770186241</v>
          </cell>
          <cell r="E164">
            <v>0</v>
          </cell>
          <cell r="F164">
            <v>0</v>
          </cell>
          <cell r="G164">
            <v>0</v>
          </cell>
          <cell r="H164">
            <v>0</v>
          </cell>
          <cell r="I164">
            <v>0</v>
          </cell>
        </row>
        <row r="165">
          <cell r="A165">
            <v>148</v>
          </cell>
          <cell r="B165">
            <v>43967</v>
          </cell>
          <cell r="C165">
            <v>0</v>
          </cell>
          <cell r="D165">
            <v>1431843.4770186241</v>
          </cell>
          <cell r="E165">
            <v>0</v>
          </cell>
          <cell r="F165">
            <v>0</v>
          </cell>
          <cell r="G165">
            <v>0</v>
          </cell>
          <cell r="H165">
            <v>0</v>
          </cell>
          <cell r="I165">
            <v>0</v>
          </cell>
        </row>
        <row r="166">
          <cell r="A166">
            <v>149</v>
          </cell>
          <cell r="B166">
            <v>43998</v>
          </cell>
          <cell r="C166">
            <v>0</v>
          </cell>
          <cell r="D166">
            <v>1431843.4770186241</v>
          </cell>
          <cell r="E166">
            <v>0</v>
          </cell>
          <cell r="F166">
            <v>0</v>
          </cell>
          <cell r="G166">
            <v>0</v>
          </cell>
          <cell r="H166">
            <v>0</v>
          </cell>
          <cell r="I166">
            <v>0</v>
          </cell>
        </row>
        <row r="167">
          <cell r="A167">
            <v>150</v>
          </cell>
          <cell r="B167">
            <v>44028</v>
          </cell>
          <cell r="C167">
            <v>0</v>
          </cell>
          <cell r="D167">
            <v>1431843.4770186241</v>
          </cell>
          <cell r="E167">
            <v>0</v>
          </cell>
          <cell r="F167">
            <v>0</v>
          </cell>
          <cell r="G167">
            <v>0</v>
          </cell>
          <cell r="H167">
            <v>0</v>
          </cell>
          <cell r="I167">
            <v>0</v>
          </cell>
        </row>
        <row r="168">
          <cell r="A168">
            <v>151</v>
          </cell>
          <cell r="B168">
            <v>44059</v>
          </cell>
          <cell r="C168">
            <v>0</v>
          </cell>
          <cell r="D168">
            <v>1431843.4770186241</v>
          </cell>
          <cell r="E168">
            <v>0</v>
          </cell>
          <cell r="F168">
            <v>0</v>
          </cell>
          <cell r="G168">
            <v>0</v>
          </cell>
          <cell r="H168">
            <v>0</v>
          </cell>
          <cell r="I168">
            <v>0</v>
          </cell>
        </row>
        <row r="169">
          <cell r="A169">
            <v>152</v>
          </cell>
          <cell r="B169">
            <v>44090</v>
          </cell>
          <cell r="C169">
            <v>0</v>
          </cell>
          <cell r="D169">
            <v>1431843.4770186241</v>
          </cell>
          <cell r="E169">
            <v>0</v>
          </cell>
          <cell r="F169">
            <v>0</v>
          </cell>
          <cell r="G169">
            <v>0</v>
          </cell>
          <cell r="H169">
            <v>0</v>
          </cell>
          <cell r="I169">
            <v>0</v>
          </cell>
        </row>
        <row r="170">
          <cell r="A170">
            <v>153</v>
          </cell>
          <cell r="B170">
            <v>44120</v>
          </cell>
          <cell r="C170">
            <v>0</v>
          </cell>
          <cell r="D170">
            <v>1431843.4770186241</v>
          </cell>
          <cell r="E170">
            <v>0</v>
          </cell>
          <cell r="F170">
            <v>0</v>
          </cell>
          <cell r="G170">
            <v>0</v>
          </cell>
          <cell r="H170">
            <v>0</v>
          </cell>
          <cell r="I170">
            <v>0</v>
          </cell>
        </row>
        <row r="171">
          <cell r="A171">
            <v>154</v>
          </cell>
          <cell r="B171">
            <v>44151</v>
          </cell>
          <cell r="C171">
            <v>0</v>
          </cell>
          <cell r="D171">
            <v>1431843.4770186241</v>
          </cell>
          <cell r="E171">
            <v>0</v>
          </cell>
          <cell r="F171">
            <v>0</v>
          </cell>
          <cell r="G171">
            <v>0</v>
          </cell>
          <cell r="H171">
            <v>0</v>
          </cell>
          <cell r="I171">
            <v>0</v>
          </cell>
        </row>
        <row r="172">
          <cell r="A172">
            <v>155</v>
          </cell>
          <cell r="B172">
            <v>44181</v>
          </cell>
          <cell r="C172">
            <v>0</v>
          </cell>
          <cell r="D172">
            <v>1431843.4770186241</v>
          </cell>
          <cell r="E172">
            <v>0</v>
          </cell>
          <cell r="F172">
            <v>0</v>
          </cell>
          <cell r="G172">
            <v>0</v>
          </cell>
          <cell r="H172">
            <v>0</v>
          </cell>
          <cell r="I172">
            <v>0</v>
          </cell>
        </row>
        <row r="173">
          <cell r="A173">
            <v>156</v>
          </cell>
          <cell r="B173">
            <v>44212</v>
          </cell>
          <cell r="C173">
            <v>0</v>
          </cell>
          <cell r="D173">
            <v>1431843.4770186241</v>
          </cell>
          <cell r="E173">
            <v>0</v>
          </cell>
          <cell r="F173">
            <v>0</v>
          </cell>
          <cell r="G173">
            <v>0</v>
          </cell>
          <cell r="H173">
            <v>0</v>
          </cell>
          <cell r="I173">
            <v>0</v>
          </cell>
        </row>
        <row r="174">
          <cell r="A174">
            <v>157</v>
          </cell>
          <cell r="B174">
            <v>44243</v>
          </cell>
          <cell r="C174">
            <v>0</v>
          </cell>
          <cell r="D174">
            <v>1431843.4770186241</v>
          </cell>
          <cell r="E174">
            <v>0</v>
          </cell>
          <cell r="F174">
            <v>0</v>
          </cell>
          <cell r="G174">
            <v>0</v>
          </cell>
          <cell r="H174">
            <v>0</v>
          </cell>
          <cell r="I174">
            <v>0</v>
          </cell>
        </row>
        <row r="175">
          <cell r="A175">
            <v>158</v>
          </cell>
          <cell r="B175">
            <v>44271</v>
          </cell>
          <cell r="C175">
            <v>0</v>
          </cell>
          <cell r="D175">
            <v>1431843.4770186241</v>
          </cell>
          <cell r="E175">
            <v>0</v>
          </cell>
          <cell r="F175">
            <v>0</v>
          </cell>
          <cell r="G175">
            <v>0</v>
          </cell>
          <cell r="H175">
            <v>0</v>
          </cell>
          <cell r="I175">
            <v>0</v>
          </cell>
        </row>
        <row r="176">
          <cell r="A176">
            <v>159</v>
          </cell>
          <cell r="B176">
            <v>44302</v>
          </cell>
          <cell r="C176">
            <v>0</v>
          </cell>
          <cell r="D176">
            <v>1431843.4770186241</v>
          </cell>
          <cell r="E176">
            <v>0</v>
          </cell>
          <cell r="F176">
            <v>0</v>
          </cell>
          <cell r="G176">
            <v>0</v>
          </cell>
          <cell r="H176">
            <v>0</v>
          </cell>
          <cell r="I176">
            <v>0</v>
          </cell>
        </row>
        <row r="177">
          <cell r="A177">
            <v>160</v>
          </cell>
          <cell r="B177">
            <v>44332</v>
          </cell>
          <cell r="C177">
            <v>0</v>
          </cell>
          <cell r="D177">
            <v>1431843.4770186241</v>
          </cell>
          <cell r="E177">
            <v>0</v>
          </cell>
          <cell r="F177">
            <v>0</v>
          </cell>
          <cell r="G177">
            <v>0</v>
          </cell>
          <cell r="H177">
            <v>0</v>
          </cell>
          <cell r="I177">
            <v>0</v>
          </cell>
        </row>
        <row r="178">
          <cell r="A178">
            <v>161</v>
          </cell>
          <cell r="B178">
            <v>44363</v>
          </cell>
          <cell r="C178">
            <v>0</v>
          </cell>
          <cell r="D178">
            <v>1431843.4770186241</v>
          </cell>
          <cell r="E178">
            <v>0</v>
          </cell>
          <cell r="F178">
            <v>0</v>
          </cell>
          <cell r="G178">
            <v>0</v>
          </cell>
          <cell r="H178">
            <v>0</v>
          </cell>
          <cell r="I178">
            <v>0</v>
          </cell>
        </row>
        <row r="179">
          <cell r="A179">
            <v>162</v>
          </cell>
          <cell r="B179">
            <v>44393</v>
          </cell>
          <cell r="C179">
            <v>0</v>
          </cell>
          <cell r="D179">
            <v>1431843.4770186241</v>
          </cell>
          <cell r="E179">
            <v>0</v>
          </cell>
          <cell r="F179">
            <v>0</v>
          </cell>
          <cell r="G179">
            <v>0</v>
          </cell>
          <cell r="H179">
            <v>0</v>
          </cell>
          <cell r="I179">
            <v>0</v>
          </cell>
        </row>
        <row r="180">
          <cell r="A180">
            <v>163</v>
          </cell>
          <cell r="B180">
            <v>44424</v>
          </cell>
          <cell r="C180">
            <v>0</v>
          </cell>
          <cell r="D180">
            <v>1431843.4770186241</v>
          </cell>
          <cell r="E180">
            <v>0</v>
          </cell>
          <cell r="F180">
            <v>0</v>
          </cell>
          <cell r="G180">
            <v>0</v>
          </cell>
          <cell r="H180">
            <v>0</v>
          </cell>
          <cell r="I180">
            <v>0</v>
          </cell>
        </row>
        <row r="181">
          <cell r="A181">
            <v>164</v>
          </cell>
          <cell r="B181">
            <v>44455</v>
          </cell>
          <cell r="C181">
            <v>0</v>
          </cell>
          <cell r="D181">
            <v>1431843.4770186241</v>
          </cell>
          <cell r="E181">
            <v>0</v>
          </cell>
          <cell r="F181">
            <v>0</v>
          </cell>
          <cell r="G181">
            <v>0</v>
          </cell>
          <cell r="H181">
            <v>0</v>
          </cell>
          <cell r="I181">
            <v>0</v>
          </cell>
        </row>
        <row r="182">
          <cell r="A182">
            <v>165</v>
          </cell>
          <cell r="B182">
            <v>44485</v>
          </cell>
          <cell r="C182">
            <v>0</v>
          </cell>
          <cell r="D182">
            <v>1431843.4770186241</v>
          </cell>
          <cell r="E182">
            <v>0</v>
          </cell>
          <cell r="F182">
            <v>0</v>
          </cell>
          <cell r="G182">
            <v>0</v>
          </cell>
          <cell r="H182">
            <v>0</v>
          </cell>
          <cell r="I182">
            <v>0</v>
          </cell>
        </row>
        <row r="183">
          <cell r="A183">
            <v>166</v>
          </cell>
          <cell r="B183">
            <v>44516</v>
          </cell>
          <cell r="C183">
            <v>0</v>
          </cell>
          <cell r="D183">
            <v>1431843.4770186241</v>
          </cell>
          <cell r="E183">
            <v>0</v>
          </cell>
          <cell r="F183">
            <v>0</v>
          </cell>
          <cell r="G183">
            <v>0</v>
          </cell>
          <cell r="H183">
            <v>0</v>
          </cell>
          <cell r="I183">
            <v>0</v>
          </cell>
        </row>
        <row r="184">
          <cell r="A184">
            <v>167</v>
          </cell>
          <cell r="B184">
            <v>44546</v>
          </cell>
          <cell r="C184">
            <v>0</v>
          </cell>
          <cell r="D184">
            <v>1431843.4770186241</v>
          </cell>
          <cell r="E184">
            <v>0</v>
          </cell>
          <cell r="F184">
            <v>0</v>
          </cell>
          <cell r="G184">
            <v>0</v>
          </cell>
          <cell r="H184">
            <v>0</v>
          </cell>
          <cell r="I184">
            <v>0</v>
          </cell>
        </row>
        <row r="185">
          <cell r="A185">
            <v>168</v>
          </cell>
          <cell r="B185">
            <v>44577</v>
          </cell>
          <cell r="C185">
            <v>0</v>
          </cell>
          <cell r="D185">
            <v>1431843.4770186241</v>
          </cell>
          <cell r="E185">
            <v>0</v>
          </cell>
          <cell r="F185">
            <v>0</v>
          </cell>
          <cell r="G185">
            <v>0</v>
          </cell>
          <cell r="H185">
            <v>0</v>
          </cell>
          <cell r="I185">
            <v>0</v>
          </cell>
        </row>
        <row r="186">
          <cell r="A186">
            <v>169</v>
          </cell>
          <cell r="B186">
            <v>44608</v>
          </cell>
          <cell r="C186">
            <v>0</v>
          </cell>
          <cell r="D186">
            <v>1431843.4770186241</v>
          </cell>
          <cell r="E186">
            <v>0</v>
          </cell>
          <cell r="F186">
            <v>0</v>
          </cell>
          <cell r="G186">
            <v>0</v>
          </cell>
          <cell r="H186">
            <v>0</v>
          </cell>
          <cell r="I186">
            <v>0</v>
          </cell>
        </row>
        <row r="187">
          <cell r="A187">
            <v>170</v>
          </cell>
          <cell r="B187">
            <v>44636</v>
          </cell>
          <cell r="C187">
            <v>0</v>
          </cell>
          <cell r="D187">
            <v>1431843.4770186241</v>
          </cell>
          <cell r="E187">
            <v>0</v>
          </cell>
          <cell r="F187">
            <v>0</v>
          </cell>
          <cell r="G187">
            <v>0</v>
          </cell>
          <cell r="H187">
            <v>0</v>
          </cell>
          <cell r="I187">
            <v>0</v>
          </cell>
        </row>
        <row r="188">
          <cell r="A188">
            <v>171</v>
          </cell>
          <cell r="B188">
            <v>44667</v>
          </cell>
          <cell r="C188">
            <v>0</v>
          </cell>
          <cell r="D188">
            <v>1431843.4770186241</v>
          </cell>
          <cell r="E188">
            <v>0</v>
          </cell>
          <cell r="F188">
            <v>0</v>
          </cell>
          <cell r="G188">
            <v>0</v>
          </cell>
          <cell r="H188">
            <v>0</v>
          </cell>
          <cell r="I188">
            <v>0</v>
          </cell>
        </row>
        <row r="189">
          <cell r="A189">
            <v>172</v>
          </cell>
          <cell r="B189">
            <v>44697</v>
          </cell>
          <cell r="C189">
            <v>0</v>
          </cell>
          <cell r="D189">
            <v>1431843.4770186241</v>
          </cell>
          <cell r="E189">
            <v>0</v>
          </cell>
          <cell r="F189">
            <v>0</v>
          </cell>
          <cell r="G189">
            <v>0</v>
          </cell>
          <cell r="H189">
            <v>0</v>
          </cell>
          <cell r="I189">
            <v>0</v>
          </cell>
        </row>
        <row r="190">
          <cell r="A190">
            <v>173</v>
          </cell>
          <cell r="B190">
            <v>44728</v>
          </cell>
          <cell r="C190">
            <v>0</v>
          </cell>
          <cell r="D190">
            <v>1431843.4770186241</v>
          </cell>
          <cell r="E190">
            <v>0</v>
          </cell>
          <cell r="F190">
            <v>0</v>
          </cell>
          <cell r="G190">
            <v>0</v>
          </cell>
          <cell r="H190">
            <v>0</v>
          </cell>
          <cell r="I190">
            <v>0</v>
          </cell>
        </row>
        <row r="191">
          <cell r="A191">
            <v>174</v>
          </cell>
          <cell r="B191">
            <v>44758</v>
          </cell>
          <cell r="C191">
            <v>0</v>
          </cell>
          <cell r="D191">
            <v>1431843.4770186241</v>
          </cell>
          <cell r="E191">
            <v>0</v>
          </cell>
          <cell r="F191">
            <v>0</v>
          </cell>
          <cell r="G191">
            <v>0</v>
          </cell>
          <cell r="H191">
            <v>0</v>
          </cell>
          <cell r="I191">
            <v>0</v>
          </cell>
        </row>
        <row r="192">
          <cell r="A192">
            <v>175</v>
          </cell>
          <cell r="B192">
            <v>44789</v>
          </cell>
          <cell r="C192">
            <v>0</v>
          </cell>
          <cell r="D192">
            <v>1431843.4770186241</v>
          </cell>
          <cell r="E192">
            <v>0</v>
          </cell>
          <cell r="F192">
            <v>0</v>
          </cell>
          <cell r="G192">
            <v>0</v>
          </cell>
          <cell r="H192">
            <v>0</v>
          </cell>
          <cell r="I192">
            <v>0</v>
          </cell>
        </row>
        <row r="193">
          <cell r="A193">
            <v>176</v>
          </cell>
          <cell r="B193">
            <v>44820</v>
          </cell>
          <cell r="C193">
            <v>0</v>
          </cell>
          <cell r="D193">
            <v>1431843.4770186241</v>
          </cell>
          <cell r="E193">
            <v>0</v>
          </cell>
          <cell r="F193">
            <v>0</v>
          </cell>
          <cell r="G193">
            <v>0</v>
          </cell>
          <cell r="H193">
            <v>0</v>
          </cell>
          <cell r="I193">
            <v>0</v>
          </cell>
        </row>
        <row r="194">
          <cell r="A194">
            <v>177</v>
          </cell>
          <cell r="B194">
            <v>44850</v>
          </cell>
          <cell r="C194">
            <v>0</v>
          </cell>
          <cell r="D194">
            <v>1431843.4770186241</v>
          </cell>
          <cell r="E194">
            <v>0</v>
          </cell>
          <cell r="F194">
            <v>0</v>
          </cell>
          <cell r="G194">
            <v>0</v>
          </cell>
          <cell r="H194">
            <v>0</v>
          </cell>
          <cell r="I194">
            <v>0</v>
          </cell>
        </row>
        <row r="195">
          <cell r="A195">
            <v>178</v>
          </cell>
          <cell r="B195">
            <v>44881</v>
          </cell>
          <cell r="C195">
            <v>0</v>
          </cell>
          <cell r="D195">
            <v>1431843.4770186241</v>
          </cell>
          <cell r="E195">
            <v>0</v>
          </cell>
          <cell r="F195">
            <v>0</v>
          </cell>
          <cell r="G195">
            <v>0</v>
          </cell>
          <cell r="H195">
            <v>0</v>
          </cell>
          <cell r="I195">
            <v>0</v>
          </cell>
        </row>
        <row r="196">
          <cell r="A196">
            <v>179</v>
          </cell>
          <cell r="B196">
            <v>44911</v>
          </cell>
          <cell r="C196">
            <v>0</v>
          </cell>
          <cell r="D196">
            <v>1431843.4770186241</v>
          </cell>
          <cell r="E196">
            <v>0</v>
          </cell>
          <cell r="F196">
            <v>0</v>
          </cell>
          <cell r="G196">
            <v>0</v>
          </cell>
          <cell r="H196">
            <v>0</v>
          </cell>
          <cell r="I196">
            <v>0</v>
          </cell>
        </row>
        <row r="197">
          <cell r="A197">
            <v>180</v>
          </cell>
          <cell r="B197">
            <v>44942</v>
          </cell>
          <cell r="C197">
            <v>0</v>
          </cell>
          <cell r="D197">
            <v>1431843.4770186241</v>
          </cell>
          <cell r="E197">
            <v>0</v>
          </cell>
          <cell r="F197">
            <v>0</v>
          </cell>
          <cell r="G197">
            <v>0</v>
          </cell>
          <cell r="H197">
            <v>0</v>
          </cell>
          <cell r="I197">
            <v>0</v>
          </cell>
        </row>
        <row r="198">
          <cell r="A198">
            <v>181</v>
          </cell>
          <cell r="B198">
            <v>44973</v>
          </cell>
          <cell r="C198">
            <v>0</v>
          </cell>
          <cell r="D198">
            <v>1431843.4770186241</v>
          </cell>
          <cell r="E198">
            <v>0</v>
          </cell>
          <cell r="F198">
            <v>0</v>
          </cell>
          <cell r="G198">
            <v>0</v>
          </cell>
          <cell r="H198">
            <v>0</v>
          </cell>
          <cell r="I198">
            <v>0</v>
          </cell>
        </row>
        <row r="199">
          <cell r="A199">
            <v>182</v>
          </cell>
          <cell r="B199">
            <v>45001</v>
          </cell>
          <cell r="C199">
            <v>0</v>
          </cell>
          <cell r="D199">
            <v>1431843.4770186241</v>
          </cell>
          <cell r="E199">
            <v>0</v>
          </cell>
          <cell r="F199">
            <v>0</v>
          </cell>
          <cell r="G199">
            <v>0</v>
          </cell>
          <cell r="H199">
            <v>0</v>
          </cell>
          <cell r="I199">
            <v>0</v>
          </cell>
        </row>
        <row r="200">
          <cell r="A200">
            <v>183</v>
          </cell>
          <cell r="B200">
            <v>45032</v>
          </cell>
          <cell r="C200">
            <v>0</v>
          </cell>
          <cell r="D200">
            <v>1431843.4770186241</v>
          </cell>
          <cell r="E200">
            <v>0</v>
          </cell>
          <cell r="F200">
            <v>0</v>
          </cell>
          <cell r="G200">
            <v>0</v>
          </cell>
          <cell r="H200">
            <v>0</v>
          </cell>
          <cell r="I200">
            <v>0</v>
          </cell>
        </row>
        <row r="201">
          <cell r="A201">
            <v>184</v>
          </cell>
          <cell r="B201">
            <v>45062</v>
          </cell>
          <cell r="C201">
            <v>0</v>
          </cell>
          <cell r="D201">
            <v>1431843.4770186241</v>
          </cell>
          <cell r="E201">
            <v>0</v>
          </cell>
          <cell r="F201">
            <v>0</v>
          </cell>
          <cell r="G201">
            <v>0</v>
          </cell>
          <cell r="H201">
            <v>0</v>
          </cell>
          <cell r="I201">
            <v>0</v>
          </cell>
        </row>
        <row r="202">
          <cell r="A202">
            <v>185</v>
          </cell>
          <cell r="B202">
            <v>45093</v>
          </cell>
          <cell r="C202">
            <v>0</v>
          </cell>
          <cell r="D202">
            <v>1431843.4770186241</v>
          </cell>
          <cell r="E202">
            <v>0</v>
          </cell>
          <cell r="F202">
            <v>0</v>
          </cell>
          <cell r="G202">
            <v>0</v>
          </cell>
          <cell r="H202">
            <v>0</v>
          </cell>
          <cell r="I202">
            <v>0</v>
          </cell>
        </row>
        <row r="203">
          <cell r="A203">
            <v>186</v>
          </cell>
          <cell r="B203">
            <v>45123</v>
          </cell>
          <cell r="C203">
            <v>0</v>
          </cell>
          <cell r="D203">
            <v>1431843.4770186241</v>
          </cell>
          <cell r="E203">
            <v>0</v>
          </cell>
          <cell r="F203">
            <v>0</v>
          </cell>
          <cell r="G203">
            <v>0</v>
          </cell>
          <cell r="H203">
            <v>0</v>
          </cell>
          <cell r="I203">
            <v>0</v>
          </cell>
        </row>
        <row r="204">
          <cell r="A204">
            <v>187</v>
          </cell>
          <cell r="B204">
            <v>45154</v>
          </cell>
          <cell r="C204">
            <v>0</v>
          </cell>
          <cell r="D204">
            <v>1431843.4770186241</v>
          </cell>
          <cell r="E204">
            <v>0</v>
          </cell>
          <cell r="F204">
            <v>0</v>
          </cell>
          <cell r="G204">
            <v>0</v>
          </cell>
          <cell r="H204">
            <v>0</v>
          </cell>
          <cell r="I204">
            <v>0</v>
          </cell>
        </row>
        <row r="205">
          <cell r="A205">
            <v>188</v>
          </cell>
          <cell r="B205">
            <v>45185</v>
          </cell>
          <cell r="C205">
            <v>0</v>
          </cell>
          <cell r="D205">
            <v>1431843.4770186241</v>
          </cell>
          <cell r="E205">
            <v>0</v>
          </cell>
          <cell r="F205">
            <v>0</v>
          </cell>
          <cell r="G205">
            <v>0</v>
          </cell>
          <cell r="H205">
            <v>0</v>
          </cell>
          <cell r="I205">
            <v>0</v>
          </cell>
        </row>
        <row r="206">
          <cell r="A206">
            <v>189</v>
          </cell>
          <cell r="B206">
            <v>45215</v>
          </cell>
          <cell r="C206">
            <v>0</v>
          </cell>
          <cell r="D206">
            <v>1431843.4770186241</v>
          </cell>
          <cell r="E206">
            <v>0</v>
          </cell>
          <cell r="F206">
            <v>0</v>
          </cell>
          <cell r="G206">
            <v>0</v>
          </cell>
          <cell r="H206">
            <v>0</v>
          </cell>
          <cell r="I206">
            <v>0</v>
          </cell>
        </row>
        <row r="207">
          <cell r="A207">
            <v>190</v>
          </cell>
          <cell r="B207">
            <v>45246</v>
          </cell>
          <cell r="C207">
            <v>0</v>
          </cell>
          <cell r="D207">
            <v>1431843.4770186241</v>
          </cell>
          <cell r="E207">
            <v>0</v>
          </cell>
          <cell r="F207">
            <v>0</v>
          </cell>
          <cell r="G207">
            <v>0</v>
          </cell>
          <cell r="H207">
            <v>0</v>
          </cell>
          <cell r="I207">
            <v>0</v>
          </cell>
        </row>
        <row r="208">
          <cell r="A208">
            <v>191</v>
          </cell>
          <cell r="B208">
            <v>45276</v>
          </cell>
          <cell r="C208">
            <v>0</v>
          </cell>
          <cell r="D208">
            <v>1431843.4770186241</v>
          </cell>
          <cell r="E208">
            <v>0</v>
          </cell>
          <cell r="F208">
            <v>0</v>
          </cell>
          <cell r="G208">
            <v>0</v>
          </cell>
          <cell r="H208">
            <v>0</v>
          </cell>
          <cell r="I208">
            <v>0</v>
          </cell>
        </row>
        <row r="209">
          <cell r="A209">
            <v>192</v>
          </cell>
          <cell r="B209">
            <v>45307</v>
          </cell>
          <cell r="C209">
            <v>0</v>
          </cell>
          <cell r="D209">
            <v>1431843.4770186241</v>
          </cell>
          <cell r="E209">
            <v>0</v>
          </cell>
          <cell r="F209">
            <v>0</v>
          </cell>
          <cell r="G209">
            <v>0</v>
          </cell>
          <cell r="H209">
            <v>0</v>
          </cell>
          <cell r="I209">
            <v>0</v>
          </cell>
        </row>
        <row r="210">
          <cell r="A210">
            <v>193</v>
          </cell>
          <cell r="B210">
            <v>45338</v>
          </cell>
          <cell r="C210">
            <v>0</v>
          </cell>
          <cell r="D210">
            <v>1431843.4770186241</v>
          </cell>
          <cell r="E210">
            <v>0</v>
          </cell>
          <cell r="F210">
            <v>0</v>
          </cell>
          <cell r="G210">
            <v>0</v>
          </cell>
          <cell r="H210">
            <v>0</v>
          </cell>
          <cell r="I210">
            <v>0</v>
          </cell>
        </row>
        <row r="211">
          <cell r="A211">
            <v>194</v>
          </cell>
          <cell r="B211">
            <v>45367</v>
          </cell>
          <cell r="C211">
            <v>0</v>
          </cell>
          <cell r="D211">
            <v>1431843.4770186241</v>
          </cell>
          <cell r="E211">
            <v>0</v>
          </cell>
          <cell r="F211">
            <v>0</v>
          </cell>
          <cell r="G211">
            <v>0</v>
          </cell>
          <cell r="H211">
            <v>0</v>
          </cell>
          <cell r="I211">
            <v>0</v>
          </cell>
        </row>
        <row r="212">
          <cell r="A212">
            <v>195</v>
          </cell>
          <cell r="B212">
            <v>45398</v>
          </cell>
          <cell r="C212">
            <v>0</v>
          </cell>
          <cell r="D212">
            <v>1431843.4770186241</v>
          </cell>
          <cell r="E212">
            <v>0</v>
          </cell>
          <cell r="F212">
            <v>0</v>
          </cell>
          <cell r="G212">
            <v>0</v>
          </cell>
          <cell r="H212">
            <v>0</v>
          </cell>
          <cell r="I212">
            <v>0</v>
          </cell>
        </row>
        <row r="213">
          <cell r="A213">
            <v>196</v>
          </cell>
          <cell r="B213">
            <v>45428</v>
          </cell>
          <cell r="C213">
            <v>0</v>
          </cell>
          <cell r="D213">
            <v>1431843.4770186241</v>
          </cell>
          <cell r="E213">
            <v>0</v>
          </cell>
          <cell r="F213">
            <v>0</v>
          </cell>
          <cell r="G213">
            <v>0</v>
          </cell>
          <cell r="H213">
            <v>0</v>
          </cell>
          <cell r="I213">
            <v>0</v>
          </cell>
        </row>
        <row r="214">
          <cell r="A214">
            <v>197</v>
          </cell>
          <cell r="B214">
            <v>45459</v>
          </cell>
          <cell r="C214">
            <v>0</v>
          </cell>
          <cell r="D214">
            <v>1431843.4770186241</v>
          </cell>
          <cell r="E214">
            <v>0</v>
          </cell>
          <cell r="F214">
            <v>0</v>
          </cell>
          <cell r="G214">
            <v>0</v>
          </cell>
          <cell r="H214">
            <v>0</v>
          </cell>
          <cell r="I214">
            <v>0</v>
          </cell>
        </row>
        <row r="215">
          <cell r="A215">
            <v>198</v>
          </cell>
          <cell r="B215">
            <v>45489</v>
          </cell>
          <cell r="C215">
            <v>0</v>
          </cell>
          <cell r="D215">
            <v>1431843.4770186241</v>
          </cell>
          <cell r="E215">
            <v>0</v>
          </cell>
          <cell r="F215">
            <v>0</v>
          </cell>
          <cell r="G215">
            <v>0</v>
          </cell>
          <cell r="H215">
            <v>0</v>
          </cell>
          <cell r="I215">
            <v>0</v>
          </cell>
        </row>
        <row r="216">
          <cell r="A216">
            <v>199</v>
          </cell>
          <cell r="B216">
            <v>45520</v>
          </cell>
          <cell r="C216">
            <v>0</v>
          </cell>
          <cell r="D216">
            <v>1431843.4770186241</v>
          </cell>
          <cell r="E216">
            <v>0</v>
          </cell>
          <cell r="F216">
            <v>0</v>
          </cell>
          <cell r="G216">
            <v>0</v>
          </cell>
          <cell r="H216">
            <v>0</v>
          </cell>
          <cell r="I216">
            <v>0</v>
          </cell>
        </row>
        <row r="217">
          <cell r="A217">
            <v>200</v>
          </cell>
          <cell r="B217">
            <v>45551</v>
          </cell>
          <cell r="C217">
            <v>0</v>
          </cell>
          <cell r="D217">
            <v>1431843.4770186241</v>
          </cell>
          <cell r="E217">
            <v>0</v>
          </cell>
          <cell r="F217">
            <v>0</v>
          </cell>
          <cell r="G217">
            <v>0</v>
          </cell>
          <cell r="H217">
            <v>0</v>
          </cell>
          <cell r="I217">
            <v>0</v>
          </cell>
        </row>
        <row r="218">
          <cell r="A218">
            <v>201</v>
          </cell>
          <cell r="B218">
            <v>45581</v>
          </cell>
          <cell r="C218">
            <v>0</v>
          </cell>
          <cell r="D218">
            <v>1431843.4770186241</v>
          </cell>
          <cell r="E218">
            <v>0</v>
          </cell>
          <cell r="F218">
            <v>0</v>
          </cell>
          <cell r="G218">
            <v>0</v>
          </cell>
          <cell r="H218">
            <v>0</v>
          </cell>
          <cell r="I218">
            <v>0</v>
          </cell>
        </row>
        <row r="219">
          <cell r="A219">
            <v>202</v>
          </cell>
          <cell r="B219">
            <v>45612</v>
          </cell>
          <cell r="C219">
            <v>0</v>
          </cell>
          <cell r="D219">
            <v>1431843.4770186241</v>
          </cell>
          <cell r="E219">
            <v>0</v>
          </cell>
          <cell r="F219">
            <v>0</v>
          </cell>
          <cell r="G219">
            <v>0</v>
          </cell>
          <cell r="H219">
            <v>0</v>
          </cell>
          <cell r="I219">
            <v>0</v>
          </cell>
        </row>
        <row r="220">
          <cell r="A220">
            <v>203</v>
          </cell>
          <cell r="B220">
            <v>45642</v>
          </cell>
          <cell r="C220">
            <v>0</v>
          </cell>
          <cell r="D220">
            <v>1431843.4770186241</v>
          </cell>
          <cell r="E220">
            <v>0</v>
          </cell>
          <cell r="F220">
            <v>0</v>
          </cell>
          <cell r="G220">
            <v>0</v>
          </cell>
          <cell r="H220">
            <v>0</v>
          </cell>
          <cell r="I220">
            <v>0</v>
          </cell>
        </row>
        <row r="221">
          <cell r="A221">
            <v>204</v>
          </cell>
          <cell r="B221">
            <v>45673</v>
          </cell>
          <cell r="C221">
            <v>0</v>
          </cell>
          <cell r="D221">
            <v>1431843.4770186241</v>
          </cell>
          <cell r="E221">
            <v>0</v>
          </cell>
          <cell r="F221">
            <v>0</v>
          </cell>
          <cell r="G221">
            <v>0</v>
          </cell>
          <cell r="H221">
            <v>0</v>
          </cell>
          <cell r="I221">
            <v>0</v>
          </cell>
        </row>
        <row r="222">
          <cell r="A222">
            <v>205</v>
          </cell>
          <cell r="B222">
            <v>45704</v>
          </cell>
          <cell r="C222">
            <v>0</v>
          </cell>
          <cell r="D222">
            <v>1431843.4770186241</v>
          </cell>
          <cell r="E222">
            <v>0</v>
          </cell>
          <cell r="F222">
            <v>0</v>
          </cell>
          <cell r="G222">
            <v>0</v>
          </cell>
          <cell r="H222">
            <v>0</v>
          </cell>
          <cell r="I222">
            <v>0</v>
          </cell>
        </row>
        <row r="223">
          <cell r="A223">
            <v>206</v>
          </cell>
          <cell r="B223">
            <v>45732</v>
          </cell>
          <cell r="C223">
            <v>0</v>
          </cell>
          <cell r="D223">
            <v>1431843.4770186241</v>
          </cell>
          <cell r="E223">
            <v>0</v>
          </cell>
          <cell r="F223">
            <v>0</v>
          </cell>
          <cell r="G223">
            <v>0</v>
          </cell>
          <cell r="H223">
            <v>0</v>
          </cell>
          <cell r="I223">
            <v>0</v>
          </cell>
        </row>
        <row r="224">
          <cell r="A224">
            <v>207</v>
          </cell>
          <cell r="B224">
            <v>45763</v>
          </cell>
          <cell r="C224">
            <v>0</v>
          </cell>
          <cell r="D224">
            <v>1431843.4770186241</v>
          </cell>
          <cell r="E224">
            <v>0</v>
          </cell>
          <cell r="F224">
            <v>0</v>
          </cell>
          <cell r="G224">
            <v>0</v>
          </cell>
          <cell r="H224">
            <v>0</v>
          </cell>
          <cell r="I224">
            <v>0</v>
          </cell>
        </row>
        <row r="225">
          <cell r="A225">
            <v>208</v>
          </cell>
          <cell r="B225">
            <v>45793</v>
          </cell>
          <cell r="C225">
            <v>0</v>
          </cell>
          <cell r="D225">
            <v>1431843.4770186241</v>
          </cell>
          <cell r="E225">
            <v>0</v>
          </cell>
          <cell r="F225">
            <v>0</v>
          </cell>
          <cell r="G225">
            <v>0</v>
          </cell>
          <cell r="H225">
            <v>0</v>
          </cell>
          <cell r="I225">
            <v>0</v>
          </cell>
        </row>
        <row r="226">
          <cell r="A226">
            <v>209</v>
          </cell>
          <cell r="B226">
            <v>45824</v>
          </cell>
          <cell r="C226">
            <v>0</v>
          </cell>
          <cell r="D226">
            <v>1431843.4770186241</v>
          </cell>
          <cell r="E226">
            <v>0</v>
          </cell>
          <cell r="F226">
            <v>0</v>
          </cell>
          <cell r="G226">
            <v>0</v>
          </cell>
          <cell r="H226">
            <v>0</v>
          </cell>
          <cell r="I226">
            <v>0</v>
          </cell>
        </row>
        <row r="227">
          <cell r="A227">
            <v>210</v>
          </cell>
          <cell r="B227">
            <v>45854</v>
          </cell>
          <cell r="C227">
            <v>0</v>
          </cell>
          <cell r="D227">
            <v>1431843.4770186241</v>
          </cell>
          <cell r="E227">
            <v>0</v>
          </cell>
          <cell r="F227">
            <v>0</v>
          </cell>
          <cell r="G227">
            <v>0</v>
          </cell>
          <cell r="H227">
            <v>0</v>
          </cell>
          <cell r="I227">
            <v>0</v>
          </cell>
        </row>
        <row r="228">
          <cell r="A228">
            <v>211</v>
          </cell>
          <cell r="B228">
            <v>45885</v>
          </cell>
          <cell r="C228">
            <v>0</v>
          </cell>
          <cell r="D228">
            <v>1431843.4770186241</v>
          </cell>
          <cell r="E228">
            <v>0</v>
          </cell>
          <cell r="F228">
            <v>0</v>
          </cell>
          <cell r="G228">
            <v>0</v>
          </cell>
          <cell r="H228">
            <v>0</v>
          </cell>
          <cell r="I228">
            <v>0</v>
          </cell>
        </row>
        <row r="229">
          <cell r="A229">
            <v>212</v>
          </cell>
          <cell r="B229">
            <v>45916</v>
          </cell>
          <cell r="C229">
            <v>0</v>
          </cell>
          <cell r="D229">
            <v>1431843.4770186241</v>
          </cell>
          <cell r="E229">
            <v>0</v>
          </cell>
          <cell r="F229">
            <v>0</v>
          </cell>
          <cell r="G229">
            <v>0</v>
          </cell>
          <cell r="H229">
            <v>0</v>
          </cell>
          <cell r="I229">
            <v>0</v>
          </cell>
        </row>
        <row r="230">
          <cell r="A230">
            <v>213</v>
          </cell>
          <cell r="B230">
            <v>45946</v>
          </cell>
          <cell r="C230">
            <v>0</v>
          </cell>
          <cell r="D230">
            <v>1431843.4770186241</v>
          </cell>
          <cell r="E230">
            <v>0</v>
          </cell>
          <cell r="F230">
            <v>0</v>
          </cell>
          <cell r="G230">
            <v>0</v>
          </cell>
          <cell r="H230">
            <v>0</v>
          </cell>
          <cell r="I230">
            <v>0</v>
          </cell>
        </row>
        <row r="231">
          <cell r="A231">
            <v>214</v>
          </cell>
          <cell r="B231">
            <v>45977</v>
          </cell>
          <cell r="C231">
            <v>0</v>
          </cell>
          <cell r="D231">
            <v>1431843.4770186241</v>
          </cell>
          <cell r="E231">
            <v>0</v>
          </cell>
          <cell r="F231">
            <v>0</v>
          </cell>
          <cell r="G231">
            <v>0</v>
          </cell>
          <cell r="H231">
            <v>0</v>
          </cell>
          <cell r="I231">
            <v>0</v>
          </cell>
        </row>
        <row r="232">
          <cell r="A232">
            <v>215</v>
          </cell>
          <cell r="B232">
            <v>46007</v>
          </cell>
          <cell r="C232">
            <v>0</v>
          </cell>
          <cell r="D232">
            <v>1431843.4770186241</v>
          </cell>
          <cell r="E232">
            <v>0</v>
          </cell>
          <cell r="F232">
            <v>0</v>
          </cell>
          <cell r="G232">
            <v>0</v>
          </cell>
          <cell r="H232">
            <v>0</v>
          </cell>
          <cell r="I232">
            <v>0</v>
          </cell>
        </row>
        <row r="233">
          <cell r="A233">
            <v>216</v>
          </cell>
          <cell r="B233">
            <v>46038</v>
          </cell>
          <cell r="C233">
            <v>0</v>
          </cell>
          <cell r="D233">
            <v>1431843.4770186241</v>
          </cell>
          <cell r="E233">
            <v>0</v>
          </cell>
          <cell r="F233">
            <v>0</v>
          </cell>
          <cell r="G233">
            <v>0</v>
          </cell>
          <cell r="H233">
            <v>0</v>
          </cell>
          <cell r="I233">
            <v>0</v>
          </cell>
        </row>
        <row r="234">
          <cell r="A234">
            <v>217</v>
          </cell>
          <cell r="B234">
            <v>46069</v>
          </cell>
          <cell r="C234">
            <v>0</v>
          </cell>
          <cell r="D234">
            <v>1431843.4770186241</v>
          </cell>
          <cell r="E234">
            <v>0</v>
          </cell>
          <cell r="F234">
            <v>0</v>
          </cell>
          <cell r="G234">
            <v>0</v>
          </cell>
          <cell r="H234">
            <v>0</v>
          </cell>
          <cell r="I234">
            <v>0</v>
          </cell>
        </row>
        <row r="235">
          <cell r="A235">
            <v>218</v>
          </cell>
          <cell r="B235">
            <v>46097</v>
          </cell>
          <cell r="C235">
            <v>0</v>
          </cell>
          <cell r="D235">
            <v>1431843.4770186241</v>
          </cell>
          <cell r="E235">
            <v>0</v>
          </cell>
          <cell r="F235">
            <v>0</v>
          </cell>
          <cell r="G235">
            <v>0</v>
          </cell>
          <cell r="H235">
            <v>0</v>
          </cell>
          <cell r="I235">
            <v>0</v>
          </cell>
        </row>
        <row r="236">
          <cell r="A236">
            <v>219</v>
          </cell>
          <cell r="B236">
            <v>46128</v>
          </cell>
          <cell r="C236">
            <v>0</v>
          </cell>
          <cell r="D236">
            <v>1431843.4770186241</v>
          </cell>
          <cell r="E236">
            <v>0</v>
          </cell>
          <cell r="F236">
            <v>0</v>
          </cell>
          <cell r="G236">
            <v>0</v>
          </cell>
          <cell r="H236">
            <v>0</v>
          </cell>
          <cell r="I236">
            <v>0</v>
          </cell>
        </row>
        <row r="237">
          <cell r="A237">
            <v>220</v>
          </cell>
          <cell r="B237">
            <v>46158</v>
          </cell>
          <cell r="C237">
            <v>0</v>
          </cell>
          <cell r="D237">
            <v>1431843.4770186241</v>
          </cell>
          <cell r="E237">
            <v>0</v>
          </cell>
          <cell r="F237">
            <v>0</v>
          </cell>
          <cell r="G237">
            <v>0</v>
          </cell>
          <cell r="H237">
            <v>0</v>
          </cell>
          <cell r="I237">
            <v>0</v>
          </cell>
        </row>
        <row r="238">
          <cell r="A238">
            <v>221</v>
          </cell>
          <cell r="B238">
            <v>46189</v>
          </cell>
          <cell r="C238">
            <v>0</v>
          </cell>
          <cell r="D238">
            <v>1431843.4770186241</v>
          </cell>
          <cell r="E238">
            <v>0</v>
          </cell>
          <cell r="F238">
            <v>0</v>
          </cell>
          <cell r="G238">
            <v>0</v>
          </cell>
          <cell r="H238">
            <v>0</v>
          </cell>
          <cell r="I238">
            <v>0</v>
          </cell>
        </row>
        <row r="239">
          <cell r="A239">
            <v>222</v>
          </cell>
          <cell r="B239">
            <v>46219</v>
          </cell>
          <cell r="C239">
            <v>0</v>
          </cell>
          <cell r="D239">
            <v>1431843.4770186241</v>
          </cell>
          <cell r="E239">
            <v>0</v>
          </cell>
          <cell r="F239">
            <v>0</v>
          </cell>
          <cell r="G239">
            <v>0</v>
          </cell>
          <cell r="H239">
            <v>0</v>
          </cell>
          <cell r="I239">
            <v>0</v>
          </cell>
        </row>
        <row r="240">
          <cell r="A240">
            <v>223</v>
          </cell>
          <cell r="B240">
            <v>46250</v>
          </cell>
          <cell r="C240">
            <v>0</v>
          </cell>
          <cell r="D240">
            <v>1431843.4770186241</v>
          </cell>
          <cell r="E240">
            <v>0</v>
          </cell>
          <cell r="F240">
            <v>0</v>
          </cell>
          <cell r="G240">
            <v>0</v>
          </cell>
          <cell r="H240">
            <v>0</v>
          </cell>
          <cell r="I240">
            <v>0</v>
          </cell>
        </row>
        <row r="241">
          <cell r="A241">
            <v>224</v>
          </cell>
          <cell r="B241">
            <v>46281</v>
          </cell>
          <cell r="C241">
            <v>0</v>
          </cell>
          <cell r="D241">
            <v>1431843.4770186241</v>
          </cell>
          <cell r="E241">
            <v>0</v>
          </cell>
          <cell r="F241">
            <v>0</v>
          </cell>
          <cell r="G241">
            <v>0</v>
          </cell>
          <cell r="H241">
            <v>0</v>
          </cell>
          <cell r="I241">
            <v>0</v>
          </cell>
        </row>
        <row r="242">
          <cell r="A242">
            <v>225</v>
          </cell>
          <cell r="B242">
            <v>46311</v>
          </cell>
          <cell r="C242">
            <v>0</v>
          </cell>
          <cell r="D242">
            <v>1431843.4770186241</v>
          </cell>
          <cell r="E242">
            <v>0</v>
          </cell>
          <cell r="F242">
            <v>0</v>
          </cell>
          <cell r="G242">
            <v>0</v>
          </cell>
          <cell r="H242">
            <v>0</v>
          </cell>
          <cell r="I242">
            <v>0</v>
          </cell>
        </row>
        <row r="243">
          <cell r="A243">
            <v>226</v>
          </cell>
          <cell r="B243">
            <v>46342</v>
          </cell>
          <cell r="C243">
            <v>0</v>
          </cell>
          <cell r="D243">
            <v>1431843.4770186241</v>
          </cell>
          <cell r="E243">
            <v>0</v>
          </cell>
          <cell r="F243">
            <v>0</v>
          </cell>
          <cell r="G243">
            <v>0</v>
          </cell>
          <cell r="H243">
            <v>0</v>
          </cell>
          <cell r="I243">
            <v>0</v>
          </cell>
        </row>
        <row r="244">
          <cell r="A244">
            <v>227</v>
          </cell>
          <cell r="B244">
            <v>46372</v>
          </cell>
          <cell r="C244">
            <v>0</v>
          </cell>
          <cell r="D244">
            <v>1431843.4770186241</v>
          </cell>
          <cell r="E244">
            <v>0</v>
          </cell>
          <cell r="F244">
            <v>0</v>
          </cell>
          <cell r="G244">
            <v>0</v>
          </cell>
          <cell r="H244">
            <v>0</v>
          </cell>
          <cell r="I244">
            <v>0</v>
          </cell>
        </row>
        <row r="245">
          <cell r="A245">
            <v>228</v>
          </cell>
          <cell r="B245">
            <v>46403</v>
          </cell>
          <cell r="C245">
            <v>0</v>
          </cell>
          <cell r="D245">
            <v>1431843.4770186241</v>
          </cell>
          <cell r="E245">
            <v>0</v>
          </cell>
          <cell r="F245">
            <v>0</v>
          </cell>
          <cell r="G245">
            <v>0</v>
          </cell>
          <cell r="H245">
            <v>0</v>
          </cell>
          <cell r="I245">
            <v>0</v>
          </cell>
        </row>
        <row r="246">
          <cell r="A246">
            <v>229</v>
          </cell>
          <cell r="B246">
            <v>46434</v>
          </cell>
          <cell r="C246">
            <v>0</v>
          </cell>
          <cell r="D246">
            <v>1431843.4770186241</v>
          </cell>
          <cell r="E246">
            <v>0</v>
          </cell>
          <cell r="F246">
            <v>0</v>
          </cell>
          <cell r="G246">
            <v>0</v>
          </cell>
          <cell r="H246">
            <v>0</v>
          </cell>
          <cell r="I246">
            <v>0</v>
          </cell>
        </row>
        <row r="247">
          <cell r="A247">
            <v>230</v>
          </cell>
          <cell r="B247">
            <v>46462</v>
          </cell>
          <cell r="C247">
            <v>0</v>
          </cell>
          <cell r="D247">
            <v>1431843.4770186241</v>
          </cell>
          <cell r="E247">
            <v>0</v>
          </cell>
          <cell r="F247">
            <v>0</v>
          </cell>
          <cell r="G247">
            <v>0</v>
          </cell>
          <cell r="H247">
            <v>0</v>
          </cell>
          <cell r="I247">
            <v>0</v>
          </cell>
        </row>
        <row r="248">
          <cell r="A248">
            <v>231</v>
          </cell>
          <cell r="B248">
            <v>46493</v>
          </cell>
          <cell r="C248">
            <v>0</v>
          </cell>
          <cell r="D248">
            <v>1431843.4770186241</v>
          </cell>
          <cell r="E248">
            <v>0</v>
          </cell>
          <cell r="F248">
            <v>0</v>
          </cell>
          <cell r="G248">
            <v>0</v>
          </cell>
          <cell r="H248">
            <v>0</v>
          </cell>
          <cell r="I248">
            <v>0</v>
          </cell>
        </row>
        <row r="249">
          <cell r="A249">
            <v>232</v>
          </cell>
          <cell r="B249">
            <v>46523</v>
          </cell>
          <cell r="C249">
            <v>0</v>
          </cell>
          <cell r="D249">
            <v>1431843.4770186241</v>
          </cell>
          <cell r="E249">
            <v>0</v>
          </cell>
          <cell r="F249">
            <v>0</v>
          </cell>
          <cell r="G249">
            <v>0</v>
          </cell>
          <cell r="H249">
            <v>0</v>
          </cell>
          <cell r="I249">
            <v>0</v>
          </cell>
        </row>
        <row r="250">
          <cell r="A250">
            <v>233</v>
          </cell>
          <cell r="B250">
            <v>46554</v>
          </cell>
          <cell r="C250">
            <v>0</v>
          </cell>
          <cell r="D250">
            <v>1431843.4770186241</v>
          </cell>
          <cell r="E250">
            <v>0</v>
          </cell>
          <cell r="F250">
            <v>0</v>
          </cell>
          <cell r="G250">
            <v>0</v>
          </cell>
          <cell r="H250">
            <v>0</v>
          </cell>
          <cell r="I250">
            <v>0</v>
          </cell>
        </row>
        <row r="251">
          <cell r="A251">
            <v>234</v>
          </cell>
          <cell r="B251">
            <v>46584</v>
          </cell>
          <cell r="C251">
            <v>0</v>
          </cell>
          <cell r="D251">
            <v>1431843.4770186241</v>
          </cell>
          <cell r="E251">
            <v>0</v>
          </cell>
          <cell r="F251">
            <v>0</v>
          </cell>
          <cell r="G251">
            <v>0</v>
          </cell>
          <cell r="H251">
            <v>0</v>
          </cell>
          <cell r="I251">
            <v>0</v>
          </cell>
        </row>
        <row r="252">
          <cell r="A252">
            <v>235</v>
          </cell>
          <cell r="B252">
            <v>46615</v>
          </cell>
          <cell r="C252">
            <v>0</v>
          </cell>
          <cell r="D252">
            <v>1431843.4770186241</v>
          </cell>
          <cell r="E252">
            <v>0</v>
          </cell>
          <cell r="F252">
            <v>0</v>
          </cell>
          <cell r="G252">
            <v>0</v>
          </cell>
          <cell r="H252">
            <v>0</v>
          </cell>
          <cell r="I252">
            <v>0</v>
          </cell>
        </row>
        <row r="253">
          <cell r="A253">
            <v>236</v>
          </cell>
          <cell r="B253">
            <v>46646</v>
          </cell>
          <cell r="C253">
            <v>0</v>
          </cell>
          <cell r="D253">
            <v>1431843.4770186241</v>
          </cell>
          <cell r="E253">
            <v>0</v>
          </cell>
          <cell r="F253">
            <v>0</v>
          </cell>
          <cell r="G253">
            <v>0</v>
          </cell>
          <cell r="H253">
            <v>0</v>
          </cell>
          <cell r="I253">
            <v>0</v>
          </cell>
        </row>
        <row r="254">
          <cell r="A254">
            <v>237</v>
          </cell>
          <cell r="B254">
            <v>46676</v>
          </cell>
          <cell r="C254">
            <v>0</v>
          </cell>
          <cell r="D254">
            <v>1431843.4770186241</v>
          </cell>
          <cell r="E254">
            <v>0</v>
          </cell>
          <cell r="F254">
            <v>0</v>
          </cell>
          <cell r="G254">
            <v>0</v>
          </cell>
          <cell r="H254">
            <v>0</v>
          </cell>
          <cell r="I254">
            <v>0</v>
          </cell>
        </row>
        <row r="255">
          <cell r="A255">
            <v>238</v>
          </cell>
          <cell r="B255">
            <v>46707</v>
          </cell>
          <cell r="C255">
            <v>0</v>
          </cell>
          <cell r="D255">
            <v>1431843.4770186241</v>
          </cell>
          <cell r="E255">
            <v>0</v>
          </cell>
          <cell r="F255">
            <v>0</v>
          </cell>
          <cell r="G255">
            <v>0</v>
          </cell>
          <cell r="H255">
            <v>0</v>
          </cell>
          <cell r="I255">
            <v>0</v>
          </cell>
        </row>
        <row r="256">
          <cell r="A256">
            <v>239</v>
          </cell>
          <cell r="B256">
            <v>46737</v>
          </cell>
          <cell r="C256">
            <v>0</v>
          </cell>
          <cell r="D256">
            <v>1431843.4770186241</v>
          </cell>
          <cell r="E256">
            <v>0</v>
          </cell>
          <cell r="F256">
            <v>0</v>
          </cell>
          <cell r="G256">
            <v>0</v>
          </cell>
          <cell r="H256">
            <v>0</v>
          </cell>
          <cell r="I256">
            <v>0</v>
          </cell>
        </row>
        <row r="257">
          <cell r="A257">
            <v>240</v>
          </cell>
          <cell r="B257">
            <v>46768</v>
          </cell>
          <cell r="C257">
            <v>0</v>
          </cell>
          <cell r="D257">
            <v>1431843.4770186241</v>
          </cell>
          <cell r="E257">
            <v>0</v>
          </cell>
          <cell r="F257">
            <v>0</v>
          </cell>
          <cell r="G257">
            <v>0</v>
          </cell>
          <cell r="H257">
            <v>0</v>
          </cell>
          <cell r="I257">
            <v>0</v>
          </cell>
        </row>
        <row r="258">
          <cell r="A258">
            <v>241</v>
          </cell>
          <cell r="B258">
            <v>46799</v>
          </cell>
          <cell r="C258">
            <v>0</v>
          </cell>
          <cell r="D258">
            <v>1431843.4770186241</v>
          </cell>
          <cell r="E258">
            <v>0</v>
          </cell>
          <cell r="F258">
            <v>0</v>
          </cell>
          <cell r="G258">
            <v>0</v>
          </cell>
          <cell r="H258">
            <v>0</v>
          </cell>
          <cell r="I258">
            <v>0</v>
          </cell>
        </row>
        <row r="259">
          <cell r="A259">
            <v>242</v>
          </cell>
          <cell r="B259">
            <v>46828</v>
          </cell>
          <cell r="C259">
            <v>0</v>
          </cell>
          <cell r="D259">
            <v>1431843.4770186241</v>
          </cell>
          <cell r="E259">
            <v>0</v>
          </cell>
          <cell r="F259">
            <v>0</v>
          </cell>
          <cell r="G259">
            <v>0</v>
          </cell>
          <cell r="H259">
            <v>0</v>
          </cell>
          <cell r="I259">
            <v>0</v>
          </cell>
        </row>
        <row r="260">
          <cell r="A260">
            <v>243</v>
          </cell>
          <cell r="B260">
            <v>46859</v>
          </cell>
          <cell r="C260">
            <v>0</v>
          </cell>
          <cell r="D260">
            <v>1431843.4770186241</v>
          </cell>
          <cell r="E260">
            <v>0</v>
          </cell>
          <cell r="F260">
            <v>0</v>
          </cell>
          <cell r="G260">
            <v>0</v>
          </cell>
          <cell r="H260">
            <v>0</v>
          </cell>
          <cell r="I260">
            <v>0</v>
          </cell>
        </row>
        <row r="261">
          <cell r="A261">
            <v>244</v>
          </cell>
          <cell r="B261">
            <v>46889</v>
          </cell>
          <cell r="C261">
            <v>0</v>
          </cell>
          <cell r="D261">
            <v>1431843.4770186241</v>
          </cell>
          <cell r="E261">
            <v>0</v>
          </cell>
          <cell r="F261">
            <v>0</v>
          </cell>
          <cell r="G261">
            <v>0</v>
          </cell>
          <cell r="H261">
            <v>0</v>
          </cell>
          <cell r="I261">
            <v>0</v>
          </cell>
        </row>
        <row r="262">
          <cell r="A262">
            <v>245</v>
          </cell>
          <cell r="B262">
            <v>46920</v>
          </cell>
          <cell r="C262">
            <v>0</v>
          </cell>
          <cell r="D262">
            <v>1431843.4770186241</v>
          </cell>
          <cell r="E262">
            <v>0</v>
          </cell>
          <cell r="F262">
            <v>0</v>
          </cell>
          <cell r="G262">
            <v>0</v>
          </cell>
          <cell r="H262">
            <v>0</v>
          </cell>
          <cell r="I262">
            <v>0</v>
          </cell>
        </row>
        <row r="263">
          <cell r="A263">
            <v>246</v>
          </cell>
          <cell r="B263">
            <v>46950</v>
          </cell>
          <cell r="C263">
            <v>0</v>
          </cell>
          <cell r="D263">
            <v>1431843.4770186241</v>
          </cell>
          <cell r="E263">
            <v>0</v>
          </cell>
          <cell r="F263">
            <v>0</v>
          </cell>
          <cell r="G263">
            <v>0</v>
          </cell>
          <cell r="H263">
            <v>0</v>
          </cell>
          <cell r="I263">
            <v>0</v>
          </cell>
        </row>
        <row r="264">
          <cell r="A264">
            <v>247</v>
          </cell>
          <cell r="B264">
            <v>46981</v>
          </cell>
          <cell r="C264">
            <v>0</v>
          </cell>
          <cell r="D264">
            <v>1431843.4770186241</v>
          </cell>
          <cell r="E264">
            <v>0</v>
          </cell>
          <cell r="F264">
            <v>0</v>
          </cell>
          <cell r="G264">
            <v>0</v>
          </cell>
          <cell r="H264">
            <v>0</v>
          </cell>
          <cell r="I264">
            <v>0</v>
          </cell>
        </row>
        <row r="265">
          <cell r="A265">
            <v>248</v>
          </cell>
          <cell r="B265">
            <v>47012</v>
          </cell>
          <cell r="C265">
            <v>0</v>
          </cell>
          <cell r="D265">
            <v>1431843.4770186241</v>
          </cell>
          <cell r="E265">
            <v>0</v>
          </cell>
          <cell r="F265">
            <v>0</v>
          </cell>
          <cell r="G265">
            <v>0</v>
          </cell>
          <cell r="H265">
            <v>0</v>
          </cell>
          <cell r="I265">
            <v>0</v>
          </cell>
        </row>
        <row r="266">
          <cell r="A266">
            <v>249</v>
          </cell>
          <cell r="B266">
            <v>47042</v>
          </cell>
          <cell r="C266">
            <v>0</v>
          </cell>
          <cell r="D266">
            <v>1431843.4770186241</v>
          </cell>
          <cell r="E266">
            <v>0</v>
          </cell>
          <cell r="F266">
            <v>0</v>
          </cell>
          <cell r="G266">
            <v>0</v>
          </cell>
          <cell r="H266">
            <v>0</v>
          </cell>
          <cell r="I266">
            <v>0</v>
          </cell>
        </row>
        <row r="267">
          <cell r="A267">
            <v>250</v>
          </cell>
          <cell r="B267">
            <v>47073</v>
          </cell>
          <cell r="C267">
            <v>0</v>
          </cell>
          <cell r="D267">
            <v>1431843.4770186241</v>
          </cell>
          <cell r="E267">
            <v>0</v>
          </cell>
          <cell r="F267">
            <v>0</v>
          </cell>
          <cell r="G267">
            <v>0</v>
          </cell>
          <cell r="H267">
            <v>0</v>
          </cell>
          <cell r="I267">
            <v>0</v>
          </cell>
        </row>
        <row r="268">
          <cell r="A268">
            <v>251</v>
          </cell>
          <cell r="B268">
            <v>47103</v>
          </cell>
          <cell r="C268">
            <v>0</v>
          </cell>
          <cell r="D268">
            <v>1431843.4770186241</v>
          </cell>
          <cell r="E268">
            <v>0</v>
          </cell>
          <cell r="F268">
            <v>0</v>
          </cell>
          <cell r="G268">
            <v>0</v>
          </cell>
          <cell r="H268">
            <v>0</v>
          </cell>
          <cell r="I268">
            <v>0</v>
          </cell>
        </row>
        <row r="269">
          <cell r="A269">
            <v>252</v>
          </cell>
          <cell r="B269">
            <v>47134</v>
          </cell>
          <cell r="C269">
            <v>0</v>
          </cell>
          <cell r="D269">
            <v>1431843.4770186241</v>
          </cell>
          <cell r="E269">
            <v>0</v>
          </cell>
          <cell r="F269">
            <v>0</v>
          </cell>
          <cell r="G269">
            <v>0</v>
          </cell>
          <cell r="H269">
            <v>0</v>
          </cell>
          <cell r="I269">
            <v>0</v>
          </cell>
        </row>
        <row r="270">
          <cell r="A270">
            <v>253</v>
          </cell>
          <cell r="B270">
            <v>47165</v>
          </cell>
          <cell r="C270">
            <v>0</v>
          </cell>
          <cell r="D270">
            <v>1431843.4770186241</v>
          </cell>
          <cell r="E270">
            <v>0</v>
          </cell>
          <cell r="F270">
            <v>0</v>
          </cell>
          <cell r="G270">
            <v>0</v>
          </cell>
          <cell r="H270">
            <v>0</v>
          </cell>
          <cell r="I270">
            <v>0</v>
          </cell>
        </row>
        <row r="271">
          <cell r="A271">
            <v>254</v>
          </cell>
          <cell r="B271">
            <v>47193</v>
          </cell>
          <cell r="C271">
            <v>0</v>
          </cell>
          <cell r="D271">
            <v>1431843.4770186241</v>
          </cell>
          <cell r="E271">
            <v>0</v>
          </cell>
          <cell r="F271">
            <v>0</v>
          </cell>
          <cell r="G271">
            <v>0</v>
          </cell>
          <cell r="H271">
            <v>0</v>
          </cell>
          <cell r="I271">
            <v>0</v>
          </cell>
        </row>
        <row r="272">
          <cell r="A272">
            <v>255</v>
          </cell>
          <cell r="B272">
            <v>47224</v>
          </cell>
          <cell r="C272">
            <v>0</v>
          </cell>
          <cell r="D272">
            <v>1431843.4770186241</v>
          </cell>
          <cell r="E272">
            <v>0</v>
          </cell>
          <cell r="F272">
            <v>0</v>
          </cell>
          <cell r="G272">
            <v>0</v>
          </cell>
          <cell r="H272">
            <v>0</v>
          </cell>
          <cell r="I272">
            <v>0</v>
          </cell>
        </row>
        <row r="273">
          <cell r="A273">
            <v>256</v>
          </cell>
          <cell r="B273">
            <v>47254</v>
          </cell>
          <cell r="C273">
            <v>0</v>
          </cell>
          <cell r="D273">
            <v>1431843.4770186241</v>
          </cell>
          <cell r="E273">
            <v>0</v>
          </cell>
          <cell r="F273">
            <v>0</v>
          </cell>
          <cell r="G273">
            <v>0</v>
          </cell>
          <cell r="H273">
            <v>0</v>
          </cell>
          <cell r="I273">
            <v>0</v>
          </cell>
        </row>
        <row r="274">
          <cell r="A274">
            <v>257</v>
          </cell>
          <cell r="B274">
            <v>47285</v>
          </cell>
          <cell r="C274">
            <v>0</v>
          </cell>
          <cell r="D274">
            <v>1431843.4770186241</v>
          </cell>
          <cell r="E274">
            <v>0</v>
          </cell>
          <cell r="F274">
            <v>0</v>
          </cell>
          <cell r="G274">
            <v>0</v>
          </cell>
          <cell r="H274">
            <v>0</v>
          </cell>
          <cell r="I274">
            <v>0</v>
          </cell>
        </row>
        <row r="275">
          <cell r="A275">
            <v>258</v>
          </cell>
          <cell r="B275">
            <v>47315</v>
          </cell>
          <cell r="C275">
            <v>0</v>
          </cell>
          <cell r="D275">
            <v>1431843.4770186241</v>
          </cell>
          <cell r="E275">
            <v>0</v>
          </cell>
          <cell r="F275">
            <v>0</v>
          </cell>
          <cell r="G275">
            <v>0</v>
          </cell>
          <cell r="H275">
            <v>0</v>
          </cell>
          <cell r="I275">
            <v>0</v>
          </cell>
        </row>
        <row r="276">
          <cell r="A276">
            <v>259</v>
          </cell>
          <cell r="B276">
            <v>47346</v>
          </cell>
          <cell r="C276">
            <v>0</v>
          </cell>
          <cell r="D276">
            <v>1431843.4770186241</v>
          </cell>
          <cell r="E276">
            <v>0</v>
          </cell>
          <cell r="F276">
            <v>0</v>
          </cell>
          <cell r="G276">
            <v>0</v>
          </cell>
          <cell r="H276">
            <v>0</v>
          </cell>
          <cell r="I276">
            <v>0</v>
          </cell>
        </row>
        <row r="277">
          <cell r="A277">
            <v>260</v>
          </cell>
          <cell r="B277">
            <v>47377</v>
          </cell>
          <cell r="C277">
            <v>0</v>
          </cell>
          <cell r="D277">
            <v>1431843.4770186241</v>
          </cell>
          <cell r="E277">
            <v>0</v>
          </cell>
          <cell r="F277">
            <v>0</v>
          </cell>
          <cell r="G277">
            <v>0</v>
          </cell>
          <cell r="H277">
            <v>0</v>
          </cell>
          <cell r="I277">
            <v>0</v>
          </cell>
        </row>
        <row r="278">
          <cell r="A278">
            <v>261</v>
          </cell>
          <cell r="B278">
            <v>47407</v>
          </cell>
          <cell r="C278">
            <v>0</v>
          </cell>
          <cell r="D278">
            <v>1431843.4770186241</v>
          </cell>
          <cell r="E278">
            <v>0</v>
          </cell>
          <cell r="F278">
            <v>0</v>
          </cell>
          <cell r="G278">
            <v>0</v>
          </cell>
          <cell r="H278">
            <v>0</v>
          </cell>
          <cell r="I278">
            <v>0</v>
          </cell>
        </row>
        <row r="279">
          <cell r="A279">
            <v>262</v>
          </cell>
          <cell r="B279">
            <v>47438</v>
          </cell>
          <cell r="C279">
            <v>0</v>
          </cell>
          <cell r="D279">
            <v>1431843.4770186241</v>
          </cell>
          <cell r="E279">
            <v>0</v>
          </cell>
          <cell r="F279">
            <v>0</v>
          </cell>
          <cell r="G279">
            <v>0</v>
          </cell>
          <cell r="H279">
            <v>0</v>
          </cell>
          <cell r="I279">
            <v>0</v>
          </cell>
        </row>
        <row r="280">
          <cell r="A280">
            <v>263</v>
          </cell>
          <cell r="B280">
            <v>47468</v>
          </cell>
          <cell r="C280">
            <v>0</v>
          </cell>
          <cell r="D280">
            <v>1431843.4770186241</v>
          </cell>
          <cell r="E280">
            <v>0</v>
          </cell>
          <cell r="F280">
            <v>0</v>
          </cell>
          <cell r="G280">
            <v>0</v>
          </cell>
          <cell r="H280">
            <v>0</v>
          </cell>
          <cell r="I280">
            <v>0</v>
          </cell>
        </row>
        <row r="281">
          <cell r="A281">
            <v>264</v>
          </cell>
          <cell r="B281">
            <v>47499</v>
          </cell>
          <cell r="C281">
            <v>0</v>
          </cell>
          <cell r="D281">
            <v>1431843.4770186241</v>
          </cell>
          <cell r="E281">
            <v>0</v>
          </cell>
          <cell r="F281">
            <v>0</v>
          </cell>
          <cell r="G281">
            <v>0</v>
          </cell>
          <cell r="H281">
            <v>0</v>
          </cell>
          <cell r="I281">
            <v>0</v>
          </cell>
        </row>
        <row r="282">
          <cell r="A282">
            <v>265</v>
          </cell>
          <cell r="B282">
            <v>47530</v>
          </cell>
          <cell r="C282">
            <v>0</v>
          </cell>
          <cell r="D282">
            <v>1431843.4770186241</v>
          </cell>
          <cell r="E282">
            <v>0</v>
          </cell>
          <cell r="F282">
            <v>0</v>
          </cell>
          <cell r="G282">
            <v>0</v>
          </cell>
          <cell r="H282">
            <v>0</v>
          </cell>
          <cell r="I282">
            <v>0</v>
          </cell>
        </row>
        <row r="283">
          <cell r="A283">
            <v>266</v>
          </cell>
          <cell r="B283">
            <v>47558</v>
          </cell>
          <cell r="C283">
            <v>0</v>
          </cell>
          <cell r="D283">
            <v>1431843.4770186241</v>
          </cell>
          <cell r="E283">
            <v>0</v>
          </cell>
          <cell r="F283">
            <v>0</v>
          </cell>
          <cell r="G283">
            <v>0</v>
          </cell>
          <cell r="H283">
            <v>0</v>
          </cell>
          <cell r="I283">
            <v>0</v>
          </cell>
        </row>
        <row r="284">
          <cell r="A284">
            <v>267</v>
          </cell>
          <cell r="B284">
            <v>47589</v>
          </cell>
          <cell r="C284">
            <v>0</v>
          </cell>
          <cell r="D284">
            <v>1431843.4770186241</v>
          </cell>
          <cell r="E284">
            <v>0</v>
          </cell>
          <cell r="F284">
            <v>0</v>
          </cell>
          <cell r="G284">
            <v>0</v>
          </cell>
          <cell r="H284">
            <v>0</v>
          </cell>
          <cell r="I284">
            <v>0</v>
          </cell>
        </row>
        <row r="285">
          <cell r="A285">
            <v>268</v>
          </cell>
          <cell r="B285">
            <v>47619</v>
          </cell>
          <cell r="C285">
            <v>0</v>
          </cell>
          <cell r="D285">
            <v>1431843.4770186241</v>
          </cell>
          <cell r="E285">
            <v>0</v>
          </cell>
          <cell r="F285">
            <v>0</v>
          </cell>
          <cell r="G285">
            <v>0</v>
          </cell>
          <cell r="H285">
            <v>0</v>
          </cell>
          <cell r="I285">
            <v>0</v>
          </cell>
        </row>
        <row r="286">
          <cell r="A286">
            <v>269</v>
          </cell>
          <cell r="B286">
            <v>47650</v>
          </cell>
          <cell r="C286">
            <v>0</v>
          </cell>
          <cell r="D286">
            <v>1431843.4770186241</v>
          </cell>
          <cell r="E286">
            <v>0</v>
          </cell>
          <cell r="F286">
            <v>0</v>
          </cell>
          <cell r="G286">
            <v>0</v>
          </cell>
          <cell r="H286">
            <v>0</v>
          </cell>
          <cell r="I286">
            <v>0</v>
          </cell>
        </row>
        <row r="287">
          <cell r="A287">
            <v>270</v>
          </cell>
          <cell r="B287">
            <v>47680</v>
          </cell>
          <cell r="C287">
            <v>0</v>
          </cell>
          <cell r="D287">
            <v>1431843.4770186241</v>
          </cell>
          <cell r="E287">
            <v>0</v>
          </cell>
          <cell r="F287">
            <v>0</v>
          </cell>
          <cell r="G287">
            <v>0</v>
          </cell>
          <cell r="H287">
            <v>0</v>
          </cell>
          <cell r="I287">
            <v>0</v>
          </cell>
        </row>
        <row r="288">
          <cell r="A288">
            <v>271</v>
          </cell>
          <cell r="B288">
            <v>47711</v>
          </cell>
          <cell r="C288">
            <v>0</v>
          </cell>
          <cell r="D288">
            <v>1431843.4770186241</v>
          </cell>
          <cell r="E288">
            <v>0</v>
          </cell>
          <cell r="F288">
            <v>0</v>
          </cell>
          <cell r="G288">
            <v>0</v>
          </cell>
          <cell r="H288">
            <v>0</v>
          </cell>
          <cell r="I288">
            <v>0</v>
          </cell>
        </row>
        <row r="289">
          <cell r="A289">
            <v>272</v>
          </cell>
          <cell r="B289">
            <v>47742</v>
          </cell>
          <cell r="C289">
            <v>0</v>
          </cell>
          <cell r="D289">
            <v>1431843.4770186241</v>
          </cell>
          <cell r="E289">
            <v>0</v>
          </cell>
          <cell r="F289">
            <v>0</v>
          </cell>
          <cell r="G289">
            <v>0</v>
          </cell>
          <cell r="H289">
            <v>0</v>
          </cell>
          <cell r="I289">
            <v>0</v>
          </cell>
        </row>
        <row r="290">
          <cell r="A290">
            <v>273</v>
          </cell>
          <cell r="B290">
            <v>47772</v>
          </cell>
          <cell r="C290">
            <v>0</v>
          </cell>
          <cell r="D290">
            <v>1431843.4770186241</v>
          </cell>
          <cell r="E290">
            <v>0</v>
          </cell>
          <cell r="F290">
            <v>0</v>
          </cell>
          <cell r="G290">
            <v>0</v>
          </cell>
          <cell r="H290">
            <v>0</v>
          </cell>
          <cell r="I290">
            <v>0</v>
          </cell>
        </row>
        <row r="291">
          <cell r="A291">
            <v>274</v>
          </cell>
          <cell r="B291">
            <v>47803</v>
          </cell>
          <cell r="C291">
            <v>0</v>
          </cell>
          <cell r="D291">
            <v>1431843.4770186241</v>
          </cell>
          <cell r="E291">
            <v>0</v>
          </cell>
          <cell r="F291">
            <v>0</v>
          </cell>
          <cell r="G291">
            <v>0</v>
          </cell>
          <cell r="H291">
            <v>0</v>
          </cell>
          <cell r="I291">
            <v>0</v>
          </cell>
        </row>
        <row r="292">
          <cell r="A292">
            <v>275</v>
          </cell>
          <cell r="B292">
            <v>47833</v>
          </cell>
          <cell r="C292">
            <v>0</v>
          </cell>
          <cell r="D292">
            <v>1431843.4770186241</v>
          </cell>
          <cell r="E292">
            <v>0</v>
          </cell>
          <cell r="F292">
            <v>0</v>
          </cell>
          <cell r="G292">
            <v>0</v>
          </cell>
          <cell r="H292">
            <v>0</v>
          </cell>
          <cell r="I292">
            <v>0</v>
          </cell>
        </row>
        <row r="293">
          <cell r="A293">
            <v>276</v>
          </cell>
          <cell r="B293">
            <v>47864</v>
          </cell>
          <cell r="C293">
            <v>0</v>
          </cell>
          <cell r="D293">
            <v>1431843.4770186241</v>
          </cell>
          <cell r="E293">
            <v>0</v>
          </cell>
          <cell r="F293">
            <v>0</v>
          </cell>
          <cell r="G293">
            <v>0</v>
          </cell>
          <cell r="H293">
            <v>0</v>
          </cell>
          <cell r="I293">
            <v>0</v>
          </cell>
        </row>
        <row r="294">
          <cell r="A294">
            <v>277</v>
          </cell>
          <cell r="B294">
            <v>47895</v>
          </cell>
          <cell r="C294">
            <v>0</v>
          </cell>
          <cell r="D294">
            <v>1431843.4770186241</v>
          </cell>
          <cell r="E294">
            <v>0</v>
          </cell>
          <cell r="F294">
            <v>0</v>
          </cell>
          <cell r="G294">
            <v>0</v>
          </cell>
          <cell r="H294">
            <v>0</v>
          </cell>
          <cell r="I294">
            <v>0</v>
          </cell>
        </row>
        <row r="295">
          <cell r="A295">
            <v>278</v>
          </cell>
          <cell r="B295">
            <v>47923</v>
          </cell>
          <cell r="C295">
            <v>0</v>
          </cell>
          <cell r="D295">
            <v>1431843.4770186241</v>
          </cell>
          <cell r="E295">
            <v>0</v>
          </cell>
          <cell r="F295">
            <v>0</v>
          </cell>
          <cell r="G295">
            <v>0</v>
          </cell>
          <cell r="H295">
            <v>0</v>
          </cell>
          <cell r="I295">
            <v>0</v>
          </cell>
        </row>
        <row r="296">
          <cell r="A296">
            <v>279</v>
          </cell>
          <cell r="B296">
            <v>47954</v>
          </cell>
          <cell r="C296">
            <v>0</v>
          </cell>
          <cell r="D296">
            <v>1431843.4770186241</v>
          </cell>
          <cell r="E296">
            <v>0</v>
          </cell>
          <cell r="F296">
            <v>0</v>
          </cell>
          <cell r="G296">
            <v>0</v>
          </cell>
          <cell r="H296">
            <v>0</v>
          </cell>
          <cell r="I296">
            <v>0</v>
          </cell>
        </row>
        <row r="297">
          <cell r="A297">
            <v>280</v>
          </cell>
          <cell r="B297">
            <v>47984</v>
          </cell>
          <cell r="C297">
            <v>0</v>
          </cell>
          <cell r="D297">
            <v>1431843.4770186241</v>
          </cell>
          <cell r="E297">
            <v>0</v>
          </cell>
          <cell r="F297">
            <v>0</v>
          </cell>
          <cell r="G297">
            <v>0</v>
          </cell>
          <cell r="H297">
            <v>0</v>
          </cell>
          <cell r="I297">
            <v>0</v>
          </cell>
        </row>
        <row r="298">
          <cell r="A298">
            <v>281</v>
          </cell>
          <cell r="B298">
            <v>48015</v>
          </cell>
          <cell r="C298">
            <v>0</v>
          </cell>
          <cell r="D298">
            <v>1431843.4770186241</v>
          </cell>
          <cell r="E298">
            <v>0</v>
          </cell>
          <cell r="F298">
            <v>0</v>
          </cell>
          <cell r="G298">
            <v>0</v>
          </cell>
          <cell r="H298">
            <v>0</v>
          </cell>
          <cell r="I298">
            <v>0</v>
          </cell>
        </row>
        <row r="299">
          <cell r="A299">
            <v>282</v>
          </cell>
          <cell r="B299">
            <v>48045</v>
          </cell>
          <cell r="C299">
            <v>0</v>
          </cell>
          <cell r="D299">
            <v>1431843.4770186241</v>
          </cell>
          <cell r="E299">
            <v>0</v>
          </cell>
          <cell r="F299">
            <v>0</v>
          </cell>
          <cell r="G299">
            <v>0</v>
          </cell>
          <cell r="H299">
            <v>0</v>
          </cell>
          <cell r="I299">
            <v>0</v>
          </cell>
        </row>
        <row r="300">
          <cell r="A300">
            <v>283</v>
          </cell>
          <cell r="B300">
            <v>48076</v>
          </cell>
          <cell r="C300">
            <v>0</v>
          </cell>
          <cell r="D300">
            <v>1431843.4770186241</v>
          </cell>
          <cell r="E300">
            <v>0</v>
          </cell>
          <cell r="F300">
            <v>0</v>
          </cell>
          <cell r="G300">
            <v>0</v>
          </cell>
          <cell r="H300">
            <v>0</v>
          </cell>
          <cell r="I300">
            <v>0</v>
          </cell>
        </row>
        <row r="301">
          <cell r="A301">
            <v>284</v>
          </cell>
          <cell r="B301">
            <v>48107</v>
          </cell>
          <cell r="C301">
            <v>0</v>
          </cell>
          <cell r="D301">
            <v>1431843.4770186241</v>
          </cell>
          <cell r="E301">
            <v>0</v>
          </cell>
          <cell r="F301">
            <v>0</v>
          </cell>
          <cell r="G301">
            <v>0</v>
          </cell>
          <cell r="H301">
            <v>0</v>
          </cell>
          <cell r="I301">
            <v>0</v>
          </cell>
        </row>
        <row r="302">
          <cell r="A302">
            <v>285</v>
          </cell>
          <cell r="B302">
            <v>48137</v>
          </cell>
          <cell r="C302">
            <v>0</v>
          </cell>
          <cell r="D302">
            <v>1431843.4770186241</v>
          </cell>
          <cell r="E302">
            <v>0</v>
          </cell>
          <cell r="F302">
            <v>0</v>
          </cell>
          <cell r="G302">
            <v>0</v>
          </cell>
          <cell r="H302">
            <v>0</v>
          </cell>
          <cell r="I302">
            <v>0</v>
          </cell>
        </row>
        <row r="303">
          <cell r="A303">
            <v>286</v>
          </cell>
          <cell r="B303">
            <v>48168</v>
          </cell>
          <cell r="C303">
            <v>0</v>
          </cell>
          <cell r="D303">
            <v>1431843.4770186241</v>
          </cell>
          <cell r="E303">
            <v>0</v>
          </cell>
          <cell r="F303">
            <v>0</v>
          </cell>
          <cell r="G303">
            <v>0</v>
          </cell>
          <cell r="H303">
            <v>0</v>
          </cell>
          <cell r="I303">
            <v>0</v>
          </cell>
        </row>
        <row r="304">
          <cell r="A304">
            <v>287</v>
          </cell>
          <cell r="B304">
            <v>48198</v>
          </cell>
          <cell r="C304">
            <v>0</v>
          </cell>
          <cell r="D304">
            <v>1431843.4770186241</v>
          </cell>
          <cell r="E304">
            <v>0</v>
          </cell>
          <cell r="F304">
            <v>0</v>
          </cell>
          <cell r="G304">
            <v>0</v>
          </cell>
          <cell r="H304">
            <v>0</v>
          </cell>
          <cell r="I304">
            <v>0</v>
          </cell>
        </row>
        <row r="305">
          <cell r="A305">
            <v>288</v>
          </cell>
          <cell r="B305">
            <v>48229</v>
          </cell>
          <cell r="C305">
            <v>0</v>
          </cell>
          <cell r="D305">
            <v>1431843.4770186241</v>
          </cell>
          <cell r="E305">
            <v>0</v>
          </cell>
          <cell r="F305">
            <v>0</v>
          </cell>
          <cell r="G305">
            <v>0</v>
          </cell>
          <cell r="H305">
            <v>0</v>
          </cell>
          <cell r="I305">
            <v>0</v>
          </cell>
        </row>
        <row r="306">
          <cell r="A306">
            <v>289</v>
          </cell>
          <cell r="B306">
            <v>48260</v>
          </cell>
          <cell r="C306">
            <v>0</v>
          </cell>
          <cell r="D306">
            <v>1431843.4770186241</v>
          </cell>
          <cell r="E306">
            <v>0</v>
          </cell>
          <cell r="F306">
            <v>0</v>
          </cell>
          <cell r="G306">
            <v>0</v>
          </cell>
          <cell r="H306">
            <v>0</v>
          </cell>
          <cell r="I306">
            <v>0</v>
          </cell>
        </row>
        <row r="307">
          <cell r="A307">
            <v>290</v>
          </cell>
          <cell r="B307">
            <v>48289</v>
          </cell>
          <cell r="C307">
            <v>0</v>
          </cell>
          <cell r="D307">
            <v>1431843.4770186241</v>
          </cell>
          <cell r="E307">
            <v>0</v>
          </cell>
          <cell r="F307">
            <v>0</v>
          </cell>
          <cell r="G307">
            <v>0</v>
          </cell>
          <cell r="H307">
            <v>0</v>
          </cell>
          <cell r="I307">
            <v>0</v>
          </cell>
        </row>
        <row r="308">
          <cell r="A308">
            <v>291</v>
          </cell>
          <cell r="B308">
            <v>48320</v>
          </cell>
          <cell r="C308">
            <v>0</v>
          </cell>
          <cell r="D308">
            <v>1431843.4770186241</v>
          </cell>
          <cell r="E308">
            <v>0</v>
          </cell>
          <cell r="F308">
            <v>0</v>
          </cell>
          <cell r="G308">
            <v>0</v>
          </cell>
          <cell r="H308">
            <v>0</v>
          </cell>
          <cell r="I308">
            <v>0</v>
          </cell>
        </row>
        <row r="309">
          <cell r="A309">
            <v>292</v>
          </cell>
          <cell r="B309">
            <v>48350</v>
          </cell>
          <cell r="C309">
            <v>0</v>
          </cell>
          <cell r="D309">
            <v>1431843.4770186241</v>
          </cell>
          <cell r="E309">
            <v>0</v>
          </cell>
          <cell r="F309">
            <v>0</v>
          </cell>
          <cell r="G309">
            <v>0</v>
          </cell>
          <cell r="H309">
            <v>0</v>
          </cell>
          <cell r="I309">
            <v>0</v>
          </cell>
        </row>
        <row r="310">
          <cell r="A310">
            <v>293</v>
          </cell>
          <cell r="B310">
            <v>48381</v>
          </cell>
          <cell r="C310">
            <v>0</v>
          </cell>
          <cell r="D310">
            <v>1431843.4770186241</v>
          </cell>
          <cell r="E310">
            <v>0</v>
          </cell>
          <cell r="F310">
            <v>0</v>
          </cell>
          <cell r="G310">
            <v>0</v>
          </cell>
          <cell r="H310">
            <v>0</v>
          </cell>
          <cell r="I310">
            <v>0</v>
          </cell>
        </row>
        <row r="311">
          <cell r="A311">
            <v>294</v>
          </cell>
          <cell r="B311">
            <v>48411</v>
          </cell>
          <cell r="C311">
            <v>0</v>
          </cell>
          <cell r="D311">
            <v>1431843.4770186241</v>
          </cell>
          <cell r="E311">
            <v>0</v>
          </cell>
          <cell r="F311">
            <v>0</v>
          </cell>
          <cell r="G311">
            <v>0</v>
          </cell>
          <cell r="H311">
            <v>0</v>
          </cell>
          <cell r="I311">
            <v>0</v>
          </cell>
        </row>
        <row r="312">
          <cell r="A312">
            <v>295</v>
          </cell>
          <cell r="B312">
            <v>48442</v>
          </cell>
          <cell r="C312">
            <v>0</v>
          </cell>
          <cell r="D312">
            <v>1431843.4770186241</v>
          </cell>
          <cell r="E312">
            <v>0</v>
          </cell>
          <cell r="F312">
            <v>0</v>
          </cell>
          <cell r="G312">
            <v>0</v>
          </cell>
          <cell r="H312">
            <v>0</v>
          </cell>
          <cell r="I312">
            <v>0</v>
          </cell>
        </row>
        <row r="313">
          <cell r="A313">
            <v>296</v>
          </cell>
          <cell r="B313">
            <v>48473</v>
          </cell>
          <cell r="C313">
            <v>0</v>
          </cell>
          <cell r="D313">
            <v>1431843.4770186241</v>
          </cell>
          <cell r="E313">
            <v>0</v>
          </cell>
          <cell r="F313">
            <v>0</v>
          </cell>
          <cell r="G313">
            <v>0</v>
          </cell>
          <cell r="H313">
            <v>0</v>
          </cell>
          <cell r="I313">
            <v>0</v>
          </cell>
        </row>
        <row r="314">
          <cell r="A314">
            <v>297</v>
          </cell>
          <cell r="B314">
            <v>48503</v>
          </cell>
          <cell r="C314">
            <v>0</v>
          </cell>
          <cell r="D314">
            <v>1431843.4770186241</v>
          </cell>
          <cell r="E314">
            <v>0</v>
          </cell>
          <cell r="F314">
            <v>0</v>
          </cell>
          <cell r="G314">
            <v>0</v>
          </cell>
          <cell r="H314">
            <v>0</v>
          </cell>
          <cell r="I314">
            <v>0</v>
          </cell>
        </row>
        <row r="315">
          <cell r="A315">
            <v>298</v>
          </cell>
          <cell r="B315">
            <v>48534</v>
          </cell>
          <cell r="C315">
            <v>0</v>
          </cell>
          <cell r="D315">
            <v>1431843.4770186241</v>
          </cell>
          <cell r="E315">
            <v>0</v>
          </cell>
          <cell r="F315">
            <v>0</v>
          </cell>
          <cell r="G315">
            <v>0</v>
          </cell>
          <cell r="H315">
            <v>0</v>
          </cell>
          <cell r="I315">
            <v>0</v>
          </cell>
        </row>
        <row r="316">
          <cell r="A316">
            <v>299</v>
          </cell>
          <cell r="B316">
            <v>48564</v>
          </cell>
          <cell r="C316">
            <v>0</v>
          </cell>
          <cell r="D316">
            <v>1431843.4770186241</v>
          </cell>
          <cell r="E316">
            <v>0</v>
          </cell>
          <cell r="F316">
            <v>0</v>
          </cell>
          <cell r="G316">
            <v>0</v>
          </cell>
          <cell r="H316">
            <v>0</v>
          </cell>
          <cell r="I316">
            <v>0</v>
          </cell>
        </row>
        <row r="317">
          <cell r="A317">
            <v>300</v>
          </cell>
          <cell r="B317">
            <v>48595</v>
          </cell>
          <cell r="C317">
            <v>0</v>
          </cell>
          <cell r="D317">
            <v>1431843.4770186241</v>
          </cell>
          <cell r="E317">
            <v>0</v>
          </cell>
          <cell r="F317">
            <v>0</v>
          </cell>
          <cell r="G317">
            <v>0</v>
          </cell>
          <cell r="H317">
            <v>0</v>
          </cell>
          <cell r="I317">
            <v>0</v>
          </cell>
        </row>
        <row r="318">
          <cell r="A318">
            <v>301</v>
          </cell>
          <cell r="B318">
            <v>48626</v>
          </cell>
          <cell r="C318">
            <v>0</v>
          </cell>
          <cell r="D318">
            <v>1431843.4770186241</v>
          </cell>
          <cell r="E318">
            <v>0</v>
          </cell>
          <cell r="F318">
            <v>0</v>
          </cell>
          <cell r="G318">
            <v>0</v>
          </cell>
          <cell r="H318">
            <v>0</v>
          </cell>
          <cell r="I318">
            <v>0</v>
          </cell>
        </row>
        <row r="319">
          <cell r="A319">
            <v>302</v>
          </cell>
          <cell r="B319">
            <v>48654</v>
          </cell>
          <cell r="C319">
            <v>0</v>
          </cell>
          <cell r="D319">
            <v>1431843.4770186241</v>
          </cell>
          <cell r="E319">
            <v>0</v>
          </cell>
          <cell r="F319">
            <v>0</v>
          </cell>
          <cell r="G319">
            <v>0</v>
          </cell>
          <cell r="H319">
            <v>0</v>
          </cell>
          <cell r="I319">
            <v>0</v>
          </cell>
        </row>
        <row r="320">
          <cell r="A320">
            <v>303</v>
          </cell>
          <cell r="B320">
            <v>48685</v>
          </cell>
          <cell r="C320">
            <v>0</v>
          </cell>
          <cell r="D320">
            <v>1431843.4770186241</v>
          </cell>
          <cell r="E320">
            <v>0</v>
          </cell>
          <cell r="F320">
            <v>0</v>
          </cell>
          <cell r="G320">
            <v>0</v>
          </cell>
          <cell r="H320">
            <v>0</v>
          </cell>
          <cell r="I320">
            <v>0</v>
          </cell>
        </row>
        <row r="321">
          <cell r="A321">
            <v>304</v>
          </cell>
          <cell r="B321">
            <v>48715</v>
          </cell>
          <cell r="C321">
            <v>0</v>
          </cell>
          <cell r="D321">
            <v>1431843.4770186241</v>
          </cell>
          <cell r="E321">
            <v>0</v>
          </cell>
          <cell r="F321">
            <v>0</v>
          </cell>
          <cell r="G321">
            <v>0</v>
          </cell>
          <cell r="H321">
            <v>0</v>
          </cell>
          <cell r="I321">
            <v>0</v>
          </cell>
        </row>
        <row r="322">
          <cell r="A322">
            <v>305</v>
          </cell>
          <cell r="B322">
            <v>48746</v>
          </cell>
          <cell r="C322">
            <v>0</v>
          </cell>
          <cell r="D322">
            <v>1431843.4770186241</v>
          </cell>
          <cell r="E322">
            <v>0</v>
          </cell>
          <cell r="F322">
            <v>0</v>
          </cell>
          <cell r="G322">
            <v>0</v>
          </cell>
          <cell r="H322">
            <v>0</v>
          </cell>
          <cell r="I322">
            <v>0</v>
          </cell>
        </row>
        <row r="323">
          <cell r="A323">
            <v>306</v>
          </cell>
          <cell r="B323">
            <v>48776</v>
          </cell>
          <cell r="C323">
            <v>0</v>
          </cell>
          <cell r="D323">
            <v>1431843.4770186241</v>
          </cell>
          <cell r="E323">
            <v>0</v>
          </cell>
          <cell r="F323">
            <v>0</v>
          </cell>
          <cell r="G323">
            <v>0</v>
          </cell>
          <cell r="H323">
            <v>0</v>
          </cell>
          <cell r="I323">
            <v>0</v>
          </cell>
        </row>
        <row r="324">
          <cell r="A324">
            <v>307</v>
          </cell>
          <cell r="B324">
            <v>48807</v>
          </cell>
          <cell r="C324">
            <v>0</v>
          </cell>
          <cell r="D324">
            <v>1431843.4770186241</v>
          </cell>
          <cell r="E324">
            <v>0</v>
          </cell>
          <cell r="F324">
            <v>0</v>
          </cell>
          <cell r="G324">
            <v>0</v>
          </cell>
          <cell r="H324">
            <v>0</v>
          </cell>
          <cell r="I324">
            <v>0</v>
          </cell>
        </row>
        <row r="325">
          <cell r="A325">
            <v>308</v>
          </cell>
          <cell r="B325">
            <v>48838</v>
          </cell>
          <cell r="C325">
            <v>0</v>
          </cell>
          <cell r="D325">
            <v>1431843.4770186241</v>
          </cell>
          <cell r="E325">
            <v>0</v>
          </cell>
          <cell r="F325">
            <v>0</v>
          </cell>
          <cell r="G325">
            <v>0</v>
          </cell>
          <cell r="H325">
            <v>0</v>
          </cell>
          <cell r="I325">
            <v>0</v>
          </cell>
        </row>
        <row r="326">
          <cell r="A326">
            <v>309</v>
          </cell>
          <cell r="B326">
            <v>48868</v>
          </cell>
          <cell r="C326">
            <v>0</v>
          </cell>
          <cell r="D326">
            <v>1431843.4770186241</v>
          </cell>
          <cell r="E326">
            <v>0</v>
          </cell>
          <cell r="F326">
            <v>0</v>
          </cell>
          <cell r="G326">
            <v>0</v>
          </cell>
          <cell r="H326">
            <v>0</v>
          </cell>
          <cell r="I326">
            <v>0</v>
          </cell>
        </row>
        <row r="327">
          <cell r="A327">
            <v>310</v>
          </cell>
          <cell r="B327">
            <v>48899</v>
          </cell>
          <cell r="C327">
            <v>0</v>
          </cell>
          <cell r="D327">
            <v>1431843.4770186241</v>
          </cell>
          <cell r="E327">
            <v>0</v>
          </cell>
          <cell r="F327">
            <v>0</v>
          </cell>
          <cell r="G327">
            <v>0</v>
          </cell>
          <cell r="H327">
            <v>0</v>
          </cell>
          <cell r="I327">
            <v>0</v>
          </cell>
        </row>
        <row r="328">
          <cell r="A328">
            <v>311</v>
          </cell>
          <cell r="B328">
            <v>48929</v>
          </cell>
          <cell r="C328">
            <v>0</v>
          </cell>
          <cell r="D328">
            <v>1431843.4770186241</v>
          </cell>
          <cell r="E328">
            <v>0</v>
          </cell>
          <cell r="F328">
            <v>0</v>
          </cell>
          <cell r="G328">
            <v>0</v>
          </cell>
          <cell r="H328">
            <v>0</v>
          </cell>
          <cell r="I328">
            <v>0</v>
          </cell>
        </row>
        <row r="329">
          <cell r="A329">
            <v>312</v>
          </cell>
          <cell r="B329">
            <v>48960</v>
          </cell>
          <cell r="C329">
            <v>0</v>
          </cell>
          <cell r="D329">
            <v>1431843.4770186241</v>
          </cell>
          <cell r="E329">
            <v>0</v>
          </cell>
          <cell r="F329">
            <v>0</v>
          </cell>
          <cell r="G329">
            <v>0</v>
          </cell>
          <cell r="H329">
            <v>0</v>
          </cell>
          <cell r="I329">
            <v>0</v>
          </cell>
        </row>
        <row r="330">
          <cell r="A330">
            <v>313</v>
          </cell>
          <cell r="B330">
            <v>48991</v>
          </cell>
          <cell r="C330">
            <v>0</v>
          </cell>
          <cell r="D330">
            <v>1431843.4770186241</v>
          </cell>
          <cell r="E330">
            <v>0</v>
          </cell>
          <cell r="F330">
            <v>0</v>
          </cell>
          <cell r="G330">
            <v>0</v>
          </cell>
          <cell r="H330">
            <v>0</v>
          </cell>
          <cell r="I330">
            <v>0</v>
          </cell>
        </row>
        <row r="331">
          <cell r="A331">
            <v>314</v>
          </cell>
          <cell r="B331">
            <v>49019</v>
          </cell>
          <cell r="C331">
            <v>0</v>
          </cell>
          <cell r="D331">
            <v>1431843.4770186241</v>
          </cell>
          <cell r="E331">
            <v>0</v>
          </cell>
          <cell r="F331">
            <v>0</v>
          </cell>
          <cell r="G331">
            <v>0</v>
          </cell>
          <cell r="H331">
            <v>0</v>
          </cell>
          <cell r="I331">
            <v>0</v>
          </cell>
        </row>
        <row r="332">
          <cell r="A332">
            <v>315</v>
          </cell>
          <cell r="B332">
            <v>49050</v>
          </cell>
          <cell r="C332">
            <v>0</v>
          </cell>
          <cell r="D332">
            <v>1431843.4770186241</v>
          </cell>
          <cell r="E332">
            <v>0</v>
          </cell>
          <cell r="F332">
            <v>0</v>
          </cell>
          <cell r="G332">
            <v>0</v>
          </cell>
          <cell r="H332">
            <v>0</v>
          </cell>
          <cell r="I332">
            <v>0</v>
          </cell>
        </row>
        <row r="333">
          <cell r="A333">
            <v>316</v>
          </cell>
          <cell r="B333">
            <v>49080</v>
          </cell>
          <cell r="C333">
            <v>0</v>
          </cell>
          <cell r="D333">
            <v>1431843.4770186241</v>
          </cell>
          <cell r="E333">
            <v>0</v>
          </cell>
          <cell r="F333">
            <v>0</v>
          </cell>
          <cell r="G333">
            <v>0</v>
          </cell>
          <cell r="H333">
            <v>0</v>
          </cell>
          <cell r="I333">
            <v>0</v>
          </cell>
        </row>
        <row r="334">
          <cell r="A334">
            <v>317</v>
          </cell>
          <cell r="B334">
            <v>49111</v>
          </cell>
          <cell r="C334">
            <v>0</v>
          </cell>
          <cell r="D334">
            <v>1431843.4770186241</v>
          </cell>
          <cell r="E334">
            <v>0</v>
          </cell>
          <cell r="F334">
            <v>0</v>
          </cell>
          <cell r="G334">
            <v>0</v>
          </cell>
          <cell r="H334">
            <v>0</v>
          </cell>
          <cell r="I334">
            <v>0</v>
          </cell>
        </row>
        <row r="335">
          <cell r="A335">
            <v>318</v>
          </cell>
          <cell r="B335">
            <v>49141</v>
          </cell>
          <cell r="C335">
            <v>0</v>
          </cell>
          <cell r="D335">
            <v>1431843.4770186241</v>
          </cell>
          <cell r="E335">
            <v>0</v>
          </cell>
          <cell r="F335">
            <v>0</v>
          </cell>
          <cell r="G335">
            <v>0</v>
          </cell>
          <cell r="H335">
            <v>0</v>
          </cell>
          <cell r="I335">
            <v>0</v>
          </cell>
        </row>
        <row r="336">
          <cell r="A336">
            <v>319</v>
          </cell>
          <cell r="B336">
            <v>49172</v>
          </cell>
          <cell r="C336">
            <v>0</v>
          </cell>
          <cell r="D336">
            <v>1431843.4770186241</v>
          </cell>
          <cell r="E336">
            <v>0</v>
          </cell>
          <cell r="F336">
            <v>0</v>
          </cell>
          <cell r="G336">
            <v>0</v>
          </cell>
          <cell r="H336">
            <v>0</v>
          </cell>
          <cell r="I336">
            <v>0</v>
          </cell>
        </row>
        <row r="337">
          <cell r="A337">
            <v>320</v>
          </cell>
          <cell r="B337">
            <v>49203</v>
          </cell>
          <cell r="C337">
            <v>0</v>
          </cell>
          <cell r="D337">
            <v>1431843.4770186241</v>
          </cell>
          <cell r="E337">
            <v>0</v>
          </cell>
          <cell r="F337">
            <v>0</v>
          </cell>
          <cell r="G337">
            <v>0</v>
          </cell>
          <cell r="H337">
            <v>0</v>
          </cell>
          <cell r="I337">
            <v>0</v>
          </cell>
        </row>
        <row r="338">
          <cell r="A338">
            <v>321</v>
          </cell>
          <cell r="B338">
            <v>49233</v>
          </cell>
          <cell r="C338">
            <v>0</v>
          </cell>
          <cell r="D338">
            <v>1431843.4770186241</v>
          </cell>
          <cell r="E338">
            <v>0</v>
          </cell>
          <cell r="F338">
            <v>0</v>
          </cell>
          <cell r="G338">
            <v>0</v>
          </cell>
          <cell r="H338">
            <v>0</v>
          </cell>
          <cell r="I338">
            <v>0</v>
          </cell>
        </row>
        <row r="339">
          <cell r="A339">
            <v>322</v>
          </cell>
          <cell r="B339">
            <v>49264</v>
          </cell>
          <cell r="C339">
            <v>0</v>
          </cell>
          <cell r="D339">
            <v>1431843.4770186241</v>
          </cell>
          <cell r="E339">
            <v>0</v>
          </cell>
          <cell r="F339">
            <v>0</v>
          </cell>
          <cell r="G339">
            <v>0</v>
          </cell>
          <cell r="H339">
            <v>0</v>
          </cell>
          <cell r="I339">
            <v>0</v>
          </cell>
        </row>
        <row r="340">
          <cell r="A340">
            <v>323</v>
          </cell>
          <cell r="B340">
            <v>49294</v>
          </cell>
          <cell r="C340">
            <v>0</v>
          </cell>
          <cell r="D340">
            <v>1431843.4770186241</v>
          </cell>
          <cell r="E340">
            <v>0</v>
          </cell>
          <cell r="F340">
            <v>0</v>
          </cell>
          <cell r="G340">
            <v>0</v>
          </cell>
          <cell r="H340">
            <v>0</v>
          </cell>
          <cell r="I340">
            <v>0</v>
          </cell>
        </row>
        <row r="341">
          <cell r="A341">
            <v>324</v>
          </cell>
          <cell r="B341">
            <v>49325</v>
          </cell>
          <cell r="C341">
            <v>0</v>
          </cell>
          <cell r="D341">
            <v>1431843.4770186241</v>
          </cell>
          <cell r="E341">
            <v>0</v>
          </cell>
          <cell r="F341">
            <v>0</v>
          </cell>
          <cell r="G341">
            <v>0</v>
          </cell>
          <cell r="H341">
            <v>0</v>
          </cell>
          <cell r="I341">
            <v>0</v>
          </cell>
        </row>
        <row r="342">
          <cell r="A342">
            <v>325</v>
          </cell>
          <cell r="B342">
            <v>49356</v>
          </cell>
          <cell r="C342">
            <v>0</v>
          </cell>
          <cell r="D342">
            <v>1431843.4770186241</v>
          </cell>
          <cell r="E342">
            <v>0</v>
          </cell>
          <cell r="F342">
            <v>0</v>
          </cell>
          <cell r="G342">
            <v>0</v>
          </cell>
          <cell r="H342">
            <v>0</v>
          </cell>
          <cell r="I342">
            <v>0</v>
          </cell>
        </row>
        <row r="343">
          <cell r="A343">
            <v>326</v>
          </cell>
          <cell r="B343">
            <v>49384</v>
          </cell>
          <cell r="C343">
            <v>0</v>
          </cell>
          <cell r="D343">
            <v>1431843.4770186241</v>
          </cell>
          <cell r="E343">
            <v>0</v>
          </cell>
          <cell r="F343">
            <v>0</v>
          </cell>
          <cell r="G343">
            <v>0</v>
          </cell>
          <cell r="H343">
            <v>0</v>
          </cell>
          <cell r="I343">
            <v>0</v>
          </cell>
        </row>
        <row r="344">
          <cell r="A344">
            <v>327</v>
          </cell>
          <cell r="B344">
            <v>49415</v>
          </cell>
          <cell r="C344">
            <v>0</v>
          </cell>
          <cell r="D344">
            <v>1431843.4770186241</v>
          </cell>
          <cell r="E344">
            <v>0</v>
          </cell>
          <cell r="F344">
            <v>0</v>
          </cell>
          <cell r="G344">
            <v>0</v>
          </cell>
          <cell r="H344">
            <v>0</v>
          </cell>
          <cell r="I344">
            <v>0</v>
          </cell>
        </row>
        <row r="345">
          <cell r="A345">
            <v>328</v>
          </cell>
          <cell r="B345">
            <v>49445</v>
          </cell>
          <cell r="C345">
            <v>0</v>
          </cell>
          <cell r="D345">
            <v>1431843.4770186241</v>
          </cell>
          <cell r="E345">
            <v>0</v>
          </cell>
          <cell r="F345">
            <v>0</v>
          </cell>
          <cell r="G345">
            <v>0</v>
          </cell>
          <cell r="H345">
            <v>0</v>
          </cell>
          <cell r="I345">
            <v>0</v>
          </cell>
        </row>
        <row r="346">
          <cell r="A346">
            <v>329</v>
          </cell>
          <cell r="B346">
            <v>49476</v>
          </cell>
          <cell r="C346">
            <v>0</v>
          </cell>
          <cell r="D346">
            <v>1431843.4770186241</v>
          </cell>
          <cell r="E346">
            <v>0</v>
          </cell>
          <cell r="F346">
            <v>0</v>
          </cell>
          <cell r="G346">
            <v>0</v>
          </cell>
          <cell r="H346">
            <v>0</v>
          </cell>
          <cell r="I346">
            <v>0</v>
          </cell>
        </row>
        <row r="347">
          <cell r="A347">
            <v>330</v>
          </cell>
          <cell r="B347">
            <v>49506</v>
          </cell>
          <cell r="C347">
            <v>0</v>
          </cell>
          <cell r="D347">
            <v>1431843.4770186241</v>
          </cell>
          <cell r="E347">
            <v>0</v>
          </cell>
          <cell r="F347">
            <v>0</v>
          </cell>
          <cell r="G347">
            <v>0</v>
          </cell>
          <cell r="H347">
            <v>0</v>
          </cell>
          <cell r="I347">
            <v>0</v>
          </cell>
        </row>
        <row r="348">
          <cell r="A348">
            <v>331</v>
          </cell>
          <cell r="B348">
            <v>49537</v>
          </cell>
          <cell r="C348">
            <v>0</v>
          </cell>
          <cell r="D348">
            <v>1431843.4770186241</v>
          </cell>
          <cell r="E348">
            <v>0</v>
          </cell>
          <cell r="F348">
            <v>0</v>
          </cell>
          <cell r="G348">
            <v>0</v>
          </cell>
          <cell r="H348">
            <v>0</v>
          </cell>
          <cell r="I348">
            <v>0</v>
          </cell>
        </row>
        <row r="349">
          <cell r="A349">
            <v>332</v>
          </cell>
          <cell r="B349">
            <v>49568</v>
          </cell>
          <cell r="C349">
            <v>0</v>
          </cell>
          <cell r="D349">
            <v>1431843.4770186241</v>
          </cell>
          <cell r="E349">
            <v>0</v>
          </cell>
          <cell r="F349">
            <v>0</v>
          </cell>
          <cell r="G349">
            <v>0</v>
          </cell>
          <cell r="H349">
            <v>0</v>
          </cell>
          <cell r="I349">
            <v>0</v>
          </cell>
        </row>
        <row r="350">
          <cell r="A350">
            <v>333</v>
          </cell>
          <cell r="B350">
            <v>49598</v>
          </cell>
          <cell r="C350">
            <v>0</v>
          </cell>
          <cell r="D350">
            <v>1431843.4770186241</v>
          </cell>
          <cell r="E350">
            <v>0</v>
          </cell>
          <cell r="F350">
            <v>0</v>
          </cell>
          <cell r="G350">
            <v>0</v>
          </cell>
          <cell r="H350">
            <v>0</v>
          </cell>
          <cell r="I350">
            <v>0</v>
          </cell>
        </row>
        <row r="351">
          <cell r="A351">
            <v>334</v>
          </cell>
          <cell r="B351">
            <v>49629</v>
          </cell>
          <cell r="C351">
            <v>0</v>
          </cell>
          <cell r="D351">
            <v>1431843.4770186241</v>
          </cell>
          <cell r="E351">
            <v>0</v>
          </cell>
          <cell r="F351">
            <v>0</v>
          </cell>
          <cell r="G351">
            <v>0</v>
          </cell>
          <cell r="H351">
            <v>0</v>
          </cell>
          <cell r="I351">
            <v>0</v>
          </cell>
        </row>
        <row r="352">
          <cell r="A352">
            <v>335</v>
          </cell>
          <cell r="B352">
            <v>49659</v>
          </cell>
          <cell r="C352">
            <v>0</v>
          </cell>
          <cell r="D352">
            <v>1431843.4770186241</v>
          </cell>
          <cell r="E352">
            <v>0</v>
          </cell>
          <cell r="F352">
            <v>0</v>
          </cell>
          <cell r="G352">
            <v>0</v>
          </cell>
          <cell r="H352">
            <v>0</v>
          </cell>
          <cell r="I352">
            <v>0</v>
          </cell>
        </row>
        <row r="353">
          <cell r="A353">
            <v>336</v>
          </cell>
          <cell r="B353">
            <v>49690</v>
          </cell>
          <cell r="C353">
            <v>0</v>
          </cell>
          <cell r="D353">
            <v>1431843.4770186241</v>
          </cell>
          <cell r="E353">
            <v>0</v>
          </cell>
          <cell r="F353">
            <v>0</v>
          </cell>
          <cell r="G353">
            <v>0</v>
          </cell>
          <cell r="H353">
            <v>0</v>
          </cell>
          <cell r="I353">
            <v>0</v>
          </cell>
        </row>
        <row r="354">
          <cell r="A354">
            <v>337</v>
          </cell>
          <cell r="B354">
            <v>49721</v>
          </cell>
          <cell r="C354">
            <v>0</v>
          </cell>
          <cell r="D354">
            <v>1431843.4770186241</v>
          </cell>
          <cell r="E354">
            <v>0</v>
          </cell>
          <cell r="F354">
            <v>0</v>
          </cell>
          <cell r="G354">
            <v>0</v>
          </cell>
          <cell r="H354">
            <v>0</v>
          </cell>
          <cell r="I354">
            <v>0</v>
          </cell>
        </row>
        <row r="355">
          <cell r="A355">
            <v>338</v>
          </cell>
          <cell r="B355">
            <v>49750</v>
          </cell>
          <cell r="C355">
            <v>0</v>
          </cell>
          <cell r="D355">
            <v>1431843.4770186241</v>
          </cell>
          <cell r="E355">
            <v>0</v>
          </cell>
          <cell r="F355">
            <v>0</v>
          </cell>
          <cell r="G355">
            <v>0</v>
          </cell>
          <cell r="H355">
            <v>0</v>
          </cell>
          <cell r="I355">
            <v>0</v>
          </cell>
        </row>
        <row r="356">
          <cell r="A356">
            <v>339</v>
          </cell>
          <cell r="B356">
            <v>49781</v>
          </cell>
          <cell r="C356">
            <v>0</v>
          </cell>
          <cell r="D356">
            <v>1431843.4770186241</v>
          </cell>
          <cell r="E356">
            <v>0</v>
          </cell>
          <cell r="F356">
            <v>0</v>
          </cell>
          <cell r="G356">
            <v>0</v>
          </cell>
          <cell r="H356">
            <v>0</v>
          </cell>
          <cell r="I356">
            <v>0</v>
          </cell>
        </row>
        <row r="357">
          <cell r="A357">
            <v>340</v>
          </cell>
          <cell r="B357">
            <v>49811</v>
          </cell>
          <cell r="C357">
            <v>0</v>
          </cell>
          <cell r="D357">
            <v>1431843.4770186241</v>
          </cell>
          <cell r="E357">
            <v>0</v>
          </cell>
          <cell r="F357">
            <v>0</v>
          </cell>
          <cell r="G357">
            <v>0</v>
          </cell>
          <cell r="H357">
            <v>0</v>
          </cell>
          <cell r="I357">
            <v>0</v>
          </cell>
        </row>
        <row r="358">
          <cell r="A358">
            <v>341</v>
          </cell>
          <cell r="B358">
            <v>49842</v>
          </cell>
          <cell r="C358">
            <v>0</v>
          </cell>
          <cell r="D358">
            <v>1431843.4770186241</v>
          </cell>
          <cell r="E358">
            <v>0</v>
          </cell>
          <cell r="F358">
            <v>0</v>
          </cell>
          <cell r="G358">
            <v>0</v>
          </cell>
          <cell r="H358">
            <v>0</v>
          </cell>
          <cell r="I358">
            <v>0</v>
          </cell>
        </row>
        <row r="359">
          <cell r="A359">
            <v>342</v>
          </cell>
          <cell r="B359">
            <v>49872</v>
          </cell>
          <cell r="C359">
            <v>0</v>
          </cell>
          <cell r="D359">
            <v>1431843.4770186241</v>
          </cell>
          <cell r="E359">
            <v>0</v>
          </cell>
          <cell r="F359">
            <v>0</v>
          </cell>
          <cell r="G359">
            <v>0</v>
          </cell>
          <cell r="H359">
            <v>0</v>
          </cell>
          <cell r="I359">
            <v>0</v>
          </cell>
        </row>
        <row r="360">
          <cell r="A360">
            <v>343</v>
          </cell>
          <cell r="B360">
            <v>49903</v>
          </cell>
          <cell r="C360">
            <v>0</v>
          </cell>
          <cell r="D360">
            <v>1431843.4770186241</v>
          </cell>
          <cell r="E360">
            <v>0</v>
          </cell>
          <cell r="F360">
            <v>0</v>
          </cell>
          <cell r="G360">
            <v>0</v>
          </cell>
          <cell r="H360">
            <v>0</v>
          </cell>
          <cell r="I360">
            <v>0</v>
          </cell>
        </row>
        <row r="361">
          <cell r="A361">
            <v>344</v>
          </cell>
          <cell r="B361">
            <v>49934</v>
          </cell>
          <cell r="C361">
            <v>0</v>
          </cell>
          <cell r="D361">
            <v>1431843.4770186241</v>
          </cell>
          <cell r="E361">
            <v>0</v>
          </cell>
          <cell r="F361">
            <v>0</v>
          </cell>
          <cell r="G361">
            <v>0</v>
          </cell>
          <cell r="H361">
            <v>0</v>
          </cell>
          <cell r="I361">
            <v>0</v>
          </cell>
        </row>
        <row r="362">
          <cell r="A362">
            <v>345</v>
          </cell>
          <cell r="B362">
            <v>49964</v>
          </cell>
          <cell r="C362">
            <v>0</v>
          </cell>
          <cell r="D362">
            <v>1431843.4770186241</v>
          </cell>
          <cell r="E362">
            <v>0</v>
          </cell>
          <cell r="F362">
            <v>0</v>
          </cell>
          <cell r="G362">
            <v>0</v>
          </cell>
          <cell r="H362">
            <v>0</v>
          </cell>
          <cell r="I362">
            <v>0</v>
          </cell>
        </row>
        <row r="363">
          <cell r="A363">
            <v>346</v>
          </cell>
          <cell r="B363">
            <v>49995</v>
          </cell>
          <cell r="C363">
            <v>0</v>
          </cell>
          <cell r="D363">
            <v>1431843.4770186241</v>
          </cell>
          <cell r="E363">
            <v>0</v>
          </cell>
          <cell r="F363">
            <v>0</v>
          </cell>
          <cell r="G363">
            <v>0</v>
          </cell>
          <cell r="H363">
            <v>0</v>
          </cell>
          <cell r="I363">
            <v>0</v>
          </cell>
        </row>
        <row r="364">
          <cell r="A364">
            <v>347</v>
          </cell>
          <cell r="B364">
            <v>50025</v>
          </cell>
          <cell r="C364">
            <v>0</v>
          </cell>
          <cell r="D364">
            <v>1431843.4770186241</v>
          </cell>
          <cell r="E364">
            <v>0</v>
          </cell>
          <cell r="F364">
            <v>0</v>
          </cell>
          <cell r="G364">
            <v>0</v>
          </cell>
          <cell r="H364">
            <v>0</v>
          </cell>
          <cell r="I364">
            <v>0</v>
          </cell>
        </row>
        <row r="365">
          <cell r="A365">
            <v>348</v>
          </cell>
          <cell r="B365">
            <v>50056</v>
          </cell>
          <cell r="C365">
            <v>0</v>
          </cell>
          <cell r="D365">
            <v>1431843.4770186241</v>
          </cell>
          <cell r="E365">
            <v>0</v>
          </cell>
          <cell r="F365">
            <v>0</v>
          </cell>
          <cell r="G365">
            <v>0</v>
          </cell>
          <cell r="H365">
            <v>0</v>
          </cell>
          <cell r="I365">
            <v>0</v>
          </cell>
        </row>
        <row r="366">
          <cell r="A366">
            <v>349</v>
          </cell>
          <cell r="B366">
            <v>50087</v>
          </cell>
          <cell r="C366">
            <v>0</v>
          </cell>
          <cell r="D366">
            <v>1431843.4770186241</v>
          </cell>
          <cell r="E366">
            <v>0</v>
          </cell>
          <cell r="F366">
            <v>0</v>
          </cell>
          <cell r="G366">
            <v>0</v>
          </cell>
          <cell r="H366">
            <v>0</v>
          </cell>
          <cell r="I366">
            <v>0</v>
          </cell>
        </row>
        <row r="367">
          <cell r="A367">
            <v>350</v>
          </cell>
          <cell r="B367">
            <v>50115</v>
          </cell>
          <cell r="C367">
            <v>0</v>
          </cell>
          <cell r="D367">
            <v>1431843.4770186241</v>
          </cell>
          <cell r="E367">
            <v>0</v>
          </cell>
          <cell r="F367">
            <v>0</v>
          </cell>
          <cell r="G367">
            <v>0</v>
          </cell>
          <cell r="H367">
            <v>0</v>
          </cell>
          <cell r="I367">
            <v>0</v>
          </cell>
        </row>
        <row r="368">
          <cell r="A368">
            <v>351</v>
          </cell>
          <cell r="B368">
            <v>50146</v>
          </cell>
          <cell r="C368">
            <v>0</v>
          </cell>
          <cell r="D368">
            <v>1431843.4770186241</v>
          </cell>
          <cell r="E368">
            <v>0</v>
          </cell>
          <cell r="F368">
            <v>0</v>
          </cell>
          <cell r="G368">
            <v>0</v>
          </cell>
          <cell r="H368">
            <v>0</v>
          </cell>
          <cell r="I368">
            <v>0</v>
          </cell>
        </row>
        <row r="369">
          <cell r="A369">
            <v>352</v>
          </cell>
          <cell r="B369">
            <v>50176</v>
          </cell>
          <cell r="C369">
            <v>0</v>
          </cell>
          <cell r="D369">
            <v>1431843.4770186241</v>
          </cell>
          <cell r="E369">
            <v>0</v>
          </cell>
          <cell r="F369">
            <v>0</v>
          </cell>
          <cell r="G369">
            <v>0</v>
          </cell>
          <cell r="H369">
            <v>0</v>
          </cell>
          <cell r="I369">
            <v>0</v>
          </cell>
        </row>
        <row r="370">
          <cell r="A370">
            <v>353</v>
          </cell>
          <cell r="B370">
            <v>50207</v>
          </cell>
          <cell r="C370">
            <v>0</v>
          </cell>
          <cell r="D370">
            <v>1431843.4770186241</v>
          </cell>
          <cell r="E370">
            <v>0</v>
          </cell>
          <cell r="F370">
            <v>0</v>
          </cell>
          <cell r="G370">
            <v>0</v>
          </cell>
          <cell r="H370">
            <v>0</v>
          </cell>
          <cell r="I370">
            <v>0</v>
          </cell>
        </row>
        <row r="371">
          <cell r="A371">
            <v>354</v>
          </cell>
          <cell r="B371">
            <v>50237</v>
          </cell>
          <cell r="C371">
            <v>0</v>
          </cell>
          <cell r="D371">
            <v>1431843.4770186241</v>
          </cell>
          <cell r="E371">
            <v>0</v>
          </cell>
          <cell r="F371">
            <v>0</v>
          </cell>
          <cell r="G371">
            <v>0</v>
          </cell>
          <cell r="H371">
            <v>0</v>
          </cell>
          <cell r="I371">
            <v>0</v>
          </cell>
        </row>
        <row r="372">
          <cell r="A372">
            <v>355</v>
          </cell>
          <cell r="B372">
            <v>50268</v>
          </cell>
          <cell r="C372">
            <v>0</v>
          </cell>
          <cell r="D372">
            <v>1431843.4770186241</v>
          </cell>
          <cell r="E372">
            <v>0</v>
          </cell>
          <cell r="F372">
            <v>0</v>
          </cell>
          <cell r="G372">
            <v>0</v>
          </cell>
          <cell r="H372">
            <v>0</v>
          </cell>
          <cell r="I372">
            <v>0</v>
          </cell>
        </row>
        <row r="373">
          <cell r="A373">
            <v>356</v>
          </cell>
          <cell r="B373">
            <v>50299</v>
          </cell>
          <cell r="C373">
            <v>0</v>
          </cell>
          <cell r="D373">
            <v>1431843.4770186241</v>
          </cell>
          <cell r="E373">
            <v>0</v>
          </cell>
          <cell r="F373">
            <v>0</v>
          </cell>
          <cell r="G373">
            <v>0</v>
          </cell>
          <cell r="H373">
            <v>0</v>
          </cell>
          <cell r="I373">
            <v>0</v>
          </cell>
        </row>
        <row r="374">
          <cell r="A374">
            <v>357</v>
          </cell>
          <cell r="B374">
            <v>50329</v>
          </cell>
          <cell r="C374">
            <v>0</v>
          </cell>
          <cell r="D374">
            <v>1431843.4770186241</v>
          </cell>
          <cell r="E374">
            <v>0</v>
          </cell>
          <cell r="F374">
            <v>0</v>
          </cell>
          <cell r="G374">
            <v>0</v>
          </cell>
          <cell r="H374">
            <v>0</v>
          </cell>
          <cell r="I374">
            <v>0</v>
          </cell>
        </row>
        <row r="375">
          <cell r="A375">
            <v>358</v>
          </cell>
          <cell r="B375">
            <v>50360</v>
          </cell>
          <cell r="C375">
            <v>0</v>
          </cell>
          <cell r="D375">
            <v>1431843.4770186241</v>
          </cell>
          <cell r="E375">
            <v>0</v>
          </cell>
          <cell r="F375">
            <v>0</v>
          </cell>
          <cell r="G375">
            <v>0</v>
          </cell>
          <cell r="H375">
            <v>0</v>
          </cell>
          <cell r="I375">
            <v>0</v>
          </cell>
        </row>
        <row r="376">
          <cell r="A376">
            <v>359</v>
          </cell>
          <cell r="B376">
            <v>50390</v>
          </cell>
          <cell r="C376">
            <v>0</v>
          </cell>
          <cell r="D376">
            <v>1431843.4770186241</v>
          </cell>
          <cell r="E376">
            <v>0</v>
          </cell>
          <cell r="F376">
            <v>0</v>
          </cell>
          <cell r="G376">
            <v>0</v>
          </cell>
          <cell r="H376">
            <v>0</v>
          </cell>
          <cell r="I376">
            <v>0</v>
          </cell>
        </row>
        <row r="377">
          <cell r="A377">
            <v>360</v>
          </cell>
          <cell r="B377">
            <v>50421</v>
          </cell>
          <cell r="C377">
            <v>0</v>
          </cell>
          <cell r="D377">
            <v>1431843.4770186241</v>
          </cell>
          <cell r="E377">
            <v>0</v>
          </cell>
          <cell r="F377">
            <v>0</v>
          </cell>
          <cell r="G377">
            <v>0</v>
          </cell>
          <cell r="H377">
            <v>0</v>
          </cell>
          <cell r="I37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Resultado"/>
      <sheetName val="ACTIVO"/>
      <sheetName val="PASIVO"/>
      <sheetName val="EGRESOS"/>
      <sheetName val="INGRESOS"/>
      <sheetName val="ENCAB"/>
      <sheetName val="BALANCE"/>
      <sheetName val="RESULTAD"/>
      <sheetName val="EVOLUC"/>
      <sheetName val="Flujo de Efectivo"/>
      <sheetName val="Flujocaja"/>
      <sheetName val="BIENUSO A"/>
      <sheetName val="BIENUSO"/>
      <sheetName val="ACTINTA B"/>
      <sheetName val="INVACDE C"/>
      <sheetName val="OTRAINV D"/>
      <sheetName val="PREVIS E "/>
      <sheetName val="COSTOMAC F"/>
      <sheetName val="ACTEXT G"/>
      <sheetName val="Costos y Gastos H"/>
      <sheetName val="CostosyGastos"/>
      <sheetName val="DATOSES I"/>
      <sheetName val="INDICES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 1 Proj budget"/>
      <sheetName val="Hoja1"/>
      <sheetName val="PKF"/>
      <sheetName val="Detalle de Gastos"/>
      <sheetName val="Pres c. camionetas"/>
      <sheetName val="Informe de compatibilidad"/>
    </sheetNames>
    <sheetDataSet>
      <sheetData sheetId="0">
        <row r="170">
          <cell r="E170">
            <v>1110931.5865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FF0000"/>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64"/>
  <sheetViews>
    <sheetView showGridLines="0" view="pageBreakPreview" zoomScale="80" zoomScaleNormal="75" zoomScaleSheetLayoutView="80" workbookViewId="0"/>
  </sheetViews>
  <sheetFormatPr baseColWidth="10" defaultColWidth="11.42578125" defaultRowHeight="14.25"/>
  <cols>
    <col min="1" max="1" width="1.85546875" style="239" customWidth="1"/>
    <col min="2" max="2" width="0.7109375" style="148" customWidth="1"/>
    <col min="3" max="3" width="25.140625" style="237" customWidth="1"/>
    <col min="4" max="4" width="53.85546875" style="238" bestFit="1" customWidth="1"/>
    <col min="5" max="5" width="22.85546875" style="148" hidden="1" customWidth="1"/>
    <col min="6" max="6" width="7.85546875" style="148" hidden="1" customWidth="1"/>
    <col min="7" max="7" width="22.85546875" style="148" bestFit="1" customWidth="1"/>
    <col min="8" max="8" width="8.5703125" style="148" customWidth="1"/>
    <col min="9" max="9" width="23.28515625" style="148" customWidth="1"/>
    <col min="10" max="10" width="9.85546875" style="148" hidden="1" customWidth="1"/>
    <col min="11" max="11" width="6" style="148" bestFit="1" customWidth="1"/>
    <col min="12" max="12" width="25.28515625" style="148" bestFit="1" customWidth="1"/>
    <col min="13" max="13" width="14.28515625" style="148" bestFit="1" customWidth="1"/>
    <col min="14" max="14" width="0.85546875" style="148" customWidth="1"/>
    <col min="15" max="15" width="1.7109375" style="239" customWidth="1"/>
    <col min="16" max="16" width="11.42578125" style="148"/>
    <col min="17" max="17" width="17.28515625" style="240" bestFit="1" customWidth="1"/>
    <col min="18" max="16384" width="11.42578125" style="148"/>
  </cols>
  <sheetData>
    <row r="1" spans="1:17" s="134" customFormat="1" ht="15">
      <c r="A1" s="130"/>
      <c r="B1" s="131"/>
      <c r="C1" s="132"/>
      <c r="D1" s="132"/>
      <c r="E1" s="132"/>
      <c r="F1" s="132"/>
      <c r="G1" s="132"/>
      <c r="H1" s="132"/>
      <c r="I1" s="132"/>
      <c r="J1" s="132"/>
      <c r="K1" s="132"/>
      <c r="L1" s="132"/>
      <c r="M1" s="133" t="s">
        <v>389</v>
      </c>
      <c r="O1" s="130"/>
      <c r="Q1" s="135"/>
    </row>
    <row r="2" spans="1:17" s="134" customFormat="1" ht="4.5" customHeight="1">
      <c r="A2" s="130"/>
      <c r="B2" s="131"/>
      <c r="O2" s="130"/>
      <c r="Q2" s="135"/>
    </row>
    <row r="3" spans="1:17" s="134" customFormat="1" ht="3.75" customHeight="1">
      <c r="A3" s="130"/>
      <c r="B3" s="131"/>
      <c r="C3" s="132"/>
      <c r="D3" s="132"/>
      <c r="E3" s="132"/>
      <c r="F3" s="132"/>
      <c r="G3" s="132"/>
      <c r="H3" s="132"/>
      <c r="I3" s="132"/>
      <c r="J3" s="132"/>
      <c r="K3" s="132"/>
      <c r="L3" s="132"/>
      <c r="M3" s="132"/>
      <c r="O3" s="130"/>
      <c r="Q3" s="135"/>
    </row>
    <row r="4" spans="1:17" s="134" customFormat="1" ht="15">
      <c r="A4" s="130"/>
      <c r="B4" s="131"/>
      <c r="C4" s="136"/>
      <c r="D4" s="137"/>
      <c r="E4" s="138"/>
      <c r="F4" s="138"/>
      <c r="G4" s="138"/>
      <c r="H4" s="138"/>
      <c r="I4" s="138"/>
      <c r="J4" s="138"/>
      <c r="K4" s="138"/>
      <c r="L4" s="137"/>
      <c r="M4" s="139"/>
      <c r="O4" s="130"/>
      <c r="Q4" s="135"/>
    </row>
    <row r="5" spans="1:17" s="134" customFormat="1" ht="12.75" customHeight="1">
      <c r="A5" s="130"/>
      <c r="B5" s="131"/>
      <c r="C5" s="140" t="s">
        <v>390</v>
      </c>
      <c r="D5" s="137"/>
      <c r="E5" s="138"/>
      <c r="F5" s="138"/>
      <c r="G5" s="141"/>
      <c r="H5" s="138"/>
      <c r="I5" s="138"/>
      <c r="J5" s="138"/>
      <c r="K5" s="138"/>
      <c r="L5" s="137"/>
      <c r="M5" s="139"/>
      <c r="O5" s="130"/>
      <c r="Q5" s="135"/>
    </row>
    <row r="6" spans="1:17" s="134" customFormat="1" ht="12.75" customHeight="1">
      <c r="A6" s="130"/>
      <c r="B6" s="131"/>
      <c r="C6" s="136"/>
      <c r="D6" s="137"/>
      <c r="E6" s="138"/>
      <c r="F6" s="138"/>
      <c r="G6" s="138"/>
      <c r="H6" s="138"/>
      <c r="I6" s="138"/>
      <c r="J6" s="138"/>
      <c r="K6" s="138"/>
      <c r="L6" s="137"/>
      <c r="M6" s="139"/>
      <c r="O6" s="130"/>
      <c r="Q6" s="135"/>
    </row>
    <row r="7" spans="1:17" s="134" customFormat="1" ht="12.75" customHeight="1" thickBot="1">
      <c r="A7" s="130"/>
      <c r="B7" s="131"/>
      <c r="C7" s="142"/>
      <c r="D7" s="143"/>
      <c r="E7" s="144"/>
      <c r="F7" s="144"/>
      <c r="G7" s="144"/>
      <c r="H7" s="144"/>
      <c r="I7" s="144"/>
      <c r="J7" s="144"/>
      <c r="K7" s="144"/>
      <c r="L7" s="143"/>
      <c r="M7" s="145"/>
      <c r="O7" s="130"/>
      <c r="Q7" s="135"/>
    </row>
    <row r="8" spans="1:17" s="134" customFormat="1" ht="12.75" customHeight="1">
      <c r="A8" s="130"/>
      <c r="B8" s="131"/>
      <c r="C8" s="136"/>
      <c r="D8" s="137"/>
      <c r="E8" s="138"/>
      <c r="F8" s="138"/>
      <c r="G8" s="138"/>
      <c r="H8" s="138"/>
      <c r="I8" s="138"/>
      <c r="J8" s="138"/>
      <c r="K8" s="138"/>
      <c r="L8" s="137"/>
      <c r="M8" s="139"/>
      <c r="O8" s="130"/>
      <c r="Q8" s="135"/>
    </row>
    <row r="9" spans="1:17" s="134" customFormat="1" ht="15">
      <c r="A9" s="130"/>
      <c r="B9" s="131"/>
      <c r="C9" s="146" t="s">
        <v>391</v>
      </c>
      <c r="D9" s="147" t="s">
        <v>392</v>
      </c>
      <c r="E9" s="148"/>
      <c r="F9" s="148"/>
      <c r="G9" s="148"/>
      <c r="H9" s="148"/>
      <c r="I9" s="148"/>
      <c r="J9" s="148"/>
      <c r="K9" s="148"/>
      <c r="L9" s="149" t="s">
        <v>393</v>
      </c>
      <c r="M9" s="150" t="s">
        <v>394</v>
      </c>
      <c r="O9" s="130"/>
      <c r="Q9" s="135"/>
    </row>
    <row r="10" spans="1:17" s="134" customFormat="1" ht="15">
      <c r="A10" s="130"/>
      <c r="B10" s="131"/>
      <c r="C10" s="146" t="s">
        <v>395</v>
      </c>
      <c r="D10" s="151" t="s">
        <v>396</v>
      </c>
      <c r="E10" s="148"/>
      <c r="F10" s="148"/>
      <c r="G10" s="148"/>
      <c r="H10" s="148"/>
      <c r="I10" s="148"/>
      <c r="J10" s="148"/>
      <c r="K10" s="148"/>
      <c r="L10" s="152" t="s">
        <v>397</v>
      </c>
      <c r="M10" s="153">
        <v>41017</v>
      </c>
      <c r="O10" s="130"/>
      <c r="Q10" s="135"/>
    </row>
    <row r="11" spans="1:17" s="134" customFormat="1" ht="15">
      <c r="A11" s="130"/>
      <c r="B11" s="131"/>
      <c r="C11" s="154" t="s">
        <v>398</v>
      </c>
      <c r="D11" s="151" t="s">
        <v>399</v>
      </c>
      <c r="E11" s="137"/>
      <c r="F11" s="137"/>
      <c r="G11" s="137"/>
      <c r="H11" s="137"/>
      <c r="I11" s="137"/>
      <c r="J11" s="137"/>
      <c r="K11" s="137"/>
      <c r="L11" s="152" t="s">
        <v>400</v>
      </c>
      <c r="M11" s="155"/>
      <c r="O11" s="130"/>
      <c r="Q11" s="135"/>
    </row>
    <row r="12" spans="1:17" s="134" customFormat="1" ht="12.75" customHeight="1">
      <c r="A12" s="130"/>
      <c r="B12" s="131"/>
      <c r="C12" s="156"/>
      <c r="D12" s="156"/>
      <c r="E12" s="137"/>
      <c r="F12" s="137"/>
      <c r="G12" s="137"/>
      <c r="H12" s="137"/>
      <c r="I12" s="137"/>
      <c r="J12" s="137"/>
      <c r="K12" s="137"/>
      <c r="L12" s="157"/>
      <c r="M12" s="157"/>
      <c r="O12" s="130"/>
      <c r="Q12" s="135"/>
    </row>
    <row r="13" spans="1:17" s="134" customFormat="1" ht="15.75" thickBot="1">
      <c r="A13" s="130"/>
      <c r="B13" s="131"/>
      <c r="C13" s="158" t="s">
        <v>401</v>
      </c>
      <c r="D13" s="158"/>
      <c r="E13" s="144"/>
      <c r="F13" s="144"/>
      <c r="G13" s="144"/>
      <c r="H13" s="144"/>
      <c r="I13" s="144"/>
      <c r="J13" s="144"/>
      <c r="K13" s="144"/>
      <c r="L13" s="143"/>
      <c r="M13" s="159"/>
      <c r="O13" s="130"/>
      <c r="Q13" s="135"/>
    </row>
    <row r="14" spans="1:17" s="134" customFormat="1">
      <c r="A14" s="130"/>
      <c r="B14" s="131"/>
      <c r="C14" s="137"/>
      <c r="D14" s="137"/>
      <c r="E14" s="148"/>
      <c r="F14" s="148"/>
      <c r="G14" s="148"/>
      <c r="H14" s="148"/>
      <c r="I14" s="148"/>
      <c r="J14" s="148"/>
      <c r="K14" s="148"/>
      <c r="L14" s="137"/>
      <c r="M14" s="157"/>
      <c r="O14" s="130"/>
      <c r="Q14" s="135"/>
    </row>
    <row r="15" spans="1:17" s="134" customFormat="1" ht="15">
      <c r="A15" s="130"/>
      <c r="B15" s="131"/>
      <c r="C15" s="152" t="s">
        <v>402</v>
      </c>
      <c r="D15" s="160">
        <f>I22</f>
        <v>33597584779</v>
      </c>
      <c r="F15" s="148"/>
      <c r="G15" s="148"/>
      <c r="H15" s="148"/>
      <c r="I15" s="148"/>
      <c r="J15" s="148"/>
      <c r="K15" s="148"/>
      <c r="L15" s="161" t="s">
        <v>403</v>
      </c>
      <c r="M15" s="161"/>
      <c r="O15" s="130"/>
      <c r="Q15" s="135"/>
    </row>
    <row r="16" spans="1:17" s="134" customFormat="1" ht="15">
      <c r="A16" s="130"/>
      <c r="B16" s="131"/>
      <c r="C16" s="152" t="s">
        <v>404</v>
      </c>
      <c r="D16" s="160">
        <f>+D15*1%</f>
        <v>335975847.79000002</v>
      </c>
      <c r="F16" s="162"/>
      <c r="G16" s="162"/>
      <c r="H16" s="162"/>
      <c r="I16" s="163"/>
      <c r="J16" s="162"/>
      <c r="K16" s="162"/>
      <c r="L16" s="164" t="s">
        <v>405</v>
      </c>
      <c r="M16" s="165" t="s">
        <v>396</v>
      </c>
      <c r="O16" s="130"/>
      <c r="Q16" s="135"/>
    </row>
    <row r="17" spans="1:17" s="134" customFormat="1" ht="15">
      <c r="A17" s="130"/>
      <c r="B17" s="131"/>
      <c r="C17" s="166" t="s">
        <v>406</v>
      </c>
      <c r="D17" s="160">
        <f>+D16*50%</f>
        <v>167987923.89500001</v>
      </c>
      <c r="F17" s="162"/>
      <c r="G17" s="162"/>
      <c r="H17" s="162"/>
      <c r="I17" s="163"/>
      <c r="J17" s="162"/>
      <c r="K17" s="162"/>
      <c r="L17" s="164" t="s">
        <v>407</v>
      </c>
      <c r="M17" s="165">
        <v>41013</v>
      </c>
      <c r="O17" s="130"/>
      <c r="Q17" s="135"/>
    </row>
    <row r="18" spans="1:17" s="134" customFormat="1" ht="15">
      <c r="A18" s="130"/>
      <c r="B18" s="131"/>
      <c r="C18" s="152" t="s">
        <v>408</v>
      </c>
      <c r="D18" s="160">
        <f>+D17*5%</f>
        <v>8399396.1947500017</v>
      </c>
      <c r="F18" s="162"/>
      <c r="G18" s="162"/>
      <c r="H18" s="162"/>
      <c r="I18" s="162"/>
      <c r="J18" s="162"/>
      <c r="K18" s="162"/>
      <c r="L18" s="164" t="s">
        <v>409</v>
      </c>
      <c r="M18" s="165">
        <v>41016</v>
      </c>
      <c r="O18" s="130"/>
      <c r="Q18" s="135"/>
    </row>
    <row r="19" spans="1:17" s="134" customFormat="1" ht="6.75" customHeight="1" thickBot="1">
      <c r="A19" s="130"/>
      <c r="B19" s="131"/>
      <c r="C19" s="167"/>
      <c r="D19" s="137"/>
      <c r="E19" s="148"/>
      <c r="F19" s="148"/>
      <c r="G19" s="148"/>
      <c r="H19" s="148"/>
      <c r="I19" s="148"/>
      <c r="J19" s="148"/>
      <c r="K19" s="148"/>
      <c r="L19" s="137"/>
      <c r="M19" s="157"/>
      <c r="O19" s="130"/>
      <c r="Q19" s="135"/>
    </row>
    <row r="20" spans="1:17" s="174" customFormat="1" ht="15.75" thickBot="1">
      <c r="A20" s="130"/>
      <c r="B20" s="131"/>
      <c r="C20" s="168" t="s">
        <v>410</v>
      </c>
      <c r="D20" s="169" t="s">
        <v>411</v>
      </c>
      <c r="E20" s="170" t="s">
        <v>412</v>
      </c>
      <c r="F20" s="171" t="s">
        <v>413</v>
      </c>
      <c r="G20" s="170" t="s">
        <v>414</v>
      </c>
      <c r="H20" s="171" t="s">
        <v>413</v>
      </c>
      <c r="I20" s="170" t="s">
        <v>415</v>
      </c>
      <c r="J20" s="171" t="s">
        <v>413</v>
      </c>
      <c r="K20" s="172" t="s">
        <v>416</v>
      </c>
      <c r="L20" s="173" t="s">
        <v>417</v>
      </c>
      <c r="M20" s="171" t="s">
        <v>413</v>
      </c>
      <c r="O20" s="130"/>
      <c r="Q20" s="175"/>
    </row>
    <row r="21" spans="1:17" s="179" customFormat="1" ht="4.5" customHeight="1" thickBot="1">
      <c r="A21" s="130"/>
      <c r="B21" s="131"/>
      <c r="C21" s="149"/>
      <c r="D21" s="176"/>
      <c r="E21" s="177"/>
      <c r="F21" s="177"/>
      <c r="G21" s="178"/>
      <c r="H21" s="177"/>
      <c r="I21" s="177"/>
      <c r="J21" s="177"/>
      <c r="K21" s="177"/>
      <c r="L21" s="177"/>
      <c r="M21" s="177"/>
      <c r="O21" s="130"/>
      <c r="Q21" s="180"/>
    </row>
    <row r="22" spans="1:17" s="131" customFormat="1" ht="15">
      <c r="A22" s="130"/>
      <c r="C22" s="181" t="s">
        <v>418</v>
      </c>
      <c r="D22" s="182" t="s">
        <v>419</v>
      </c>
      <c r="E22" s="183"/>
      <c r="F22" s="184" t="e">
        <f>+E22/$E$22</f>
        <v>#DIV/0!</v>
      </c>
      <c r="G22" s="183">
        <f>+G23+G73</f>
        <v>23611314151</v>
      </c>
      <c r="H22" s="184">
        <f>G22/G22</f>
        <v>1</v>
      </c>
      <c r="I22" s="183">
        <f>+I23+I73</f>
        <v>33597584779</v>
      </c>
      <c r="J22" s="184">
        <f>I22/I22</f>
        <v>1</v>
      </c>
      <c r="K22" s="185"/>
      <c r="L22" s="186">
        <f>I22-G22</f>
        <v>9986270628</v>
      </c>
      <c r="M22" s="184">
        <f>L22/G22</f>
        <v>0.42294429543969519</v>
      </c>
      <c r="O22" s="130"/>
      <c r="Q22" s="187"/>
    </row>
    <row r="23" spans="1:17" s="131" customFormat="1" ht="15">
      <c r="A23" s="130"/>
      <c r="C23" s="188"/>
      <c r="D23" s="189" t="s">
        <v>5</v>
      </c>
      <c r="E23" s="190"/>
      <c r="F23" s="191" t="e">
        <f>+E23/$E$22</f>
        <v>#DIV/0!</v>
      </c>
      <c r="G23" s="190">
        <f>+G24+G43+G47+G50+G66</f>
        <v>20510285206</v>
      </c>
      <c r="H23" s="192">
        <f t="shared" ref="H23:H92" si="0">G23/G$22</f>
        <v>0.86866343291321357</v>
      </c>
      <c r="I23" s="190">
        <f>+I24+I43+I47+I50+I66</f>
        <v>30963043878</v>
      </c>
      <c r="J23" s="191">
        <f>I23/I$22</f>
        <v>0.92158540804853606</v>
      </c>
      <c r="K23" s="193"/>
      <c r="L23" s="190">
        <f t="shared" ref="L23:L86" si="1">I23-G23</f>
        <v>10452758672</v>
      </c>
      <c r="M23" s="191">
        <f t="shared" ref="M23:M86" si="2">L23/G23</f>
        <v>0.50963497421002169</v>
      </c>
      <c r="O23" s="130"/>
      <c r="Q23" s="187"/>
    </row>
    <row r="24" spans="1:17" s="196" customFormat="1" ht="15">
      <c r="A24" s="130"/>
      <c r="B24" s="131"/>
      <c r="C24" s="194"/>
      <c r="D24" s="195" t="s">
        <v>6</v>
      </c>
      <c r="E24" s="190"/>
      <c r="F24" s="191" t="e">
        <f>+E24/$E$22</f>
        <v>#DIV/0!</v>
      </c>
      <c r="G24" s="190">
        <f>+SUM(G25:G42)</f>
        <v>1010747863</v>
      </c>
      <c r="H24" s="192">
        <f t="shared" si="0"/>
        <v>4.2807776667407232E-2</v>
      </c>
      <c r="I24" s="190">
        <f>+SUM(I25:I42)</f>
        <v>696702798</v>
      </c>
      <c r="J24" s="191">
        <f>I24/I$22</f>
        <v>2.0736692907624435E-2</v>
      </c>
      <c r="K24" s="193"/>
      <c r="L24" s="190">
        <f t="shared" si="1"/>
        <v>-314045065</v>
      </c>
      <c r="M24" s="191">
        <f t="shared" si="2"/>
        <v>-0.31070564331235195</v>
      </c>
      <c r="O24" s="130"/>
      <c r="Q24" s="187"/>
    </row>
    <row r="25" spans="1:17" s="131" customFormat="1">
      <c r="A25" s="130"/>
      <c r="C25" s="197"/>
      <c r="D25" s="198" t="s">
        <v>420</v>
      </c>
      <c r="E25" s="199"/>
      <c r="F25" s="192" t="e">
        <f>E25/E$22</f>
        <v>#DIV/0!</v>
      </c>
      <c r="G25" s="199">
        <v>606872893</v>
      </c>
      <c r="H25" s="192">
        <f t="shared" si="0"/>
        <v>2.5702630913252127E-2</v>
      </c>
      <c r="I25" s="199">
        <v>283454653</v>
      </c>
      <c r="J25" s="192">
        <f t="shared" ref="J25:J91" si="3">I25/I$22</f>
        <v>8.4367568342939899E-3</v>
      </c>
      <c r="K25" s="200"/>
      <c r="L25" s="199">
        <f t="shared" si="1"/>
        <v>-323418240</v>
      </c>
      <c r="M25" s="192">
        <f t="shared" si="2"/>
        <v>-0.53292582965968793</v>
      </c>
      <c r="O25" s="130"/>
      <c r="Q25" s="187"/>
    </row>
    <row r="26" spans="1:17" s="131" customFormat="1" hidden="1">
      <c r="A26" s="130"/>
      <c r="C26" s="197"/>
      <c r="D26" s="198" t="s">
        <v>421</v>
      </c>
      <c r="E26" s="199"/>
      <c r="F26" s="192"/>
      <c r="G26" s="199">
        <v>0</v>
      </c>
      <c r="H26" s="192">
        <f t="shared" si="0"/>
        <v>0</v>
      </c>
      <c r="I26" s="199">
        <v>0</v>
      </c>
      <c r="J26" s="192"/>
      <c r="K26" s="200"/>
      <c r="L26" s="199">
        <f t="shared" si="1"/>
        <v>0</v>
      </c>
      <c r="M26" s="192">
        <v>0</v>
      </c>
      <c r="O26" s="130"/>
      <c r="Q26" s="187"/>
    </row>
    <row r="27" spans="1:17" s="131" customFormat="1">
      <c r="A27" s="130"/>
      <c r="C27" s="197"/>
      <c r="D27" s="198" t="s">
        <v>377</v>
      </c>
      <c r="E27" s="199"/>
      <c r="F27" s="192"/>
      <c r="G27" s="199">
        <v>1487397</v>
      </c>
      <c r="H27" s="192">
        <f t="shared" si="0"/>
        <v>6.2995095931032909E-5</v>
      </c>
      <c r="I27" s="199">
        <v>0</v>
      </c>
      <c r="J27" s="192"/>
      <c r="K27" s="200"/>
      <c r="L27" s="199">
        <f t="shared" si="1"/>
        <v>-1487397</v>
      </c>
      <c r="M27" s="192">
        <f t="shared" si="2"/>
        <v>-1</v>
      </c>
      <c r="O27" s="130"/>
      <c r="Q27" s="187"/>
    </row>
    <row r="28" spans="1:17" s="131" customFormat="1" hidden="1">
      <c r="A28" s="130"/>
      <c r="C28" s="197"/>
      <c r="D28" s="198" t="s">
        <v>422</v>
      </c>
      <c r="E28" s="199"/>
      <c r="F28" s="192"/>
      <c r="G28" s="199">
        <v>0</v>
      </c>
      <c r="H28" s="192">
        <f t="shared" si="0"/>
        <v>0</v>
      </c>
      <c r="I28" s="199">
        <v>0</v>
      </c>
      <c r="J28" s="192"/>
      <c r="K28" s="200"/>
      <c r="L28" s="199">
        <f t="shared" si="1"/>
        <v>0</v>
      </c>
      <c r="M28" s="192">
        <v>0</v>
      </c>
      <c r="O28" s="130"/>
      <c r="Q28" s="187"/>
    </row>
    <row r="29" spans="1:17" s="131" customFormat="1">
      <c r="A29" s="130"/>
      <c r="C29" s="201"/>
      <c r="D29" s="198" t="s">
        <v>379</v>
      </c>
      <c r="E29" s="199"/>
      <c r="F29" s="192" t="e">
        <f>E29/E$22</f>
        <v>#DIV/0!</v>
      </c>
      <c r="G29" s="199">
        <v>0</v>
      </c>
      <c r="H29" s="192">
        <f t="shared" si="0"/>
        <v>0</v>
      </c>
      <c r="I29" s="199">
        <v>373710000</v>
      </c>
      <c r="J29" s="192">
        <f t="shared" si="3"/>
        <v>1.1123120976052586E-2</v>
      </c>
      <c r="K29" s="200"/>
      <c r="L29" s="199">
        <f t="shared" si="1"/>
        <v>373710000</v>
      </c>
      <c r="M29" s="192">
        <v>1</v>
      </c>
      <c r="O29" s="130"/>
      <c r="Q29" s="187"/>
    </row>
    <row r="30" spans="1:17" s="131" customFormat="1">
      <c r="A30" s="130"/>
      <c r="C30" s="201"/>
      <c r="D30" s="198" t="s">
        <v>380</v>
      </c>
      <c r="E30" s="199"/>
      <c r="F30" s="192"/>
      <c r="G30" s="199">
        <v>4897574</v>
      </c>
      <c r="H30" s="192">
        <v>0</v>
      </c>
      <c r="I30" s="199">
        <v>4574049</v>
      </c>
      <c r="J30" s="192"/>
      <c r="K30" s="200"/>
      <c r="L30" s="199">
        <f t="shared" si="1"/>
        <v>-323525</v>
      </c>
      <c r="M30" s="192">
        <f t="shared" si="2"/>
        <v>-6.6058215761517852E-2</v>
      </c>
      <c r="O30" s="130"/>
      <c r="Q30" s="187"/>
    </row>
    <row r="31" spans="1:17" s="131" customFormat="1">
      <c r="A31" s="130"/>
      <c r="C31" s="201"/>
      <c r="D31" s="198" t="s">
        <v>381</v>
      </c>
      <c r="E31" s="199"/>
      <c r="F31" s="192"/>
      <c r="G31" s="199">
        <v>6478191</v>
      </c>
      <c r="H31" s="192">
        <f t="shared" si="0"/>
        <v>2.7436808296947893E-4</v>
      </c>
      <c r="I31" s="199">
        <v>11434668</v>
      </c>
      <c r="J31" s="192">
        <f t="shared" si="3"/>
        <v>3.4034196431724403E-4</v>
      </c>
      <c r="K31" s="200"/>
      <c r="L31" s="199">
        <f t="shared" si="1"/>
        <v>4956477</v>
      </c>
      <c r="M31" s="192">
        <f t="shared" si="2"/>
        <v>0.76510201690564539</v>
      </c>
      <c r="O31" s="130"/>
      <c r="Q31" s="187"/>
    </row>
    <row r="32" spans="1:17" s="131" customFormat="1">
      <c r="A32" s="130"/>
      <c r="C32" s="201"/>
      <c r="D32" s="198" t="s">
        <v>382</v>
      </c>
      <c r="E32" s="199"/>
      <c r="F32" s="192" t="e">
        <f t="shared" ref="F32:F45" si="4">E32/E$22</f>
        <v>#DIV/0!</v>
      </c>
      <c r="G32" s="199">
        <v>29914527</v>
      </c>
      <c r="H32" s="192">
        <f t="shared" si="0"/>
        <v>1.2669573073607614E-3</v>
      </c>
      <c r="I32" s="199">
        <v>5000000</v>
      </c>
      <c r="J32" s="192">
        <f t="shared" si="3"/>
        <v>1.4882022124177284E-4</v>
      </c>
      <c r="K32" s="200"/>
      <c r="L32" s="199">
        <f t="shared" si="1"/>
        <v>-24914527</v>
      </c>
      <c r="M32" s="192">
        <f t="shared" si="2"/>
        <v>-0.83285712657265143</v>
      </c>
      <c r="O32" s="130"/>
      <c r="Q32" s="187"/>
    </row>
    <row r="33" spans="1:17" s="131" customFormat="1">
      <c r="A33" s="130"/>
      <c r="C33" s="201"/>
      <c r="D33" s="198" t="s">
        <v>383</v>
      </c>
      <c r="E33" s="199"/>
      <c r="F33" s="192" t="e">
        <f t="shared" si="4"/>
        <v>#DIV/0!</v>
      </c>
      <c r="G33" s="199">
        <v>13113670</v>
      </c>
      <c r="H33" s="192">
        <f t="shared" si="0"/>
        <v>5.5539771806579444E-4</v>
      </c>
      <c r="I33" s="199">
        <v>5000000</v>
      </c>
      <c r="J33" s="192">
        <f t="shared" si="3"/>
        <v>1.4882022124177284E-4</v>
      </c>
      <c r="K33" s="200"/>
      <c r="L33" s="199">
        <f t="shared" si="1"/>
        <v>-8113670</v>
      </c>
      <c r="M33" s="192">
        <f t="shared" si="2"/>
        <v>-0.61871848231654447</v>
      </c>
      <c r="O33" s="130"/>
      <c r="Q33" s="187"/>
    </row>
    <row r="34" spans="1:17" s="131" customFormat="1">
      <c r="A34" s="130"/>
      <c r="C34" s="201"/>
      <c r="D34" s="198" t="s">
        <v>384</v>
      </c>
      <c r="E34" s="199"/>
      <c r="F34" s="192" t="e">
        <f>E34/E$22</f>
        <v>#DIV/0!</v>
      </c>
      <c r="G34" s="199">
        <v>2702803</v>
      </c>
      <c r="H34" s="192">
        <f t="shared" si="0"/>
        <v>1.1447067209876284E-4</v>
      </c>
      <c r="I34" s="199">
        <v>2702803</v>
      </c>
      <c r="J34" s="192">
        <f t="shared" si="3"/>
        <v>8.0446348086585484E-5</v>
      </c>
      <c r="K34" s="200"/>
      <c r="L34" s="199">
        <f t="shared" si="1"/>
        <v>0</v>
      </c>
      <c r="M34" s="192">
        <f t="shared" si="2"/>
        <v>0</v>
      </c>
      <c r="O34" s="130"/>
      <c r="Q34" s="187"/>
    </row>
    <row r="35" spans="1:17" s="131" customFormat="1">
      <c r="A35" s="130"/>
      <c r="C35" s="201"/>
      <c r="D35" s="202" t="s">
        <v>385</v>
      </c>
      <c r="E35" s="199"/>
      <c r="F35" s="192" t="e">
        <f>E35/E$22</f>
        <v>#DIV/0!</v>
      </c>
      <c r="G35" s="199">
        <v>29901627</v>
      </c>
      <c r="H35" s="192">
        <f t="shared" si="0"/>
        <v>1.2664109591178172E-3</v>
      </c>
      <c r="I35" s="199">
        <v>3082235</v>
      </c>
      <c r="J35" s="192">
        <f t="shared" si="3"/>
        <v>9.1739778923827155E-5</v>
      </c>
      <c r="K35" s="200"/>
      <c r="L35" s="199">
        <f t="shared" si="1"/>
        <v>-26819392</v>
      </c>
      <c r="M35" s="192">
        <f t="shared" si="2"/>
        <v>-0.89692082641523152</v>
      </c>
      <c r="O35" s="130"/>
      <c r="Q35" s="187"/>
    </row>
    <row r="36" spans="1:17" s="131" customFormat="1">
      <c r="A36" s="130"/>
      <c r="C36" s="201"/>
      <c r="D36" s="198" t="s">
        <v>386</v>
      </c>
      <c r="E36" s="199"/>
      <c r="F36" s="192" t="e">
        <f t="shared" si="4"/>
        <v>#DIV/0!</v>
      </c>
      <c r="G36" s="199">
        <v>4049135</v>
      </c>
      <c r="H36" s="192">
        <f t="shared" si="0"/>
        <v>1.7149130175918263E-4</v>
      </c>
      <c r="I36" s="199">
        <v>0</v>
      </c>
      <c r="J36" s="192">
        <f t="shared" si="3"/>
        <v>0</v>
      </c>
      <c r="K36" s="200"/>
      <c r="L36" s="199">
        <f t="shared" si="1"/>
        <v>-4049135</v>
      </c>
      <c r="M36" s="192">
        <f t="shared" si="2"/>
        <v>-1</v>
      </c>
      <c r="O36" s="130"/>
      <c r="Q36" s="187"/>
    </row>
    <row r="37" spans="1:17" s="131" customFormat="1">
      <c r="A37" s="130"/>
      <c r="C37" s="201"/>
      <c r="D37" s="203" t="s">
        <v>387</v>
      </c>
      <c r="E37" s="199"/>
      <c r="F37" s="192" t="e">
        <f t="shared" si="4"/>
        <v>#DIV/0!</v>
      </c>
      <c r="G37" s="199">
        <v>211809729</v>
      </c>
      <c r="H37" s="192">
        <f t="shared" si="0"/>
        <v>8.9706878509779736E-3</v>
      </c>
      <c r="I37" s="199">
        <v>2050083</v>
      </c>
      <c r="J37" s="192">
        <f t="shared" si="3"/>
        <v>6.1018761124799482E-5</v>
      </c>
      <c r="K37" s="200"/>
      <c r="L37" s="199">
        <f t="shared" si="1"/>
        <v>-209759646</v>
      </c>
      <c r="M37" s="192">
        <f t="shared" si="2"/>
        <v>-0.99032111032066894</v>
      </c>
      <c r="O37" s="130"/>
      <c r="Q37" s="187"/>
    </row>
    <row r="38" spans="1:17" s="131" customFormat="1">
      <c r="A38" s="130"/>
      <c r="C38" s="201"/>
      <c r="D38" s="202" t="s">
        <v>388</v>
      </c>
      <c r="E38" s="199"/>
      <c r="F38" s="192" t="e">
        <f>E38/E$22</f>
        <v>#DIV/0!</v>
      </c>
      <c r="G38" s="199">
        <v>33815399</v>
      </c>
      <c r="H38" s="192">
        <f t="shared" si="0"/>
        <v>1.4321692890002834E-3</v>
      </c>
      <c r="I38" s="199">
        <v>1309216</v>
      </c>
      <c r="J38" s="192">
        <f t="shared" si="3"/>
        <v>3.8967562954653774E-5</v>
      </c>
      <c r="K38" s="200"/>
      <c r="L38" s="199">
        <f t="shared" si="1"/>
        <v>-32506183</v>
      </c>
      <c r="M38" s="192">
        <f t="shared" si="2"/>
        <v>-0.96128343776159497</v>
      </c>
      <c r="O38" s="130"/>
      <c r="Q38" s="187"/>
    </row>
    <row r="39" spans="1:17" s="131" customFormat="1">
      <c r="A39" s="130"/>
      <c r="C39" s="201"/>
      <c r="D39" s="198" t="s">
        <v>423</v>
      </c>
      <c r="E39" s="199"/>
      <c r="F39" s="192" t="e">
        <f>E39/E$22</f>
        <v>#DIV/0!</v>
      </c>
      <c r="G39" s="199">
        <v>65704918</v>
      </c>
      <c r="H39" s="192">
        <f t="shared" si="0"/>
        <v>2.7827725970609404E-3</v>
      </c>
      <c r="I39" s="199">
        <v>0</v>
      </c>
      <c r="J39" s="192">
        <f t="shared" si="3"/>
        <v>0</v>
      </c>
      <c r="K39" s="200"/>
      <c r="L39" s="199">
        <f t="shared" si="1"/>
        <v>-65704918</v>
      </c>
      <c r="M39" s="192">
        <f t="shared" si="2"/>
        <v>-1</v>
      </c>
      <c r="O39" s="130"/>
      <c r="Q39" s="187"/>
    </row>
    <row r="40" spans="1:17" s="131" customFormat="1" hidden="1">
      <c r="A40" s="130"/>
      <c r="C40" s="201"/>
      <c r="D40" s="198" t="s">
        <v>424</v>
      </c>
      <c r="E40" s="199"/>
      <c r="F40" s="192" t="e">
        <f>E40/E$22</f>
        <v>#DIV/0!</v>
      </c>
      <c r="G40" s="199">
        <v>0</v>
      </c>
      <c r="H40" s="192">
        <f t="shared" si="0"/>
        <v>0</v>
      </c>
      <c r="I40" s="199">
        <v>0</v>
      </c>
      <c r="J40" s="192">
        <f t="shared" si="3"/>
        <v>0</v>
      </c>
      <c r="K40" s="200"/>
      <c r="L40" s="199">
        <f t="shared" si="1"/>
        <v>0</v>
      </c>
      <c r="M40" s="192">
        <v>0</v>
      </c>
      <c r="O40" s="130"/>
      <c r="Q40" s="187"/>
    </row>
    <row r="41" spans="1:17" s="131" customFormat="1">
      <c r="A41" s="130"/>
      <c r="C41" s="201"/>
      <c r="D41" s="203" t="s">
        <v>425</v>
      </c>
      <c r="E41" s="199"/>
      <c r="F41" s="192" t="e">
        <f t="shared" si="4"/>
        <v>#DIV/0!</v>
      </c>
      <c r="G41" s="199">
        <v>0</v>
      </c>
      <c r="H41" s="192">
        <f t="shared" si="0"/>
        <v>0</v>
      </c>
      <c r="I41" s="199">
        <v>1923591</v>
      </c>
      <c r="J41" s="192">
        <f t="shared" si="3"/>
        <v>5.7253847639736615E-5</v>
      </c>
      <c r="K41" s="200"/>
      <c r="L41" s="199">
        <f t="shared" si="1"/>
        <v>1923591</v>
      </c>
      <c r="M41" s="192">
        <v>1</v>
      </c>
      <c r="O41" s="130"/>
      <c r="Q41" s="187"/>
    </row>
    <row r="42" spans="1:17" s="131" customFormat="1">
      <c r="A42" s="130"/>
      <c r="C42" s="201"/>
      <c r="D42" s="203" t="s">
        <v>426</v>
      </c>
      <c r="E42" s="199"/>
      <c r="F42" s="192" t="e">
        <f t="shared" si="4"/>
        <v>#DIV/0!</v>
      </c>
      <c r="G42" s="199">
        <v>0</v>
      </c>
      <c r="H42" s="192">
        <f t="shared" si="0"/>
        <v>0</v>
      </c>
      <c r="I42" s="199">
        <v>2461500</v>
      </c>
      <c r="J42" s="192">
        <f t="shared" si="3"/>
        <v>7.3264194917324775E-5</v>
      </c>
      <c r="K42" s="200"/>
      <c r="L42" s="199">
        <f t="shared" si="1"/>
        <v>2461500</v>
      </c>
      <c r="M42" s="192">
        <v>1</v>
      </c>
      <c r="O42" s="130"/>
      <c r="Q42" s="187"/>
    </row>
    <row r="43" spans="1:17" s="131" customFormat="1" ht="15">
      <c r="A43" s="130"/>
      <c r="C43" s="194" t="s">
        <v>427</v>
      </c>
      <c r="D43" s="204" t="s">
        <v>428</v>
      </c>
      <c r="E43" s="199"/>
      <c r="F43" s="192" t="e">
        <f t="shared" si="4"/>
        <v>#DIV/0!</v>
      </c>
      <c r="G43" s="190">
        <f>+SUM(G44:G45)</f>
        <v>11529520</v>
      </c>
      <c r="H43" s="192">
        <f t="shared" si="0"/>
        <v>4.8830488325494982E-4</v>
      </c>
      <c r="I43" s="190">
        <f>+SUM(I44:I45)</f>
        <v>10754605</v>
      </c>
      <c r="J43" s="192">
        <f t="shared" si="3"/>
        <v>3.2010053909357531E-4</v>
      </c>
      <c r="K43" s="200"/>
      <c r="L43" s="199">
        <f t="shared" si="1"/>
        <v>-774915</v>
      </c>
      <c r="M43" s="192">
        <f t="shared" si="2"/>
        <v>-6.7211384342106176E-2</v>
      </c>
      <c r="O43" s="130"/>
      <c r="Q43" s="187"/>
    </row>
    <row r="44" spans="1:17" s="131" customFormat="1">
      <c r="A44" s="130"/>
      <c r="C44" s="201"/>
      <c r="D44" s="203" t="s">
        <v>429</v>
      </c>
      <c r="E44" s="199"/>
      <c r="F44" s="192" t="e">
        <f t="shared" si="4"/>
        <v>#DIV/0!</v>
      </c>
      <c r="G44" s="199">
        <v>775880</v>
      </c>
      <c r="H44" s="192">
        <f t="shared" si="0"/>
        <v>3.2860517421354095E-5</v>
      </c>
      <c r="I44" s="199">
        <v>775880</v>
      </c>
      <c r="J44" s="192">
        <f t="shared" si="3"/>
        <v>2.3093326651413343E-5</v>
      </c>
      <c r="K44" s="200"/>
      <c r="L44" s="199">
        <f t="shared" si="1"/>
        <v>0</v>
      </c>
      <c r="M44" s="192">
        <f t="shared" si="2"/>
        <v>0</v>
      </c>
      <c r="O44" s="130"/>
      <c r="Q44" s="187"/>
    </row>
    <row r="45" spans="1:17" s="131" customFormat="1">
      <c r="A45" s="130"/>
      <c r="C45" s="201"/>
      <c r="D45" s="203" t="s">
        <v>430</v>
      </c>
      <c r="E45" s="199"/>
      <c r="F45" s="192" t="e">
        <f t="shared" si="4"/>
        <v>#DIV/0!</v>
      </c>
      <c r="G45" s="199">
        <v>10753640</v>
      </c>
      <c r="H45" s="192">
        <f t="shared" si="0"/>
        <v>4.5544436583359573E-4</v>
      </c>
      <c r="I45" s="199">
        <v>9978725</v>
      </c>
      <c r="J45" s="192">
        <f t="shared" si="3"/>
        <v>2.9700721244216196E-4</v>
      </c>
      <c r="K45" s="200"/>
      <c r="L45" s="199">
        <f t="shared" si="1"/>
        <v>-774915</v>
      </c>
      <c r="M45" s="192">
        <f t="shared" si="2"/>
        <v>-7.2060716185403273E-2</v>
      </c>
      <c r="O45" s="130"/>
      <c r="Q45" s="187"/>
    </row>
    <row r="46" spans="1:17" s="131" customFormat="1">
      <c r="A46" s="130"/>
      <c r="C46" s="201"/>
      <c r="D46" s="203"/>
      <c r="E46" s="199"/>
      <c r="F46" s="192"/>
      <c r="G46" s="199"/>
      <c r="H46" s="192"/>
      <c r="I46" s="199"/>
      <c r="J46" s="192"/>
      <c r="K46" s="200"/>
      <c r="L46" s="199"/>
      <c r="M46" s="192"/>
      <c r="O46" s="130"/>
      <c r="Q46" s="187"/>
    </row>
    <row r="47" spans="1:17" s="131" customFormat="1" ht="15">
      <c r="A47" s="130"/>
      <c r="C47" s="205" t="s">
        <v>431</v>
      </c>
      <c r="D47" s="189" t="s">
        <v>432</v>
      </c>
      <c r="E47" s="190"/>
      <c r="F47" s="191" t="e">
        <f t="shared" ref="F47:F109" si="5">E47/E$22</f>
        <v>#DIV/0!</v>
      </c>
      <c r="G47" s="190">
        <f>+G48</f>
        <v>3654810382</v>
      </c>
      <c r="H47" s="191">
        <f t="shared" si="0"/>
        <v>0.15479063802322113</v>
      </c>
      <c r="I47" s="190">
        <f>+I48</f>
        <v>4228087863</v>
      </c>
      <c r="J47" s="191">
        <f t="shared" si="3"/>
        <v>0.12584499424026291</v>
      </c>
      <c r="K47" s="193"/>
      <c r="L47" s="190">
        <f t="shared" si="1"/>
        <v>573277481</v>
      </c>
      <c r="M47" s="192">
        <f t="shared" si="2"/>
        <v>0.15685560154458378</v>
      </c>
      <c r="N47" s="196"/>
      <c r="O47" s="130"/>
      <c r="Q47" s="187"/>
    </row>
    <row r="48" spans="1:17" s="131" customFormat="1" ht="15">
      <c r="A48" s="130"/>
      <c r="C48" s="188"/>
      <c r="D48" s="202" t="s">
        <v>432</v>
      </c>
      <c r="E48" s="190"/>
      <c r="F48" s="191" t="e">
        <f t="shared" si="5"/>
        <v>#DIV/0!</v>
      </c>
      <c r="G48" s="199">
        <v>3654810382</v>
      </c>
      <c r="H48" s="191">
        <f t="shared" si="0"/>
        <v>0.15479063802322113</v>
      </c>
      <c r="I48" s="199">
        <v>4228087863</v>
      </c>
      <c r="J48" s="191">
        <f t="shared" si="3"/>
        <v>0.12584499424026291</v>
      </c>
      <c r="K48" s="193"/>
      <c r="L48" s="190">
        <f t="shared" si="1"/>
        <v>573277481</v>
      </c>
      <c r="M48" s="192">
        <f t="shared" si="2"/>
        <v>0.15685560154458378</v>
      </c>
      <c r="N48" s="196"/>
      <c r="O48" s="130"/>
      <c r="Q48" s="187"/>
    </row>
    <row r="49" spans="1:17" s="131" customFormat="1" ht="15">
      <c r="A49" s="130"/>
      <c r="C49" s="188"/>
      <c r="D49" s="202"/>
      <c r="E49" s="190"/>
      <c r="F49" s="191"/>
      <c r="G49" s="199"/>
      <c r="H49" s="191"/>
      <c r="I49" s="199"/>
      <c r="J49" s="191"/>
      <c r="K49" s="193"/>
      <c r="L49" s="190"/>
      <c r="M49" s="192"/>
      <c r="N49" s="196"/>
      <c r="O49" s="130"/>
      <c r="Q49" s="187"/>
    </row>
    <row r="50" spans="1:17" s="131" customFormat="1" ht="15">
      <c r="A50" s="130"/>
      <c r="C50" s="206" t="s">
        <v>433</v>
      </c>
      <c r="D50" s="207" t="s">
        <v>434</v>
      </c>
      <c r="E50" s="190"/>
      <c r="F50" s="191" t="e">
        <f t="shared" si="5"/>
        <v>#DIV/0!</v>
      </c>
      <c r="G50" s="190">
        <f>SUM(G51:G65)</f>
        <v>657577365</v>
      </c>
      <c r="H50" s="191">
        <f t="shared" si="0"/>
        <v>2.7850095966477577E-2</v>
      </c>
      <c r="I50" s="190">
        <f>+SUM(I51:I65)</f>
        <v>524618229</v>
      </c>
      <c r="J50" s="192">
        <f t="shared" si="3"/>
        <v>1.5614760181449411E-2</v>
      </c>
      <c r="K50" s="200"/>
      <c r="L50" s="199">
        <f t="shared" si="1"/>
        <v>-132959136</v>
      </c>
      <c r="M50" s="192">
        <f t="shared" si="2"/>
        <v>-0.2021954268453264</v>
      </c>
      <c r="O50" s="130"/>
      <c r="Q50" s="187"/>
    </row>
    <row r="51" spans="1:17" s="131" customFormat="1">
      <c r="A51" s="130"/>
      <c r="C51" s="208"/>
      <c r="D51" s="209" t="s">
        <v>435</v>
      </c>
      <c r="E51" s="199"/>
      <c r="F51" s="192" t="e">
        <f t="shared" si="5"/>
        <v>#DIV/0!</v>
      </c>
      <c r="G51" s="199">
        <v>0</v>
      </c>
      <c r="H51" s="192">
        <f t="shared" si="0"/>
        <v>0</v>
      </c>
      <c r="I51" s="199">
        <v>0</v>
      </c>
      <c r="J51" s="192">
        <f t="shared" si="3"/>
        <v>0</v>
      </c>
      <c r="K51" s="200"/>
      <c r="L51" s="199">
        <v>0</v>
      </c>
      <c r="M51" s="192">
        <v>0</v>
      </c>
      <c r="O51" s="130"/>
      <c r="Q51" s="187"/>
    </row>
    <row r="52" spans="1:17" s="131" customFormat="1" ht="15">
      <c r="A52" s="130"/>
      <c r="C52" s="208"/>
      <c r="D52" s="210" t="s">
        <v>436</v>
      </c>
      <c r="E52" s="199"/>
      <c r="F52" s="192" t="e">
        <f t="shared" si="5"/>
        <v>#DIV/0!</v>
      </c>
      <c r="G52" s="199">
        <v>151921931</v>
      </c>
      <c r="H52" s="192">
        <f t="shared" si="0"/>
        <v>6.4342852764747837E-3</v>
      </c>
      <c r="I52" s="199">
        <v>16222282</v>
      </c>
      <c r="J52" s="192">
        <f t="shared" si="3"/>
        <v>4.828407192572859E-4</v>
      </c>
      <c r="K52" s="200"/>
      <c r="L52" s="190">
        <f t="shared" si="1"/>
        <v>-135699649</v>
      </c>
      <c r="M52" s="192">
        <f t="shared" si="2"/>
        <v>-0.893219616857029</v>
      </c>
      <c r="O52" s="130"/>
      <c r="Q52" s="187"/>
    </row>
    <row r="53" spans="1:17" s="131" customFormat="1" ht="15">
      <c r="A53" s="130"/>
      <c r="C53" s="206"/>
      <c r="D53" s="210" t="s">
        <v>437</v>
      </c>
      <c r="E53" s="190"/>
      <c r="F53" s="191" t="e">
        <f t="shared" si="5"/>
        <v>#DIV/0!</v>
      </c>
      <c r="G53" s="190">
        <v>4200000</v>
      </c>
      <c r="H53" s="191">
        <f t="shared" si="0"/>
        <v>1.7788082328412539E-4</v>
      </c>
      <c r="I53" s="199">
        <v>5200000</v>
      </c>
      <c r="J53" s="191">
        <f t="shared" si="3"/>
        <v>1.5477303009144377E-4</v>
      </c>
      <c r="K53" s="193"/>
      <c r="L53" s="190">
        <f t="shared" si="1"/>
        <v>1000000</v>
      </c>
      <c r="M53" s="192">
        <f t="shared" si="2"/>
        <v>0.23809523809523808</v>
      </c>
      <c r="O53" s="130"/>
      <c r="Q53" s="187"/>
    </row>
    <row r="54" spans="1:17" s="131" customFormat="1">
      <c r="A54" s="130"/>
      <c r="C54" s="201"/>
      <c r="D54" s="198" t="s">
        <v>438</v>
      </c>
      <c r="E54" s="199"/>
      <c r="F54" s="192" t="e">
        <f t="shared" si="5"/>
        <v>#DIV/0!</v>
      </c>
      <c r="G54" s="199">
        <v>5649000</v>
      </c>
      <c r="H54" s="192">
        <f t="shared" si="0"/>
        <v>2.3924970731714864E-4</v>
      </c>
      <c r="I54" s="199">
        <v>10714000</v>
      </c>
      <c r="J54" s="192">
        <f t="shared" si="3"/>
        <v>3.1889197007687085E-4</v>
      </c>
      <c r="K54" s="200"/>
      <c r="L54" s="199">
        <f t="shared" si="1"/>
        <v>5065000</v>
      </c>
      <c r="M54" s="192">
        <f t="shared" si="2"/>
        <v>0.89661887059656575</v>
      </c>
      <c r="O54" s="130"/>
      <c r="Q54" s="187"/>
    </row>
    <row r="55" spans="1:17" s="131" customFormat="1" ht="15" hidden="1">
      <c r="A55" s="130"/>
      <c r="C55" s="206"/>
      <c r="D55" s="202" t="s">
        <v>439</v>
      </c>
      <c r="E55" s="190"/>
      <c r="F55" s="191" t="e">
        <f t="shared" si="5"/>
        <v>#DIV/0!</v>
      </c>
      <c r="G55" s="190">
        <v>0</v>
      </c>
      <c r="H55" s="191">
        <f t="shared" si="0"/>
        <v>0</v>
      </c>
      <c r="I55" s="199">
        <v>0</v>
      </c>
      <c r="J55" s="191">
        <f t="shared" si="3"/>
        <v>0</v>
      </c>
      <c r="K55" s="193"/>
      <c r="L55" s="190">
        <f t="shared" si="1"/>
        <v>0</v>
      </c>
      <c r="M55" s="192">
        <v>0</v>
      </c>
      <c r="O55" s="130"/>
      <c r="Q55" s="187"/>
    </row>
    <row r="56" spans="1:17" s="131" customFormat="1" ht="15" hidden="1">
      <c r="A56" s="130"/>
      <c r="C56" s="206"/>
      <c r="D56" s="202" t="s">
        <v>440</v>
      </c>
      <c r="E56" s="190"/>
      <c r="F56" s="191"/>
      <c r="G56" s="190">
        <v>0</v>
      </c>
      <c r="H56" s="191">
        <f t="shared" si="0"/>
        <v>0</v>
      </c>
      <c r="I56" s="199">
        <v>0</v>
      </c>
      <c r="J56" s="191">
        <f t="shared" si="3"/>
        <v>0</v>
      </c>
      <c r="K56" s="193"/>
      <c r="L56" s="190">
        <f t="shared" si="1"/>
        <v>0</v>
      </c>
      <c r="M56" s="192">
        <v>0</v>
      </c>
      <c r="O56" s="130"/>
      <c r="Q56" s="187"/>
    </row>
    <row r="57" spans="1:17" s="131" customFormat="1">
      <c r="A57" s="130"/>
      <c r="C57" s="201"/>
      <c r="D57" s="198" t="s">
        <v>441</v>
      </c>
      <c r="E57" s="199"/>
      <c r="F57" s="192" t="e">
        <f t="shared" si="5"/>
        <v>#DIV/0!</v>
      </c>
      <c r="G57" s="199">
        <v>357083426</v>
      </c>
      <c r="H57" s="192">
        <f t="shared" si="0"/>
        <v>1.5123403285237157E-2</v>
      </c>
      <c r="I57" s="199">
        <v>80672976</v>
      </c>
      <c r="J57" s="192">
        <f t="shared" si="3"/>
        <v>2.4011540273104464E-3</v>
      </c>
      <c r="K57" s="200"/>
      <c r="L57" s="199">
        <f t="shared" si="1"/>
        <v>-276410450</v>
      </c>
      <c r="M57" s="192">
        <f t="shared" si="2"/>
        <v>-0.77407807216457025</v>
      </c>
      <c r="O57" s="130"/>
      <c r="Q57" s="187"/>
    </row>
    <row r="58" spans="1:17" s="131" customFormat="1" ht="15">
      <c r="A58" s="130"/>
      <c r="C58" s="206"/>
      <c r="D58" s="202" t="s">
        <v>442</v>
      </c>
      <c r="E58" s="190"/>
      <c r="F58" s="191" t="e">
        <f t="shared" si="5"/>
        <v>#DIV/0!</v>
      </c>
      <c r="G58" s="190">
        <v>0</v>
      </c>
      <c r="H58" s="191">
        <f t="shared" si="0"/>
        <v>0</v>
      </c>
      <c r="I58" s="199">
        <v>217721969</v>
      </c>
      <c r="J58" s="191">
        <f t="shared" si="3"/>
        <v>6.4802863191548822E-3</v>
      </c>
      <c r="K58" s="193"/>
      <c r="L58" s="190">
        <f t="shared" si="1"/>
        <v>217721969</v>
      </c>
      <c r="M58" s="192">
        <v>1</v>
      </c>
      <c r="O58" s="130"/>
      <c r="Q58" s="187"/>
    </row>
    <row r="59" spans="1:17" s="131" customFormat="1">
      <c r="A59" s="130"/>
      <c r="C59" s="208"/>
      <c r="D59" s="209" t="s">
        <v>443</v>
      </c>
      <c r="E59" s="199"/>
      <c r="F59" s="192" t="e">
        <f t="shared" si="5"/>
        <v>#DIV/0!</v>
      </c>
      <c r="G59" s="199">
        <v>1182778</v>
      </c>
      <c r="H59" s="192">
        <f t="shared" si="0"/>
        <v>5.0093696286274111E-5</v>
      </c>
      <c r="I59" s="199">
        <v>268784</v>
      </c>
      <c r="J59" s="192">
        <f t="shared" si="3"/>
        <v>8.0000988692497348E-6</v>
      </c>
      <c r="K59" s="200"/>
      <c r="L59" s="199">
        <f t="shared" si="1"/>
        <v>-913994</v>
      </c>
      <c r="M59" s="192">
        <f t="shared" si="2"/>
        <v>-0.77275194499728606</v>
      </c>
      <c r="O59" s="130"/>
      <c r="Q59" s="187"/>
    </row>
    <row r="60" spans="1:17" s="131" customFormat="1" hidden="1">
      <c r="A60" s="130"/>
      <c r="C60" s="208"/>
      <c r="D60" s="209" t="s">
        <v>444</v>
      </c>
      <c r="E60" s="199"/>
      <c r="F60" s="192" t="e">
        <f t="shared" si="5"/>
        <v>#DIV/0!</v>
      </c>
      <c r="G60" s="199">
        <v>0</v>
      </c>
      <c r="H60" s="192">
        <f t="shared" si="0"/>
        <v>0</v>
      </c>
      <c r="I60" s="199">
        <v>0</v>
      </c>
      <c r="J60" s="192">
        <f t="shared" si="3"/>
        <v>0</v>
      </c>
      <c r="K60" s="200"/>
      <c r="L60" s="199">
        <f t="shared" si="1"/>
        <v>0</v>
      </c>
      <c r="M60" s="192">
        <v>0</v>
      </c>
      <c r="O60" s="130"/>
      <c r="Q60" s="187"/>
    </row>
    <row r="61" spans="1:17" s="131" customFormat="1">
      <c r="A61" s="130"/>
      <c r="C61" s="208"/>
      <c r="D61" s="209" t="s">
        <v>445</v>
      </c>
      <c r="E61" s="199"/>
      <c r="F61" s="192" t="e">
        <f t="shared" si="5"/>
        <v>#DIV/0!</v>
      </c>
      <c r="G61" s="199">
        <v>0</v>
      </c>
      <c r="H61" s="192">
        <f t="shared" si="0"/>
        <v>0</v>
      </c>
      <c r="I61" s="199">
        <v>4218</v>
      </c>
      <c r="J61" s="192">
        <f t="shared" si="3"/>
        <v>1.2554473863955956E-7</v>
      </c>
      <c r="K61" s="200"/>
      <c r="L61" s="199">
        <f t="shared" si="1"/>
        <v>4218</v>
      </c>
      <c r="M61" s="192">
        <v>1</v>
      </c>
      <c r="O61" s="130"/>
      <c r="Q61" s="187"/>
    </row>
    <row r="62" spans="1:17" s="131" customFormat="1">
      <c r="A62" s="130"/>
      <c r="C62" s="208"/>
      <c r="D62" s="209" t="s">
        <v>446</v>
      </c>
      <c r="E62" s="199"/>
      <c r="F62" s="192" t="e">
        <f t="shared" si="5"/>
        <v>#DIV/0!</v>
      </c>
      <c r="G62" s="199">
        <v>25960000</v>
      </c>
      <c r="H62" s="192">
        <f t="shared" si="0"/>
        <v>1.0994728982037846E-3</v>
      </c>
      <c r="I62" s="199">
        <v>31430000</v>
      </c>
      <c r="J62" s="192">
        <f t="shared" si="3"/>
        <v>9.3548391072578415E-4</v>
      </c>
      <c r="K62" s="200"/>
      <c r="L62" s="199">
        <f t="shared" si="1"/>
        <v>5470000</v>
      </c>
      <c r="M62" s="192">
        <f t="shared" si="2"/>
        <v>0.21070878274268104</v>
      </c>
      <c r="O62" s="130"/>
      <c r="Q62" s="187"/>
    </row>
    <row r="63" spans="1:17" s="131" customFormat="1">
      <c r="A63" s="130"/>
      <c r="C63" s="208"/>
      <c r="D63" s="209" t="s">
        <v>447</v>
      </c>
      <c r="E63" s="199"/>
      <c r="F63" s="192" t="e">
        <f t="shared" si="5"/>
        <v>#DIV/0!</v>
      </c>
      <c r="G63" s="199">
        <v>111580230</v>
      </c>
      <c r="H63" s="192">
        <f t="shared" si="0"/>
        <v>4.7257102796743012E-3</v>
      </c>
      <c r="I63" s="199">
        <v>0</v>
      </c>
      <c r="J63" s="192">
        <f t="shared" si="3"/>
        <v>0</v>
      </c>
      <c r="K63" s="200"/>
      <c r="L63" s="199">
        <f t="shared" si="1"/>
        <v>-111580230</v>
      </c>
      <c r="M63" s="192">
        <f t="shared" si="2"/>
        <v>-1</v>
      </c>
      <c r="O63" s="130"/>
      <c r="Q63" s="187"/>
    </row>
    <row r="64" spans="1:17" s="131" customFormat="1" hidden="1">
      <c r="A64" s="130"/>
      <c r="C64" s="208"/>
      <c r="D64" s="209" t="s">
        <v>448</v>
      </c>
      <c r="E64" s="199"/>
      <c r="F64" s="192" t="e">
        <f t="shared" si="5"/>
        <v>#DIV/0!</v>
      </c>
      <c r="G64" s="199">
        <v>0</v>
      </c>
      <c r="H64" s="192">
        <f t="shared" si="0"/>
        <v>0</v>
      </c>
      <c r="I64" s="199">
        <v>0</v>
      </c>
      <c r="J64" s="192">
        <f t="shared" si="3"/>
        <v>0</v>
      </c>
      <c r="K64" s="200"/>
      <c r="L64" s="199">
        <f t="shared" si="1"/>
        <v>0</v>
      </c>
      <c r="M64" s="192">
        <v>1</v>
      </c>
      <c r="O64" s="130"/>
      <c r="Q64" s="187"/>
    </row>
    <row r="65" spans="1:17" s="196" customFormat="1" ht="15">
      <c r="A65" s="130"/>
      <c r="B65" s="131"/>
      <c r="C65" s="208"/>
      <c r="D65" s="209" t="s">
        <v>449</v>
      </c>
      <c r="E65" s="199"/>
      <c r="F65" s="192" t="e">
        <f t="shared" si="5"/>
        <v>#DIV/0!</v>
      </c>
      <c r="G65" s="199">
        <v>0</v>
      </c>
      <c r="H65" s="192">
        <f t="shared" si="0"/>
        <v>0</v>
      </c>
      <c r="I65" s="199">
        <v>162384000</v>
      </c>
      <c r="J65" s="192">
        <f t="shared" si="3"/>
        <v>4.8332045612248086E-3</v>
      </c>
      <c r="K65" s="200"/>
      <c r="L65" s="199">
        <f t="shared" si="1"/>
        <v>162384000</v>
      </c>
      <c r="M65" s="192">
        <v>1</v>
      </c>
      <c r="O65" s="130"/>
      <c r="Q65" s="187"/>
    </row>
    <row r="66" spans="1:17" s="131" customFormat="1" ht="15">
      <c r="A66" s="130"/>
      <c r="C66" s="206" t="s">
        <v>450</v>
      </c>
      <c r="D66" s="207" t="s">
        <v>451</v>
      </c>
      <c r="E66" s="199"/>
      <c r="F66" s="192" t="e">
        <f t="shared" si="5"/>
        <v>#DIV/0!</v>
      </c>
      <c r="G66" s="190">
        <f>+SUM(G67:G71)</f>
        <v>15175620076</v>
      </c>
      <c r="H66" s="192">
        <f t="shared" si="0"/>
        <v>0.64272661737285275</v>
      </c>
      <c r="I66" s="190">
        <f>SUM(I67:I71)</f>
        <v>25502880383</v>
      </c>
      <c r="J66" s="192">
        <f t="shared" si="3"/>
        <v>0.75906886018010578</v>
      </c>
      <c r="K66" s="200"/>
      <c r="L66" s="199">
        <f t="shared" si="1"/>
        <v>10327260307</v>
      </c>
      <c r="M66" s="192">
        <f t="shared" si="2"/>
        <v>0.6805165294914306</v>
      </c>
      <c r="O66" s="130"/>
      <c r="Q66" s="187"/>
    </row>
    <row r="67" spans="1:17" s="131" customFormat="1">
      <c r="A67" s="130"/>
      <c r="C67" s="208"/>
      <c r="D67" s="209" t="s">
        <v>330</v>
      </c>
      <c r="E67" s="199"/>
      <c r="F67" s="192" t="e">
        <f t="shared" si="5"/>
        <v>#DIV/0!</v>
      </c>
      <c r="G67" s="199">
        <v>18235643765</v>
      </c>
      <c r="H67" s="192">
        <f t="shared" si="0"/>
        <v>0.77232650619862564</v>
      </c>
      <c r="I67" s="199">
        <v>28053441996</v>
      </c>
      <c r="J67" s="192">
        <f t="shared" si="3"/>
        <v>0.83498388888759234</v>
      </c>
      <c r="K67" s="200"/>
      <c r="L67" s="199">
        <f t="shared" si="1"/>
        <v>9817798231</v>
      </c>
      <c r="M67" s="192">
        <f t="shared" si="2"/>
        <v>0.53838506375319073</v>
      </c>
      <c r="O67" s="130"/>
      <c r="Q67" s="187"/>
    </row>
    <row r="68" spans="1:17" s="196" customFormat="1" ht="15">
      <c r="A68" s="130"/>
      <c r="B68" s="131"/>
      <c r="C68" s="205"/>
      <c r="D68" s="211" t="s">
        <v>452</v>
      </c>
      <c r="E68" s="190"/>
      <c r="F68" s="191" t="e">
        <f t="shared" si="5"/>
        <v>#DIV/0!</v>
      </c>
      <c r="G68" s="199">
        <v>140105000</v>
      </c>
      <c r="H68" s="191">
        <f t="shared" si="0"/>
        <v>5.9338077967196158E-3</v>
      </c>
      <c r="I68" s="199">
        <v>140105000</v>
      </c>
      <c r="J68" s="191">
        <f>I68/I$22</f>
        <v>4.1700914194157173E-3</v>
      </c>
      <c r="K68" s="193"/>
      <c r="L68" s="190">
        <f t="shared" si="1"/>
        <v>0</v>
      </c>
      <c r="M68" s="192">
        <f t="shared" si="2"/>
        <v>0</v>
      </c>
      <c r="O68" s="130"/>
      <c r="Q68" s="187"/>
    </row>
    <row r="69" spans="1:17" s="196" customFormat="1" ht="15">
      <c r="A69" s="130"/>
      <c r="B69" s="131"/>
      <c r="C69" s="188"/>
      <c r="D69" s="202" t="s">
        <v>453</v>
      </c>
      <c r="E69" s="190"/>
      <c r="F69" s="191" t="e">
        <f>E69/E$22</f>
        <v>#DIV/0!</v>
      </c>
      <c r="G69" s="199">
        <v>-3011393642</v>
      </c>
      <c r="H69" s="191">
        <f t="shared" si="0"/>
        <v>-0.12754028101703352</v>
      </c>
      <c r="I69" s="199">
        <v>-2651931566</v>
      </c>
      <c r="J69" s="191">
        <f>I69/I$22</f>
        <v>-7.8932208474032234E-2</v>
      </c>
      <c r="K69" s="193"/>
      <c r="L69" s="190">
        <f t="shared" si="1"/>
        <v>359462076</v>
      </c>
      <c r="M69" s="192">
        <f t="shared" si="2"/>
        <v>-0.11936734905280111</v>
      </c>
      <c r="O69" s="130"/>
      <c r="Q69" s="187"/>
    </row>
    <row r="70" spans="1:17" s="196" customFormat="1" ht="15">
      <c r="A70" s="130"/>
      <c r="B70" s="131"/>
      <c r="C70" s="208"/>
      <c r="D70" s="202" t="s">
        <v>454</v>
      </c>
      <c r="E70" s="199"/>
      <c r="F70" s="192" t="e">
        <f>E70/E$22</f>
        <v>#DIV/0!</v>
      </c>
      <c r="G70" s="199">
        <v>-38735047</v>
      </c>
      <c r="H70" s="192">
        <f t="shared" si="0"/>
        <v>-1.6405290595974502E-3</v>
      </c>
      <c r="I70" s="199">
        <v>-38735047</v>
      </c>
      <c r="J70" s="192">
        <f>I70/I$22</f>
        <v>-1.1529116528700939E-3</v>
      </c>
      <c r="K70" s="193"/>
      <c r="L70" s="199">
        <f t="shared" si="1"/>
        <v>0</v>
      </c>
      <c r="M70" s="192">
        <f t="shared" si="2"/>
        <v>0</v>
      </c>
      <c r="O70" s="130"/>
      <c r="Q70" s="187"/>
    </row>
    <row r="71" spans="1:17" s="196" customFormat="1" ht="15">
      <c r="A71" s="130"/>
      <c r="B71" s="131"/>
      <c r="C71" s="208"/>
      <c r="D71" s="202" t="s">
        <v>455</v>
      </c>
      <c r="E71" s="199"/>
      <c r="F71" s="192" t="e">
        <f>E71/E$22</f>
        <v>#DIV/0!</v>
      </c>
      <c r="G71" s="199">
        <v>-150000000</v>
      </c>
      <c r="H71" s="192">
        <f t="shared" si="0"/>
        <v>-6.352886545861621E-3</v>
      </c>
      <c r="I71" s="199">
        <v>0</v>
      </c>
      <c r="J71" s="192">
        <f t="shared" si="3"/>
        <v>0</v>
      </c>
      <c r="K71" s="193"/>
      <c r="L71" s="199">
        <f t="shared" si="1"/>
        <v>150000000</v>
      </c>
      <c r="M71" s="192">
        <f t="shared" si="2"/>
        <v>-1</v>
      </c>
      <c r="O71" s="130"/>
      <c r="Q71" s="187"/>
    </row>
    <row r="72" spans="1:17" s="196" customFormat="1" ht="15">
      <c r="A72" s="130"/>
      <c r="B72" s="131"/>
      <c r="C72" s="208"/>
      <c r="D72" s="209"/>
      <c r="E72" s="199"/>
      <c r="F72" s="192" t="e">
        <f t="shared" si="5"/>
        <v>#DIV/0!</v>
      </c>
      <c r="G72" s="199"/>
      <c r="H72" s="192"/>
      <c r="I72" s="199"/>
      <c r="J72" s="192">
        <f t="shared" si="3"/>
        <v>0</v>
      </c>
      <c r="K72" s="193"/>
      <c r="L72" s="190"/>
      <c r="M72" s="192"/>
      <c r="O72" s="130"/>
      <c r="Q72" s="187"/>
    </row>
    <row r="73" spans="1:17" s="196" customFormat="1" ht="15">
      <c r="A73" s="130"/>
      <c r="B73" s="131"/>
      <c r="C73" s="206" t="s">
        <v>456</v>
      </c>
      <c r="D73" s="212" t="s">
        <v>457</v>
      </c>
      <c r="E73" s="199"/>
      <c r="F73" s="192" t="e">
        <f t="shared" si="5"/>
        <v>#DIV/0!</v>
      </c>
      <c r="G73" s="190">
        <f>+G74+G91+G94</f>
        <v>3101028945</v>
      </c>
      <c r="H73" s="192">
        <f t="shared" si="0"/>
        <v>0.13133656708678637</v>
      </c>
      <c r="I73" s="190">
        <f>+I74+I91+I94</f>
        <v>2634540901</v>
      </c>
      <c r="J73" s="192">
        <f t="shared" si="3"/>
        <v>7.8414591951463913E-2</v>
      </c>
      <c r="K73" s="193"/>
      <c r="L73" s="190">
        <f t="shared" si="1"/>
        <v>-466488044</v>
      </c>
      <c r="M73" s="192">
        <f t="shared" si="2"/>
        <v>-0.15043008377982103</v>
      </c>
      <c r="O73" s="130"/>
      <c r="Q73" s="187"/>
    </row>
    <row r="74" spans="1:17" s="196" customFormat="1" ht="15">
      <c r="A74" s="130"/>
      <c r="B74" s="131"/>
      <c r="C74" s="206" t="s">
        <v>458</v>
      </c>
      <c r="D74" s="207" t="s">
        <v>459</v>
      </c>
      <c r="E74" s="199"/>
      <c r="F74" s="192" t="e">
        <f t="shared" si="5"/>
        <v>#DIV/0!</v>
      </c>
      <c r="G74" s="190">
        <f>+SUM(G75:G89)</f>
        <v>976271844</v>
      </c>
      <c r="H74" s="192">
        <f t="shared" si="0"/>
        <v>4.1347628419007437E-2</v>
      </c>
      <c r="I74" s="190">
        <f>SUM(I75:I89)</f>
        <v>980100675</v>
      </c>
      <c r="J74" s="192">
        <f t="shared" si="3"/>
        <v>2.917175985854218E-2</v>
      </c>
      <c r="K74" s="193"/>
      <c r="L74" s="190">
        <f t="shared" si="1"/>
        <v>3828831</v>
      </c>
      <c r="M74" s="192">
        <f t="shared" si="2"/>
        <v>3.9218902230268565E-3</v>
      </c>
      <c r="O74" s="130"/>
      <c r="Q74" s="187"/>
    </row>
    <row r="75" spans="1:17" s="131" customFormat="1" ht="15">
      <c r="A75" s="130"/>
      <c r="C75" s="188"/>
      <c r="D75" s="213" t="s">
        <v>460</v>
      </c>
      <c r="E75" s="190"/>
      <c r="F75" s="191" t="e">
        <f t="shared" si="5"/>
        <v>#DIV/0!</v>
      </c>
      <c r="G75" s="199">
        <v>1194453971</v>
      </c>
      <c r="H75" s="192">
        <f t="shared" si="0"/>
        <v>5.0588203746779248E-2</v>
      </c>
      <c r="I75" s="199">
        <v>1451103384</v>
      </c>
      <c r="J75" s="191">
        <f t="shared" si="3"/>
        <v>4.3190705330313051E-2</v>
      </c>
      <c r="K75" s="193"/>
      <c r="L75" s="190">
        <f t="shared" si="1"/>
        <v>256649413</v>
      </c>
      <c r="M75" s="192">
        <f t="shared" si="2"/>
        <v>0.21486756227628631</v>
      </c>
      <c r="O75" s="130"/>
      <c r="Q75" s="187"/>
    </row>
    <row r="76" spans="1:17" s="131" customFormat="1">
      <c r="A76" s="130"/>
      <c r="C76" s="208"/>
      <c r="D76" s="209" t="s">
        <v>461</v>
      </c>
      <c r="E76" s="199"/>
      <c r="F76" s="192" t="e">
        <f t="shared" si="5"/>
        <v>#DIV/0!</v>
      </c>
      <c r="G76" s="199">
        <v>148498067</v>
      </c>
      <c r="H76" s="192">
        <f t="shared" si="0"/>
        <v>6.2892758128717174E-3</v>
      </c>
      <c r="I76" s="199">
        <v>156569951</v>
      </c>
      <c r="J76" s="192">
        <f t="shared" si="3"/>
        <v>4.6601549495267069E-3</v>
      </c>
      <c r="K76" s="200"/>
      <c r="L76" s="199">
        <f t="shared" si="1"/>
        <v>8071884</v>
      </c>
      <c r="M76" s="192">
        <f t="shared" si="2"/>
        <v>5.4356828765993299E-2</v>
      </c>
      <c r="O76" s="130"/>
      <c r="Q76" s="187"/>
    </row>
    <row r="77" spans="1:17" s="196" customFormat="1" ht="15">
      <c r="A77" s="130"/>
      <c r="B77" s="131"/>
      <c r="C77" s="188"/>
      <c r="D77" s="213" t="s">
        <v>462</v>
      </c>
      <c r="E77" s="190"/>
      <c r="F77" s="191" t="e">
        <f t="shared" si="5"/>
        <v>#DIV/0!</v>
      </c>
      <c r="G77" s="199">
        <v>172349296</v>
      </c>
      <c r="H77" s="192">
        <f t="shared" si="0"/>
        <v>7.299436824980814E-3</v>
      </c>
      <c r="I77" s="199">
        <v>189113969</v>
      </c>
      <c r="J77" s="191">
        <f t="shared" si="3"/>
        <v>5.6287965412979545E-3</v>
      </c>
      <c r="K77" s="193"/>
      <c r="L77" s="190">
        <f t="shared" si="1"/>
        <v>16764673</v>
      </c>
      <c r="M77" s="192">
        <f t="shared" si="2"/>
        <v>9.7271491030633511E-2</v>
      </c>
      <c r="O77" s="130"/>
      <c r="Q77" s="187"/>
    </row>
    <row r="78" spans="1:17" s="196" customFormat="1" ht="15">
      <c r="A78" s="130"/>
      <c r="B78" s="131"/>
      <c r="C78" s="208"/>
      <c r="D78" s="209" t="s">
        <v>463</v>
      </c>
      <c r="E78" s="199"/>
      <c r="F78" s="192" t="e">
        <f t="shared" si="5"/>
        <v>#DIV/0!</v>
      </c>
      <c r="G78" s="199">
        <v>231763265</v>
      </c>
      <c r="H78" s="192">
        <f t="shared" si="0"/>
        <v>9.8157715202897428E-3</v>
      </c>
      <c r="I78" s="199">
        <v>247357069</v>
      </c>
      <c r="J78" s="192">
        <f t="shared" si="3"/>
        <v>7.3623467468592945E-3</v>
      </c>
      <c r="K78" s="200"/>
      <c r="L78" s="190">
        <f t="shared" si="1"/>
        <v>15593804</v>
      </c>
      <c r="M78" s="192">
        <f t="shared" si="2"/>
        <v>6.7283328960696165E-2</v>
      </c>
      <c r="N78" s="131"/>
      <c r="O78" s="130"/>
      <c r="Q78" s="187"/>
    </row>
    <row r="79" spans="1:17" s="131" customFormat="1" ht="15">
      <c r="A79" s="130"/>
      <c r="C79" s="208"/>
      <c r="D79" s="209" t="s">
        <v>464</v>
      </c>
      <c r="E79" s="199"/>
      <c r="F79" s="192" t="e">
        <f t="shared" si="5"/>
        <v>#DIV/0!</v>
      </c>
      <c r="G79" s="199">
        <v>27962096</v>
      </c>
      <c r="H79" s="192">
        <f t="shared" si="0"/>
        <v>1.1842668231499404E-3</v>
      </c>
      <c r="I79" s="199">
        <v>28521648</v>
      </c>
      <c r="J79" s="192">
        <f t="shared" si="3"/>
        <v>8.4891959310799366E-4</v>
      </c>
      <c r="K79" s="200"/>
      <c r="L79" s="190">
        <f t="shared" si="1"/>
        <v>559552</v>
      </c>
      <c r="M79" s="192">
        <f t="shared" si="2"/>
        <v>2.0011089297454668E-2</v>
      </c>
      <c r="O79" s="130"/>
      <c r="Q79" s="187"/>
    </row>
    <row r="80" spans="1:17" s="131" customFormat="1" ht="15">
      <c r="A80" s="130"/>
      <c r="C80" s="208"/>
      <c r="D80" s="209" t="s">
        <v>465</v>
      </c>
      <c r="E80" s="199"/>
      <c r="F80" s="192" t="e">
        <f t="shared" si="5"/>
        <v>#DIV/0!</v>
      </c>
      <c r="G80" s="199">
        <v>235439008</v>
      </c>
      <c r="H80" s="192">
        <f t="shared" si="0"/>
        <v>9.9714487086280442E-3</v>
      </c>
      <c r="I80" s="199">
        <v>238538720</v>
      </c>
      <c r="J80" s="192">
        <f t="shared" si="3"/>
        <v>7.0998770170258609E-3</v>
      </c>
      <c r="K80" s="200"/>
      <c r="L80" s="190">
        <f t="shared" si="1"/>
        <v>3099712</v>
      </c>
      <c r="M80" s="192">
        <f t="shared" si="2"/>
        <v>1.3165668791808706E-2</v>
      </c>
      <c r="O80" s="130"/>
      <c r="Q80" s="187"/>
    </row>
    <row r="81" spans="1:17" s="131" customFormat="1" ht="15" hidden="1">
      <c r="A81" s="130"/>
      <c r="C81" s="208"/>
      <c r="D81" s="209" t="s">
        <v>466</v>
      </c>
      <c r="E81" s="199"/>
      <c r="F81" s="192" t="e">
        <f t="shared" si="5"/>
        <v>#DIV/0!</v>
      </c>
      <c r="G81" s="199">
        <v>0</v>
      </c>
      <c r="H81" s="192">
        <f t="shared" si="0"/>
        <v>0</v>
      </c>
      <c r="I81" s="199">
        <v>0</v>
      </c>
      <c r="J81" s="192">
        <f t="shared" si="3"/>
        <v>0</v>
      </c>
      <c r="K81" s="200"/>
      <c r="L81" s="190">
        <f t="shared" si="1"/>
        <v>0</v>
      </c>
      <c r="M81" s="192">
        <v>0</v>
      </c>
      <c r="O81" s="130"/>
      <c r="Q81" s="187"/>
    </row>
    <row r="82" spans="1:17" s="131" customFormat="1" ht="15">
      <c r="A82" s="130"/>
      <c r="C82" s="208"/>
      <c r="D82" s="209" t="s">
        <v>467</v>
      </c>
      <c r="E82" s="199"/>
      <c r="F82" s="192" t="e">
        <f t="shared" si="5"/>
        <v>#DIV/0!</v>
      </c>
      <c r="G82" s="199">
        <v>6662147</v>
      </c>
      <c r="H82" s="192">
        <f t="shared" si="0"/>
        <v>2.8215909361901573E-4</v>
      </c>
      <c r="I82" s="199">
        <v>8879044</v>
      </c>
      <c r="J82" s="192">
        <f t="shared" si="3"/>
        <v>2.6427625849908718E-4</v>
      </c>
      <c r="K82" s="200"/>
      <c r="L82" s="190">
        <f t="shared" si="1"/>
        <v>2216897</v>
      </c>
      <c r="M82" s="192">
        <f t="shared" si="2"/>
        <v>0.33276014474012655</v>
      </c>
      <c r="O82" s="130"/>
      <c r="Q82" s="187"/>
    </row>
    <row r="83" spans="1:17" s="131" customFormat="1" ht="15">
      <c r="A83" s="130"/>
      <c r="C83" s="208"/>
      <c r="D83" s="209" t="s">
        <v>468</v>
      </c>
      <c r="E83" s="199"/>
      <c r="F83" s="192" t="e">
        <f t="shared" si="5"/>
        <v>#DIV/0!</v>
      </c>
      <c r="G83" s="199">
        <v>-460845632</v>
      </c>
      <c r="H83" s="192">
        <f t="shared" si="0"/>
        <v>-1.9518000101679304E-2</v>
      </c>
      <c r="I83" s="199">
        <v>-672876268</v>
      </c>
      <c r="J83" s="192">
        <f t="shared" si="3"/>
        <v>-2.0027519014419688E-2</v>
      </c>
      <c r="K83" s="200"/>
      <c r="L83" s="190">
        <f t="shared" si="1"/>
        <v>-212030636</v>
      </c>
      <c r="M83" s="192">
        <f t="shared" si="2"/>
        <v>0.46009036709281426</v>
      </c>
      <c r="O83" s="130"/>
      <c r="Q83" s="187"/>
    </row>
    <row r="84" spans="1:17" s="131" customFormat="1" ht="15">
      <c r="A84" s="130"/>
      <c r="C84" s="208"/>
      <c r="D84" s="209" t="s">
        <v>469</v>
      </c>
      <c r="E84" s="199"/>
      <c r="F84" s="192" t="e">
        <f t="shared" si="5"/>
        <v>#DIV/0!</v>
      </c>
      <c r="G84" s="199">
        <v>-110476872</v>
      </c>
      <c r="H84" s="192">
        <f t="shared" si="0"/>
        <v>-4.6789802250511757E-3</v>
      </c>
      <c r="I84" s="199">
        <v>-120474946</v>
      </c>
      <c r="J84" s="192">
        <f t="shared" si="3"/>
        <v>-3.5858216235621276E-3</v>
      </c>
      <c r="K84" s="200"/>
      <c r="L84" s="190">
        <f t="shared" si="1"/>
        <v>-9998074</v>
      </c>
      <c r="M84" s="192">
        <f t="shared" si="2"/>
        <v>9.0499249471871365E-2</v>
      </c>
      <c r="O84" s="130"/>
      <c r="Q84" s="187"/>
    </row>
    <row r="85" spans="1:17" s="131" customFormat="1" ht="15">
      <c r="A85" s="130"/>
      <c r="C85" s="208"/>
      <c r="D85" s="209" t="s">
        <v>470</v>
      </c>
      <c r="E85" s="199"/>
      <c r="F85" s="192" t="e">
        <f t="shared" si="5"/>
        <v>#DIV/0!</v>
      </c>
      <c r="G85" s="199">
        <v>-104459300</v>
      </c>
      <c r="H85" s="192">
        <f t="shared" si="0"/>
        <v>-4.4241205437341525E-3</v>
      </c>
      <c r="I85" s="199">
        <v>-117536259</v>
      </c>
      <c r="J85" s="192">
        <f t="shared" si="3"/>
        <v>-3.4983544136620629E-3</v>
      </c>
      <c r="K85" s="200"/>
      <c r="L85" s="190">
        <f t="shared" si="1"/>
        <v>-13076959</v>
      </c>
      <c r="M85" s="192">
        <f t="shared" si="2"/>
        <v>0.12518712072548829</v>
      </c>
      <c r="O85" s="130"/>
      <c r="Q85" s="187"/>
    </row>
    <row r="86" spans="1:17" s="131" customFormat="1" ht="15">
      <c r="A86" s="130"/>
      <c r="C86" s="208"/>
      <c r="D86" s="209" t="s">
        <v>471</v>
      </c>
      <c r="E86" s="199"/>
      <c r="F86" s="192" t="e">
        <f t="shared" si="5"/>
        <v>#DIV/0!</v>
      </c>
      <c r="G86" s="199">
        <v>-175408077</v>
      </c>
      <c r="H86" s="192">
        <f t="shared" si="0"/>
        <v>-7.4289840827250616E-3</v>
      </c>
      <c r="I86" s="199">
        <v>-201656734</v>
      </c>
      <c r="J86" s="192">
        <f t="shared" si="3"/>
        <v>-6.0021199537546675E-3</v>
      </c>
      <c r="K86" s="200"/>
      <c r="L86" s="190">
        <f t="shared" si="1"/>
        <v>-26248657</v>
      </c>
      <c r="M86" s="192">
        <f t="shared" si="2"/>
        <v>0.14964337702647523</v>
      </c>
      <c r="O86" s="130"/>
      <c r="Q86" s="187"/>
    </row>
    <row r="87" spans="1:17" s="131" customFormat="1" ht="15">
      <c r="A87" s="130"/>
      <c r="C87" s="205"/>
      <c r="D87" s="209" t="s">
        <v>472</v>
      </c>
      <c r="E87" s="190"/>
      <c r="F87" s="191" t="e">
        <f t="shared" si="5"/>
        <v>#DIV/0!</v>
      </c>
      <c r="G87" s="199">
        <v>-172691794</v>
      </c>
      <c r="H87" s="192">
        <f t="shared" si="0"/>
        <v>-7.3139424978887107E-3</v>
      </c>
      <c r="I87" s="199">
        <v>-202235919</v>
      </c>
      <c r="J87" s="192">
        <f t="shared" si="3"/>
        <v>-6.0193588417226506E-3</v>
      </c>
      <c r="K87" s="193"/>
      <c r="L87" s="190">
        <f t="shared" ref="L87:L149" si="6">I87-G87</f>
        <v>-29544125</v>
      </c>
      <c r="M87" s="192">
        <f t="shared" ref="M87:M148" si="7">L87/G87</f>
        <v>0.17108007459810162</v>
      </c>
      <c r="O87" s="130"/>
      <c r="Q87" s="187"/>
    </row>
    <row r="88" spans="1:17" s="131" customFormat="1" ht="15">
      <c r="A88" s="130"/>
      <c r="C88" s="194"/>
      <c r="D88" s="209" t="s">
        <v>473</v>
      </c>
      <c r="E88" s="190"/>
      <c r="F88" s="191" t="e">
        <f t="shared" si="5"/>
        <v>#DIV/0!</v>
      </c>
      <c r="G88" s="199">
        <v>-16635126</v>
      </c>
      <c r="H88" s="192">
        <f t="shared" si="0"/>
        <v>-7.0454045436075228E-4</v>
      </c>
      <c r="I88" s="199">
        <v>-24164653</v>
      </c>
      <c r="J88" s="192">
        <f t="shared" si="3"/>
        <v>-7.1923780113813398E-4</v>
      </c>
      <c r="K88" s="193"/>
      <c r="L88" s="190">
        <f t="shared" si="6"/>
        <v>-7529527</v>
      </c>
      <c r="M88" s="192">
        <f t="shared" si="7"/>
        <v>0.45262819169509144</v>
      </c>
      <c r="O88" s="130"/>
      <c r="Q88" s="187"/>
    </row>
    <row r="89" spans="1:17" s="131" customFormat="1" ht="15">
      <c r="A89" s="130"/>
      <c r="C89" s="205"/>
      <c r="D89" s="209" t="s">
        <v>474</v>
      </c>
      <c r="E89" s="190"/>
      <c r="F89" s="191" t="e">
        <f t="shared" si="5"/>
        <v>#DIV/0!</v>
      </c>
      <c r="G89" s="199">
        <v>-339205</v>
      </c>
      <c r="H89" s="192">
        <f t="shared" si="0"/>
        <v>-1.4366205871926607E-5</v>
      </c>
      <c r="I89" s="199">
        <v>-1038331</v>
      </c>
      <c r="J89" s="191">
        <f t="shared" si="3"/>
        <v>-3.0904929828438252E-5</v>
      </c>
      <c r="K89" s="193"/>
      <c r="L89" s="190">
        <f t="shared" si="6"/>
        <v>-699126</v>
      </c>
      <c r="M89" s="192">
        <f t="shared" si="7"/>
        <v>2.061072212968559</v>
      </c>
      <c r="O89" s="130"/>
      <c r="Q89" s="187"/>
    </row>
    <row r="90" spans="1:17" s="131" customFormat="1" ht="15">
      <c r="A90" s="130"/>
      <c r="C90" s="188"/>
      <c r="D90" s="202"/>
      <c r="E90" s="190"/>
      <c r="F90" s="191" t="e">
        <f t="shared" si="5"/>
        <v>#DIV/0!</v>
      </c>
      <c r="G90" s="190"/>
      <c r="H90" s="191"/>
      <c r="I90" s="190"/>
      <c r="J90" s="191">
        <f t="shared" si="3"/>
        <v>0</v>
      </c>
      <c r="K90" s="193"/>
      <c r="L90" s="190"/>
      <c r="M90" s="192"/>
      <c r="O90" s="130"/>
      <c r="Q90" s="187"/>
    </row>
    <row r="91" spans="1:17" s="131" customFormat="1" ht="15">
      <c r="A91" s="130"/>
      <c r="C91" s="206" t="s">
        <v>475</v>
      </c>
      <c r="D91" s="207" t="s">
        <v>476</v>
      </c>
      <c r="E91" s="199"/>
      <c r="F91" s="192" t="e">
        <f t="shared" si="5"/>
        <v>#DIV/0!</v>
      </c>
      <c r="G91" s="190">
        <f>+G92</f>
        <v>607142830</v>
      </c>
      <c r="H91" s="192">
        <f t="shared" si="0"/>
        <v>2.5714063440822329E-2</v>
      </c>
      <c r="I91" s="190">
        <f>+I92</f>
        <v>306651064</v>
      </c>
      <c r="J91" s="192">
        <f t="shared" si="3"/>
        <v>9.1271758377010088E-3</v>
      </c>
      <c r="K91" s="200"/>
      <c r="L91" s="199">
        <f t="shared" si="6"/>
        <v>-300491766</v>
      </c>
      <c r="M91" s="192">
        <f t="shared" si="7"/>
        <v>-0.49492763671441198</v>
      </c>
      <c r="O91" s="130"/>
      <c r="Q91" s="187"/>
    </row>
    <row r="92" spans="1:17" s="131" customFormat="1">
      <c r="A92" s="130"/>
      <c r="C92" s="208"/>
      <c r="D92" s="213" t="s">
        <v>476</v>
      </c>
      <c r="E92" s="199"/>
      <c r="F92" s="192" t="e">
        <f t="shared" si="5"/>
        <v>#DIV/0!</v>
      </c>
      <c r="G92" s="199">
        <v>607142830</v>
      </c>
      <c r="H92" s="192">
        <f t="shared" si="0"/>
        <v>2.5714063440822329E-2</v>
      </c>
      <c r="I92" s="199">
        <v>306651064</v>
      </c>
      <c r="J92" s="192">
        <f t="shared" ref="J92:J153" si="8">I92/I$22</f>
        <v>9.1271758377010088E-3</v>
      </c>
      <c r="K92" s="200"/>
      <c r="L92" s="199">
        <f t="shared" si="6"/>
        <v>-300491766</v>
      </c>
      <c r="M92" s="192">
        <f t="shared" si="7"/>
        <v>-0.49492763671441198</v>
      </c>
      <c r="O92" s="130"/>
      <c r="Q92" s="187"/>
    </row>
    <row r="93" spans="1:17" s="131" customFormat="1" ht="15">
      <c r="A93" s="130"/>
      <c r="C93" s="188"/>
      <c r="D93" s="213"/>
      <c r="E93" s="190"/>
      <c r="F93" s="191" t="e">
        <f t="shared" si="5"/>
        <v>#DIV/0!</v>
      </c>
      <c r="G93" s="190"/>
      <c r="H93" s="191"/>
      <c r="I93" s="190"/>
      <c r="J93" s="191">
        <f t="shared" si="8"/>
        <v>0</v>
      </c>
      <c r="K93" s="193"/>
      <c r="L93" s="190"/>
      <c r="M93" s="192"/>
      <c r="O93" s="130"/>
      <c r="Q93" s="187"/>
    </row>
    <row r="94" spans="1:17" s="131" customFormat="1" ht="15">
      <c r="A94" s="130"/>
      <c r="C94" s="194" t="s">
        <v>477</v>
      </c>
      <c r="D94" s="195" t="s">
        <v>478</v>
      </c>
      <c r="E94" s="199"/>
      <c r="F94" s="192" t="e">
        <f t="shared" si="5"/>
        <v>#DIV/0!</v>
      </c>
      <c r="G94" s="190">
        <f>+SUM(G95:G96)</f>
        <v>1517614271</v>
      </c>
      <c r="H94" s="192">
        <f t="shared" ref="H94:H114" si="9">G94/G$22</f>
        <v>6.4274875226956615E-2</v>
      </c>
      <c r="I94" s="190">
        <f>SUM(I95:I96)</f>
        <v>1347789162</v>
      </c>
      <c r="J94" s="192">
        <f t="shared" si="8"/>
        <v>4.0115656255220726E-2</v>
      </c>
      <c r="K94" s="200"/>
      <c r="L94" s="199">
        <f t="shared" si="6"/>
        <v>-169825109</v>
      </c>
      <c r="M94" s="192">
        <f t="shared" si="7"/>
        <v>-0.11190268320822874</v>
      </c>
      <c r="O94" s="130"/>
      <c r="Q94" s="187"/>
    </row>
    <row r="95" spans="1:17" s="131" customFormat="1">
      <c r="A95" s="130"/>
      <c r="C95" s="201"/>
      <c r="D95" s="209" t="s">
        <v>479</v>
      </c>
      <c r="E95" s="199"/>
      <c r="F95" s="192" t="e">
        <f t="shared" si="5"/>
        <v>#DIV/0!</v>
      </c>
      <c r="G95" s="199">
        <v>35557105</v>
      </c>
      <c r="H95" s="192">
        <f t="shared" si="9"/>
        <v>1.5059350264285932E-3</v>
      </c>
      <c r="I95" s="199">
        <v>35553972</v>
      </c>
      <c r="J95" s="192">
        <f t="shared" si="8"/>
        <v>1.0582299958127594E-3</v>
      </c>
      <c r="K95" s="200"/>
      <c r="L95" s="199">
        <f t="shared" si="6"/>
        <v>-3133</v>
      </c>
      <c r="M95" s="192">
        <f t="shared" si="7"/>
        <v>-8.8111785253608242E-5</v>
      </c>
      <c r="O95" s="130"/>
      <c r="Q95" s="187"/>
    </row>
    <row r="96" spans="1:17" s="131" customFormat="1" ht="15">
      <c r="A96" s="130"/>
      <c r="C96" s="205"/>
      <c r="D96" s="211" t="s">
        <v>480</v>
      </c>
      <c r="E96" s="190"/>
      <c r="F96" s="191" t="e">
        <f t="shared" si="5"/>
        <v>#DIV/0!</v>
      </c>
      <c r="G96" s="199">
        <v>1482057166</v>
      </c>
      <c r="H96" s="192">
        <f t="shared" si="9"/>
        <v>6.276894020052802E-2</v>
      </c>
      <c r="I96" s="199">
        <v>1312235190</v>
      </c>
      <c r="J96" s="192">
        <f t="shared" si="8"/>
        <v>3.9057426259407967E-2</v>
      </c>
      <c r="K96" s="200"/>
      <c r="L96" s="199">
        <f t="shared" si="6"/>
        <v>-169821976</v>
      </c>
      <c r="M96" s="192">
        <f t="shared" si="7"/>
        <v>-0.11458530743341111</v>
      </c>
      <c r="O96" s="130"/>
      <c r="Q96" s="187"/>
    </row>
    <row r="97" spans="1:17" s="131" customFormat="1" ht="15">
      <c r="A97" s="130"/>
      <c r="C97" s="205"/>
      <c r="D97" s="211"/>
      <c r="E97" s="190"/>
      <c r="F97" s="192" t="e">
        <f t="shared" si="5"/>
        <v>#DIV/0!</v>
      </c>
      <c r="G97" s="190"/>
      <c r="H97" s="191"/>
      <c r="I97" s="190"/>
      <c r="J97" s="191">
        <f t="shared" si="8"/>
        <v>0</v>
      </c>
      <c r="K97" s="193"/>
      <c r="L97" s="190"/>
      <c r="M97" s="192"/>
      <c r="O97" s="130"/>
      <c r="Q97" s="187"/>
    </row>
    <row r="98" spans="1:17" s="131" customFormat="1" ht="15">
      <c r="A98" s="130"/>
      <c r="C98" s="205" t="s">
        <v>481</v>
      </c>
      <c r="D98" s="189" t="s">
        <v>93</v>
      </c>
      <c r="E98" s="190"/>
      <c r="F98" s="191" t="e">
        <f t="shared" si="5"/>
        <v>#DIV/0!</v>
      </c>
      <c r="G98" s="190">
        <f>+G99</f>
        <v>12864192022</v>
      </c>
      <c r="H98" s="191">
        <f t="shared" si="9"/>
        <v>0.54483168279962801</v>
      </c>
      <c r="I98" s="190">
        <f>+I99</f>
        <v>17384437464</v>
      </c>
      <c r="J98" s="191">
        <f t="shared" si="8"/>
        <v>0.51743116591124894</v>
      </c>
      <c r="K98" s="193"/>
      <c r="L98" s="190">
        <f t="shared" si="6"/>
        <v>4520245442</v>
      </c>
      <c r="M98" s="192">
        <f t="shared" si="7"/>
        <v>0.35138199385313873</v>
      </c>
      <c r="O98" s="130"/>
      <c r="Q98" s="187"/>
    </row>
    <row r="99" spans="1:17" s="131" customFormat="1" ht="15">
      <c r="A99" s="130"/>
      <c r="C99" s="194" t="s">
        <v>482</v>
      </c>
      <c r="D99" s="195" t="s">
        <v>483</v>
      </c>
      <c r="E99" s="199"/>
      <c r="F99" s="192" t="e">
        <f t="shared" si="5"/>
        <v>#DIV/0!</v>
      </c>
      <c r="G99" s="190">
        <f>+G100+G104+G112+G121+G133</f>
        <v>12864192022</v>
      </c>
      <c r="H99" s="192">
        <f t="shared" si="9"/>
        <v>0.54483168279962801</v>
      </c>
      <c r="I99" s="190">
        <f>+I100+I104+I112+I121+I133</f>
        <v>17384437464</v>
      </c>
      <c r="J99" s="192">
        <f t="shared" si="8"/>
        <v>0.51743116591124894</v>
      </c>
      <c r="K99" s="200"/>
      <c r="L99" s="190">
        <f t="shared" si="6"/>
        <v>4520245442</v>
      </c>
      <c r="M99" s="192">
        <f t="shared" si="7"/>
        <v>0.35138199385313873</v>
      </c>
      <c r="O99" s="130"/>
      <c r="Q99" s="187"/>
    </row>
    <row r="100" spans="1:17" s="131" customFormat="1" ht="15">
      <c r="A100" s="130"/>
      <c r="C100" s="205" t="s">
        <v>484</v>
      </c>
      <c r="D100" s="195" t="s">
        <v>485</v>
      </c>
      <c r="E100" s="190"/>
      <c r="F100" s="192" t="e">
        <f t="shared" si="5"/>
        <v>#DIV/0!</v>
      </c>
      <c r="G100" s="190">
        <f>SUM(G101:G102)</f>
        <v>64261663</v>
      </c>
      <c r="H100" s="191">
        <f t="shared" si="9"/>
        <v>2.7216470285826235E-3</v>
      </c>
      <c r="I100" s="190">
        <f>SUM(I101:I102)</f>
        <v>1887852794</v>
      </c>
      <c r="J100" s="191">
        <f t="shared" si="8"/>
        <v>5.6190134094995806E-2</v>
      </c>
      <c r="K100" s="193"/>
      <c r="L100" s="190">
        <f t="shared" si="6"/>
        <v>1823591131</v>
      </c>
      <c r="M100" s="192">
        <f t="shared" si="7"/>
        <v>28.377590088199241</v>
      </c>
      <c r="O100" s="130"/>
      <c r="Q100" s="187"/>
    </row>
    <row r="101" spans="1:17" s="131" customFormat="1" ht="15">
      <c r="A101" s="130"/>
      <c r="C101" s="205"/>
      <c r="D101" s="198" t="s">
        <v>486</v>
      </c>
      <c r="E101" s="190"/>
      <c r="F101" s="191" t="e">
        <f t="shared" si="5"/>
        <v>#DIV/0!</v>
      </c>
      <c r="G101" s="199">
        <v>0</v>
      </c>
      <c r="H101" s="192">
        <f t="shared" si="9"/>
        <v>0</v>
      </c>
      <c r="I101" s="199">
        <v>1482391131</v>
      </c>
      <c r="J101" s="191">
        <f t="shared" si="8"/>
        <v>4.4121955216452374E-2</v>
      </c>
      <c r="K101" s="193"/>
      <c r="L101" s="199">
        <f t="shared" si="6"/>
        <v>1482391131</v>
      </c>
      <c r="M101" s="192">
        <v>1</v>
      </c>
      <c r="O101" s="130"/>
      <c r="Q101" s="187"/>
    </row>
    <row r="102" spans="1:17" s="131" customFormat="1">
      <c r="A102" s="130"/>
      <c r="C102" s="201"/>
      <c r="D102" s="198" t="s">
        <v>487</v>
      </c>
      <c r="E102" s="199"/>
      <c r="F102" s="192" t="e">
        <f t="shared" si="5"/>
        <v>#DIV/0!</v>
      </c>
      <c r="G102" s="199">
        <v>64261663</v>
      </c>
      <c r="H102" s="192">
        <f t="shared" si="9"/>
        <v>2.7216470285826235E-3</v>
      </c>
      <c r="I102" s="199">
        <v>405461663</v>
      </c>
      <c r="J102" s="192">
        <f t="shared" si="8"/>
        <v>1.206817887854343E-2</v>
      </c>
      <c r="K102" s="200"/>
      <c r="L102" s="199">
        <f t="shared" si="6"/>
        <v>341200000</v>
      </c>
      <c r="M102" s="192">
        <f t="shared" si="7"/>
        <v>5.3095420204111434</v>
      </c>
      <c r="O102" s="130"/>
      <c r="Q102" s="187"/>
    </row>
    <row r="103" spans="1:17" s="131" customFormat="1">
      <c r="A103" s="130"/>
      <c r="C103" s="201"/>
      <c r="D103" s="214"/>
      <c r="E103" s="199"/>
      <c r="F103" s="192"/>
      <c r="G103" s="199"/>
      <c r="H103" s="192"/>
      <c r="I103" s="199"/>
      <c r="J103" s="192">
        <f t="shared" si="8"/>
        <v>0</v>
      </c>
      <c r="K103" s="200"/>
      <c r="L103" s="199"/>
      <c r="M103" s="192"/>
      <c r="O103" s="130"/>
      <c r="Q103" s="187"/>
    </row>
    <row r="104" spans="1:17" s="131" customFormat="1" ht="15">
      <c r="A104" s="130"/>
      <c r="C104" s="194" t="s">
        <v>488</v>
      </c>
      <c r="D104" s="215" t="s">
        <v>489</v>
      </c>
      <c r="E104" s="199"/>
      <c r="F104" s="192" t="e">
        <f t="shared" si="5"/>
        <v>#DIV/0!</v>
      </c>
      <c r="G104" s="190">
        <f>+SUM(G105:G110)</f>
        <v>7057358215</v>
      </c>
      <c r="H104" s="192">
        <f t="shared" si="9"/>
        <v>0.29889730702266321</v>
      </c>
      <c r="I104" s="190">
        <f>+SUM(I105:I109)</f>
        <v>8741120511</v>
      </c>
      <c r="J104" s="192">
        <f t="shared" si="8"/>
        <v>0.26017109766960372</v>
      </c>
      <c r="K104" s="200"/>
      <c r="L104" s="190">
        <f t="shared" si="6"/>
        <v>1683762296</v>
      </c>
      <c r="M104" s="192">
        <f t="shared" si="7"/>
        <v>0.23858251837369715</v>
      </c>
      <c r="O104" s="130"/>
      <c r="Q104" s="187"/>
    </row>
    <row r="105" spans="1:17" s="131" customFormat="1" hidden="1">
      <c r="A105" s="130"/>
      <c r="C105" s="201"/>
      <c r="D105" s="198" t="s">
        <v>490</v>
      </c>
      <c r="E105" s="199"/>
      <c r="F105" s="192" t="e">
        <f t="shared" si="5"/>
        <v>#DIV/0!</v>
      </c>
      <c r="G105" s="199">
        <v>0</v>
      </c>
      <c r="H105" s="192">
        <f t="shared" si="9"/>
        <v>0</v>
      </c>
      <c r="I105" s="199">
        <v>0</v>
      </c>
      <c r="J105" s="192">
        <f t="shared" si="8"/>
        <v>0</v>
      </c>
      <c r="K105" s="200"/>
      <c r="L105" s="199">
        <f t="shared" si="6"/>
        <v>0</v>
      </c>
      <c r="M105" s="192">
        <v>0</v>
      </c>
      <c r="O105" s="130"/>
      <c r="Q105" s="187"/>
    </row>
    <row r="106" spans="1:17" s="131" customFormat="1">
      <c r="A106" s="130"/>
      <c r="C106" s="201"/>
      <c r="D106" s="198" t="s">
        <v>491</v>
      </c>
      <c r="E106" s="199"/>
      <c r="F106" s="192" t="e">
        <f t="shared" si="5"/>
        <v>#DIV/0!</v>
      </c>
      <c r="G106" s="199">
        <v>2006302987</v>
      </c>
      <c r="H106" s="192">
        <f t="shared" si="9"/>
        <v>8.4972101686895216E-2</v>
      </c>
      <c r="I106" s="199">
        <v>2070124011</v>
      </c>
      <c r="J106" s="192">
        <f t="shared" si="8"/>
        <v>6.161526266298524E-2</v>
      </c>
      <c r="K106" s="200"/>
      <c r="L106" s="199">
        <f t="shared" si="6"/>
        <v>63821024</v>
      </c>
      <c r="M106" s="192">
        <f t="shared" si="7"/>
        <v>3.1810262165551967E-2</v>
      </c>
      <c r="O106" s="130"/>
      <c r="Q106" s="187"/>
    </row>
    <row r="107" spans="1:17" s="131" customFormat="1">
      <c r="A107" s="130"/>
      <c r="C107" s="201"/>
      <c r="D107" s="198" t="s">
        <v>492</v>
      </c>
      <c r="E107" s="199"/>
      <c r="F107" s="192" t="e">
        <f t="shared" si="5"/>
        <v>#DIV/0!</v>
      </c>
      <c r="G107" s="199">
        <v>5051055228</v>
      </c>
      <c r="H107" s="192">
        <f t="shared" si="9"/>
        <v>0.213925205335768</v>
      </c>
      <c r="I107" s="199">
        <v>6449396596</v>
      </c>
      <c r="J107" s="192">
        <f t="shared" si="8"/>
        <v>0.19196012565853135</v>
      </c>
      <c r="K107" s="200"/>
      <c r="L107" s="199">
        <f t="shared" si="6"/>
        <v>1398341368</v>
      </c>
      <c r="M107" s="192">
        <f t="shared" si="7"/>
        <v>0.27684143310261983</v>
      </c>
      <c r="O107" s="130"/>
      <c r="Q107" s="187"/>
    </row>
    <row r="108" spans="1:17" s="131" customFormat="1">
      <c r="A108" s="130"/>
      <c r="C108" s="201"/>
      <c r="D108" s="198" t="s">
        <v>382</v>
      </c>
      <c r="E108" s="199"/>
      <c r="F108" s="192" t="e">
        <f t="shared" si="5"/>
        <v>#DIV/0!</v>
      </c>
      <c r="G108" s="199">
        <v>0</v>
      </c>
      <c r="H108" s="192">
        <f t="shared" si="9"/>
        <v>0</v>
      </c>
      <c r="I108" s="199">
        <v>144547291</v>
      </c>
      <c r="J108" s="192">
        <f t="shared" si="8"/>
        <v>4.3023119653037845E-3</v>
      </c>
      <c r="K108" s="200"/>
      <c r="L108" s="199">
        <f t="shared" si="6"/>
        <v>144547291</v>
      </c>
      <c r="M108" s="192">
        <v>1</v>
      </c>
      <c r="O108" s="130"/>
      <c r="Q108" s="187"/>
    </row>
    <row r="109" spans="1:17" s="131" customFormat="1">
      <c r="A109" s="130"/>
      <c r="C109" s="201"/>
      <c r="D109" s="198" t="s">
        <v>383</v>
      </c>
      <c r="E109" s="199"/>
      <c r="F109" s="192" t="e">
        <f t="shared" si="5"/>
        <v>#DIV/0!</v>
      </c>
      <c r="G109" s="199">
        <v>0</v>
      </c>
      <c r="H109" s="192">
        <f t="shared" si="9"/>
        <v>0</v>
      </c>
      <c r="I109" s="199">
        <v>77052613</v>
      </c>
      <c r="J109" s="192">
        <f t="shared" si="8"/>
        <v>2.2933973827833406E-3</v>
      </c>
      <c r="K109" s="200"/>
      <c r="L109" s="199">
        <f t="shared" si="6"/>
        <v>77052613</v>
      </c>
      <c r="M109" s="192">
        <v>1</v>
      </c>
      <c r="O109" s="130"/>
      <c r="Q109" s="187"/>
    </row>
    <row r="110" spans="1:17" s="131" customFormat="1" hidden="1">
      <c r="A110" s="130"/>
      <c r="C110" s="201"/>
      <c r="D110" s="198" t="s">
        <v>493</v>
      </c>
      <c r="E110" s="199"/>
      <c r="F110" s="192"/>
      <c r="G110" s="199">
        <v>0</v>
      </c>
      <c r="H110" s="192">
        <f t="shared" si="9"/>
        <v>0</v>
      </c>
      <c r="I110" s="199">
        <v>0</v>
      </c>
      <c r="J110" s="192">
        <f t="shared" si="8"/>
        <v>0</v>
      </c>
      <c r="K110" s="200"/>
      <c r="L110" s="199">
        <f t="shared" si="6"/>
        <v>0</v>
      </c>
      <c r="M110" s="192">
        <v>0</v>
      </c>
      <c r="O110" s="130"/>
      <c r="Q110" s="187"/>
    </row>
    <row r="111" spans="1:17" s="131" customFormat="1">
      <c r="A111" s="130"/>
      <c r="C111" s="201"/>
      <c r="D111" s="198"/>
      <c r="E111" s="199"/>
      <c r="F111" s="192" t="e">
        <f>E111/E$22</f>
        <v>#DIV/0!</v>
      </c>
      <c r="G111" s="199"/>
      <c r="H111" s="192"/>
      <c r="I111" s="199"/>
      <c r="J111" s="192"/>
      <c r="K111" s="200"/>
      <c r="L111" s="199"/>
      <c r="M111" s="192"/>
      <c r="O111" s="130"/>
      <c r="Q111" s="187"/>
    </row>
    <row r="112" spans="1:17" s="131" customFormat="1" ht="15">
      <c r="A112" s="130"/>
      <c r="C112" s="194" t="s">
        <v>494</v>
      </c>
      <c r="D112" s="195" t="s">
        <v>495</v>
      </c>
      <c r="E112" s="199"/>
      <c r="F112" s="192" t="e">
        <f>E112/E$22</f>
        <v>#DIV/0!</v>
      </c>
      <c r="G112" s="190">
        <f>SUM(G113:G119)</f>
        <v>445831732</v>
      </c>
      <c r="H112" s="192">
        <f t="shared" si="9"/>
        <v>1.8882122746273225E-2</v>
      </c>
      <c r="I112" s="190">
        <f>+SUM(I113:I119)</f>
        <v>648282077</v>
      </c>
      <c r="J112" s="192">
        <f t="shared" si="8"/>
        <v>1.9295496425243204E-2</v>
      </c>
      <c r="K112" s="216"/>
      <c r="L112" s="199">
        <f t="shared" si="6"/>
        <v>202450345</v>
      </c>
      <c r="M112" s="192">
        <f t="shared" si="7"/>
        <v>0.4540958627861868</v>
      </c>
      <c r="O112" s="130"/>
      <c r="Q112" s="187"/>
    </row>
    <row r="113" spans="1:17" s="131" customFormat="1">
      <c r="A113" s="130"/>
      <c r="C113" s="201"/>
      <c r="D113" s="198" t="s">
        <v>496</v>
      </c>
      <c r="E113" s="199"/>
      <c r="F113" s="192" t="e">
        <f>E113/E$22</f>
        <v>#DIV/0!</v>
      </c>
      <c r="G113" s="199">
        <v>239274611</v>
      </c>
      <c r="H113" s="192">
        <f t="shared" si="9"/>
        <v>1.0133896379921153E-2</v>
      </c>
      <c r="I113" s="199">
        <v>462073375</v>
      </c>
      <c r="J113" s="192">
        <f t="shared" si="8"/>
        <v>1.3753172379486535E-2</v>
      </c>
      <c r="K113" s="216"/>
      <c r="L113" s="199">
        <f t="shared" si="6"/>
        <v>222798764</v>
      </c>
      <c r="M113" s="192">
        <f t="shared" si="7"/>
        <v>0.93114251891940181</v>
      </c>
      <c r="O113" s="130"/>
      <c r="Q113" s="187"/>
    </row>
    <row r="114" spans="1:17" s="131" customFormat="1" ht="15">
      <c r="A114" s="130"/>
      <c r="C114" s="205"/>
      <c r="D114" s="217" t="s">
        <v>497</v>
      </c>
      <c r="E114" s="218"/>
      <c r="F114" s="191" t="e">
        <f>E114/E$22</f>
        <v>#DIV/0!</v>
      </c>
      <c r="G114" s="219">
        <v>22636137</v>
      </c>
      <c r="H114" s="192">
        <f t="shared" si="9"/>
        <v>9.5869873465053628E-4</v>
      </c>
      <c r="I114" s="219">
        <v>39382530</v>
      </c>
      <c r="J114" s="191">
        <f t="shared" si="8"/>
        <v>1.1721833655321512E-3</v>
      </c>
      <c r="K114" s="220"/>
      <c r="L114" s="190">
        <f t="shared" si="6"/>
        <v>16746393</v>
      </c>
      <c r="M114" s="192">
        <f t="shared" si="7"/>
        <v>0.73980790096826154</v>
      </c>
      <c r="O114" s="130"/>
      <c r="Q114" s="187"/>
    </row>
    <row r="115" spans="1:17" s="131" customFormat="1" ht="15" thickBot="1">
      <c r="A115" s="130"/>
      <c r="C115" s="221"/>
      <c r="D115" s="222" t="s">
        <v>498</v>
      </c>
      <c r="E115" s="223"/>
      <c r="F115" s="224" t="e">
        <f>E115/E$22</f>
        <v>#DIV/0!</v>
      </c>
      <c r="G115" s="223">
        <v>4612901</v>
      </c>
      <c r="H115" s="224">
        <f>G115/G$22</f>
        <v>1.9536824466861077E-4</v>
      </c>
      <c r="I115" s="199">
        <v>12121676</v>
      </c>
      <c r="J115" s="192">
        <f t="shared" si="8"/>
        <v>3.6079010082821762E-4</v>
      </c>
      <c r="K115" s="225"/>
      <c r="L115" s="199">
        <f t="shared" si="6"/>
        <v>7508775</v>
      </c>
      <c r="M115" s="192">
        <f t="shared" si="7"/>
        <v>1.6277771840323476</v>
      </c>
      <c r="O115" s="130"/>
      <c r="Q115" s="187"/>
    </row>
    <row r="116" spans="1:17" s="131" customFormat="1" ht="15" hidden="1">
      <c r="A116" s="130"/>
      <c r="C116" s="181"/>
      <c r="D116" s="226" t="s">
        <v>499</v>
      </c>
      <c r="E116" s="186"/>
      <c r="F116" s="184" t="e">
        <f>+E116/$E$22</f>
        <v>#DIV/0!</v>
      </c>
      <c r="G116" s="227">
        <v>0</v>
      </c>
      <c r="H116" s="228">
        <f t="shared" ref="H116:H152" si="10">G116/G$22</f>
        <v>0</v>
      </c>
      <c r="I116" s="227">
        <v>0</v>
      </c>
      <c r="J116" s="191">
        <f>I116/I$22</f>
        <v>0</v>
      </c>
      <c r="K116" s="229"/>
      <c r="L116" s="190">
        <f t="shared" si="6"/>
        <v>0</v>
      </c>
      <c r="M116" s="192">
        <v>0</v>
      </c>
      <c r="O116" s="130"/>
      <c r="Q116" s="187"/>
    </row>
    <row r="117" spans="1:17" s="131" customFormat="1" ht="15">
      <c r="A117" s="130"/>
      <c r="C117" s="188"/>
      <c r="D117" s="198" t="s">
        <v>500</v>
      </c>
      <c r="E117" s="190"/>
      <c r="F117" s="191" t="e">
        <f t="shared" ref="F117:F153" si="11">+E117/$E$22</f>
        <v>#DIV/0!</v>
      </c>
      <c r="G117" s="199">
        <v>179308083</v>
      </c>
      <c r="H117" s="192">
        <f t="shared" si="10"/>
        <v>7.5941593870329253E-3</v>
      </c>
      <c r="I117" s="199">
        <v>98766176</v>
      </c>
      <c r="J117" s="191">
        <f t="shared" si="8"/>
        <v>2.939680832704775E-3</v>
      </c>
      <c r="K117" s="230"/>
      <c r="L117" s="190">
        <f t="shared" si="6"/>
        <v>-80541907</v>
      </c>
      <c r="M117" s="192">
        <f t="shared" si="7"/>
        <v>-0.44918168580275325</v>
      </c>
      <c r="O117" s="130"/>
      <c r="Q117" s="187"/>
    </row>
    <row r="118" spans="1:17" s="131" customFormat="1" ht="15" hidden="1">
      <c r="A118" s="130"/>
      <c r="C118" s="188"/>
      <c r="D118" s="198" t="s">
        <v>501</v>
      </c>
      <c r="E118" s="190"/>
      <c r="F118" s="191" t="e">
        <f t="shared" si="11"/>
        <v>#DIV/0!</v>
      </c>
      <c r="G118" s="199">
        <v>0</v>
      </c>
      <c r="H118" s="192">
        <f t="shared" si="10"/>
        <v>0</v>
      </c>
      <c r="I118" s="199">
        <v>0</v>
      </c>
      <c r="J118" s="191">
        <f t="shared" si="8"/>
        <v>0</v>
      </c>
      <c r="K118" s="230"/>
      <c r="L118" s="190">
        <f t="shared" si="6"/>
        <v>0</v>
      </c>
      <c r="M118" s="192">
        <v>0</v>
      </c>
      <c r="O118" s="130"/>
      <c r="Q118" s="187"/>
    </row>
    <row r="119" spans="1:17" s="131" customFormat="1" ht="15">
      <c r="A119" s="130"/>
      <c r="C119" s="188"/>
      <c r="D119" s="202" t="s">
        <v>502</v>
      </c>
      <c r="E119" s="231"/>
      <c r="F119" s="191" t="e">
        <f>E119/E$116</f>
        <v>#DIV/0!</v>
      </c>
      <c r="G119" s="232">
        <v>0</v>
      </c>
      <c r="H119" s="192">
        <f t="shared" si="10"/>
        <v>0</v>
      </c>
      <c r="I119" s="232">
        <v>35938320</v>
      </c>
      <c r="J119" s="191">
        <f t="shared" si="8"/>
        <v>1.069669746691526E-3</v>
      </c>
      <c r="K119" s="230"/>
      <c r="L119" s="190">
        <f t="shared" si="6"/>
        <v>35938320</v>
      </c>
      <c r="M119" s="192">
        <v>1</v>
      </c>
      <c r="O119" s="130"/>
      <c r="Q119" s="187"/>
    </row>
    <row r="120" spans="1:17" s="131" customFormat="1" ht="15">
      <c r="A120" s="130"/>
      <c r="C120" s="188"/>
      <c r="D120" s="202"/>
      <c r="E120" s="231"/>
      <c r="F120" s="191"/>
      <c r="G120" s="231"/>
      <c r="H120" s="191"/>
      <c r="I120" s="232"/>
      <c r="J120" s="191"/>
      <c r="K120" s="230"/>
      <c r="L120" s="190"/>
      <c r="M120" s="192"/>
      <c r="O120" s="130"/>
      <c r="Q120" s="187"/>
    </row>
    <row r="121" spans="1:17" s="131" customFormat="1" ht="15">
      <c r="A121" s="130"/>
      <c r="C121" s="188" t="s">
        <v>503</v>
      </c>
      <c r="D121" s="189" t="s">
        <v>504</v>
      </c>
      <c r="E121" s="199"/>
      <c r="F121" s="192" t="e">
        <f t="shared" si="11"/>
        <v>#DIV/0!</v>
      </c>
      <c r="G121" s="190">
        <f>+SUM(G122:G131)</f>
        <v>1879605559</v>
      </c>
      <c r="H121" s="192">
        <f t="shared" si="10"/>
        <v>7.9606139115318747E-2</v>
      </c>
      <c r="I121" s="190">
        <f>+SUM(I122:I131)</f>
        <v>1730102674</v>
      </c>
      <c r="J121" s="192">
        <f t="shared" si="8"/>
        <v>5.149485254313256E-2</v>
      </c>
      <c r="K121" s="216"/>
      <c r="L121" s="199">
        <f t="shared" si="6"/>
        <v>-149502885</v>
      </c>
      <c r="M121" s="192">
        <f t="shared" si="7"/>
        <v>-7.953949927640111E-2</v>
      </c>
      <c r="O121" s="130"/>
      <c r="Q121" s="187"/>
    </row>
    <row r="122" spans="1:17" s="131" customFormat="1" ht="15">
      <c r="A122" s="130"/>
      <c r="C122" s="188"/>
      <c r="D122" s="202" t="s">
        <v>505</v>
      </c>
      <c r="E122" s="231"/>
      <c r="F122" s="191" t="e">
        <f>E122/E$116</f>
        <v>#DIV/0!</v>
      </c>
      <c r="G122" s="232">
        <v>16942289</v>
      </c>
      <c r="H122" s="192">
        <f t="shared" si="10"/>
        <v>7.1754959896132894E-4</v>
      </c>
      <c r="I122" s="232">
        <v>29048761</v>
      </c>
      <c r="J122" s="191">
        <f t="shared" si="8"/>
        <v>8.6460860776387655E-4</v>
      </c>
      <c r="K122" s="230"/>
      <c r="L122" s="190">
        <f t="shared" si="6"/>
        <v>12106472</v>
      </c>
      <c r="M122" s="192">
        <f t="shared" si="7"/>
        <v>0.71457121289809189</v>
      </c>
      <c r="O122" s="130"/>
      <c r="Q122" s="187"/>
    </row>
    <row r="123" spans="1:17" s="131" customFormat="1">
      <c r="A123" s="130"/>
      <c r="C123" s="197"/>
      <c r="D123" s="198" t="s">
        <v>506</v>
      </c>
      <c r="E123" s="199"/>
      <c r="F123" s="192" t="e">
        <f t="shared" si="11"/>
        <v>#DIV/0!</v>
      </c>
      <c r="G123" s="199">
        <v>0</v>
      </c>
      <c r="H123" s="192">
        <f t="shared" si="10"/>
        <v>0</v>
      </c>
      <c r="I123" s="199">
        <v>241043</v>
      </c>
      <c r="J123" s="192">
        <f t="shared" si="8"/>
        <v>7.1744145177561305E-6</v>
      </c>
      <c r="K123" s="216"/>
      <c r="L123" s="199">
        <f t="shared" si="6"/>
        <v>241043</v>
      </c>
      <c r="M123" s="192">
        <v>1</v>
      </c>
      <c r="O123" s="130"/>
      <c r="Q123" s="187"/>
    </row>
    <row r="124" spans="1:17" s="131" customFormat="1" ht="15">
      <c r="A124" s="130"/>
      <c r="C124" s="188"/>
      <c r="D124" s="202" t="s">
        <v>504</v>
      </c>
      <c r="E124" s="231"/>
      <c r="F124" s="191" t="e">
        <f>E124/E$116</f>
        <v>#DIV/0!</v>
      </c>
      <c r="G124" s="232">
        <v>236329543</v>
      </c>
      <c r="H124" s="192">
        <f t="shared" si="10"/>
        <v>1.000916516076217E-2</v>
      </c>
      <c r="I124" s="232">
        <v>253721228</v>
      </c>
      <c r="J124" s="191">
        <f t="shared" si="8"/>
        <v>7.5517698569388583E-3</v>
      </c>
      <c r="K124" s="230"/>
      <c r="L124" s="190">
        <f t="shared" si="6"/>
        <v>17391685</v>
      </c>
      <c r="M124" s="192">
        <f t="shared" si="7"/>
        <v>7.3590820594105752E-2</v>
      </c>
      <c r="O124" s="130"/>
      <c r="Q124" s="187"/>
    </row>
    <row r="125" spans="1:17" s="131" customFormat="1">
      <c r="A125" s="130"/>
      <c r="C125" s="197"/>
      <c r="D125" s="198" t="s">
        <v>507</v>
      </c>
      <c r="E125" s="199"/>
      <c r="F125" s="192" t="e">
        <f t="shared" si="11"/>
        <v>#DIV/0!</v>
      </c>
      <c r="G125" s="199">
        <v>7480000</v>
      </c>
      <c r="H125" s="192">
        <f t="shared" si="10"/>
        <v>3.1679727575363283E-4</v>
      </c>
      <c r="I125" s="199">
        <v>11750000</v>
      </c>
      <c r="J125" s="192">
        <f t="shared" si="8"/>
        <v>3.4972751991816617E-4</v>
      </c>
      <c r="K125" s="216"/>
      <c r="L125" s="199">
        <f t="shared" si="6"/>
        <v>4270000</v>
      </c>
      <c r="M125" s="192">
        <f t="shared" si="7"/>
        <v>0.57085561497326198</v>
      </c>
      <c r="O125" s="130"/>
      <c r="Q125" s="187"/>
    </row>
    <row r="126" spans="1:17" s="131" customFormat="1" ht="15" hidden="1">
      <c r="A126" s="130"/>
      <c r="C126" s="197"/>
      <c r="D126" s="198" t="s">
        <v>508</v>
      </c>
      <c r="E126" s="199"/>
      <c r="F126" s="192" t="e">
        <f t="shared" si="11"/>
        <v>#DIV/0!</v>
      </c>
      <c r="G126" s="199">
        <v>0</v>
      </c>
      <c r="H126" s="192">
        <f t="shared" si="10"/>
        <v>0</v>
      </c>
      <c r="I126" s="199">
        <v>0</v>
      </c>
      <c r="J126" s="192">
        <f t="shared" si="8"/>
        <v>0</v>
      </c>
      <c r="K126" s="216"/>
      <c r="L126" s="190">
        <f t="shared" si="6"/>
        <v>0</v>
      </c>
      <c r="M126" s="192">
        <v>0</v>
      </c>
      <c r="O126" s="130"/>
      <c r="Q126" s="187"/>
    </row>
    <row r="127" spans="1:17" s="131" customFormat="1" ht="15">
      <c r="A127" s="130"/>
      <c r="C127" s="197"/>
      <c r="D127" s="233" t="s">
        <v>509</v>
      </c>
      <c r="E127" s="199"/>
      <c r="F127" s="192" t="e">
        <f t="shared" si="11"/>
        <v>#DIV/0!</v>
      </c>
      <c r="G127" s="199">
        <v>33539547</v>
      </c>
      <c r="H127" s="192">
        <f t="shared" si="10"/>
        <v>1.4204862459372899E-3</v>
      </c>
      <c r="I127" s="199">
        <v>27464793</v>
      </c>
      <c r="J127" s="192">
        <f t="shared" si="8"/>
        <v>8.1746331412389881E-4</v>
      </c>
      <c r="K127" s="216"/>
      <c r="L127" s="190">
        <f t="shared" si="6"/>
        <v>-6074754</v>
      </c>
      <c r="M127" s="192">
        <f t="shared" si="7"/>
        <v>-0.18112212427913829</v>
      </c>
      <c r="O127" s="130"/>
      <c r="Q127" s="187"/>
    </row>
    <row r="128" spans="1:17" s="131" customFormat="1" ht="15">
      <c r="A128" s="130"/>
      <c r="C128" s="188"/>
      <c r="D128" s="198" t="s">
        <v>510</v>
      </c>
      <c r="E128" s="190"/>
      <c r="F128" s="191" t="e">
        <f t="shared" si="11"/>
        <v>#DIV/0!</v>
      </c>
      <c r="G128" s="199">
        <v>1269927220</v>
      </c>
      <c r="H128" s="192">
        <f t="shared" si="10"/>
        <v>5.378469033440967E-2</v>
      </c>
      <c r="I128" s="199">
        <v>1168272460</v>
      </c>
      <c r="J128" s="191">
        <f t="shared" si="8"/>
        <v>3.4772513193574044E-2</v>
      </c>
      <c r="K128" s="230"/>
      <c r="L128" s="190">
        <f t="shared" si="6"/>
        <v>-101654760</v>
      </c>
      <c r="M128" s="192">
        <f t="shared" si="7"/>
        <v>-8.0047705411023476E-2</v>
      </c>
      <c r="O128" s="130"/>
      <c r="Q128" s="187"/>
    </row>
    <row r="129" spans="1:17" s="131" customFormat="1" ht="15">
      <c r="A129" s="130"/>
      <c r="C129" s="188"/>
      <c r="D129" s="202" t="s">
        <v>511</v>
      </c>
      <c r="E129" s="190"/>
      <c r="F129" s="191" t="e">
        <f t="shared" si="11"/>
        <v>#DIV/0!</v>
      </c>
      <c r="G129" s="199">
        <v>0</v>
      </c>
      <c r="H129" s="192">
        <f t="shared" si="10"/>
        <v>0</v>
      </c>
      <c r="I129" s="199">
        <v>33171040</v>
      </c>
      <c r="J129" s="191">
        <f t="shared" si="8"/>
        <v>9.8730430232393937E-4</v>
      </c>
      <c r="K129" s="230"/>
      <c r="L129" s="190">
        <f t="shared" si="6"/>
        <v>33171040</v>
      </c>
      <c r="M129" s="192">
        <v>1</v>
      </c>
      <c r="O129" s="130"/>
      <c r="Q129" s="187"/>
    </row>
    <row r="130" spans="1:17" s="131" customFormat="1">
      <c r="A130" s="130"/>
      <c r="C130" s="197"/>
      <c r="D130" s="198" t="s">
        <v>512</v>
      </c>
      <c r="E130" s="199"/>
      <c r="F130" s="192" t="e">
        <f t="shared" si="11"/>
        <v>#DIV/0!</v>
      </c>
      <c r="G130" s="199">
        <v>0</v>
      </c>
      <c r="H130" s="192">
        <f t="shared" si="10"/>
        <v>0</v>
      </c>
      <c r="I130" s="199">
        <v>4106305</v>
      </c>
      <c r="J130" s="192">
        <f t="shared" si="8"/>
        <v>1.2222024371723962E-4</v>
      </c>
      <c r="K130" s="216"/>
      <c r="L130" s="199">
        <f t="shared" si="6"/>
        <v>4106305</v>
      </c>
      <c r="M130" s="192">
        <v>1</v>
      </c>
      <c r="O130" s="130"/>
      <c r="Q130" s="187"/>
    </row>
    <row r="131" spans="1:17" s="131" customFormat="1">
      <c r="A131" s="130"/>
      <c r="C131" s="197"/>
      <c r="D131" s="198" t="s">
        <v>513</v>
      </c>
      <c r="E131" s="199"/>
      <c r="F131" s="192" t="e">
        <f t="shared" si="11"/>
        <v>#DIV/0!</v>
      </c>
      <c r="G131" s="199">
        <v>315386960</v>
      </c>
      <c r="H131" s="192">
        <f t="shared" si="10"/>
        <v>1.3357450499494649E-2</v>
      </c>
      <c r="I131" s="199">
        <v>202327044</v>
      </c>
      <c r="J131" s="192">
        <f t="shared" si="8"/>
        <v>6.0220710902547823E-3</v>
      </c>
      <c r="K131" s="216"/>
      <c r="L131" s="199">
        <f t="shared" si="6"/>
        <v>-113059916</v>
      </c>
      <c r="M131" s="192">
        <f t="shared" si="7"/>
        <v>-0.35847999549505788</v>
      </c>
      <c r="O131" s="130"/>
      <c r="Q131" s="187"/>
    </row>
    <row r="132" spans="1:17" s="131" customFormat="1">
      <c r="A132" s="130"/>
      <c r="C132" s="197"/>
      <c r="D132" s="198"/>
      <c r="E132" s="199"/>
      <c r="F132" s="192" t="e">
        <f>+E132/$E$22</f>
        <v>#DIV/0!</v>
      </c>
      <c r="G132" s="199"/>
      <c r="H132" s="192"/>
      <c r="I132" s="199"/>
      <c r="J132" s="192"/>
      <c r="K132" s="216"/>
      <c r="L132" s="199"/>
      <c r="M132" s="192"/>
      <c r="O132" s="130"/>
      <c r="Q132" s="187"/>
    </row>
    <row r="133" spans="1:17" s="131" customFormat="1" ht="15">
      <c r="A133" s="130"/>
      <c r="C133" s="188" t="s">
        <v>514</v>
      </c>
      <c r="D133" s="195" t="s">
        <v>515</v>
      </c>
      <c r="E133" s="199"/>
      <c r="F133" s="192" t="e">
        <f>+E133/$E$22</f>
        <v>#DIV/0!</v>
      </c>
      <c r="G133" s="190">
        <f>+SUM(G134:G135)</f>
        <v>3417134853</v>
      </c>
      <c r="H133" s="192">
        <f>G133/G$22</f>
        <v>0.14472446688679019</v>
      </c>
      <c r="I133" s="190">
        <f>+SUM(I134:I135)</f>
        <v>4377079408</v>
      </c>
      <c r="J133" s="192">
        <f t="shared" si="8"/>
        <v>0.13027958517827362</v>
      </c>
      <c r="K133" s="216"/>
      <c r="L133" s="199">
        <f t="shared" si="6"/>
        <v>959944555</v>
      </c>
      <c r="M133" s="192">
        <f t="shared" si="7"/>
        <v>0.28092088732091958</v>
      </c>
      <c r="O133" s="130"/>
      <c r="Q133" s="187"/>
    </row>
    <row r="134" spans="1:17" s="131" customFormat="1">
      <c r="A134" s="130"/>
      <c r="C134" s="197"/>
      <c r="D134" s="198" t="s">
        <v>516</v>
      </c>
      <c r="E134" s="199"/>
      <c r="F134" s="192" t="e">
        <f>+E134/$E$22</f>
        <v>#DIV/0!</v>
      </c>
      <c r="G134" s="199">
        <v>943833132</v>
      </c>
      <c r="H134" s="192">
        <f>G134/G$22</f>
        <v>3.9973765372141569E-2</v>
      </c>
      <c r="I134" s="199">
        <v>1648917902</v>
      </c>
      <c r="J134" s="192">
        <f t="shared" si="8"/>
        <v>4.9078465397031985E-2</v>
      </c>
      <c r="K134" s="216"/>
      <c r="L134" s="199">
        <f t="shared" si="6"/>
        <v>705084770</v>
      </c>
      <c r="M134" s="192">
        <f t="shared" si="7"/>
        <v>0.74704388529560539</v>
      </c>
      <c r="O134" s="130"/>
      <c r="Q134" s="187"/>
    </row>
    <row r="135" spans="1:17" s="131" customFormat="1">
      <c r="A135" s="130"/>
      <c r="C135" s="197"/>
      <c r="D135" s="198" t="s">
        <v>517</v>
      </c>
      <c r="E135" s="199"/>
      <c r="F135" s="192" t="e">
        <f>+E135/$E$22</f>
        <v>#DIV/0!</v>
      </c>
      <c r="G135" s="199">
        <v>2473301721</v>
      </c>
      <c r="H135" s="192">
        <f>G135/G$22</f>
        <v>0.10475070151464862</v>
      </c>
      <c r="I135" s="199">
        <v>2728161506</v>
      </c>
      <c r="J135" s="192">
        <f t="shared" si="8"/>
        <v>8.1201119781241643E-2</v>
      </c>
      <c r="K135" s="216"/>
      <c r="L135" s="199">
        <f t="shared" si="6"/>
        <v>254859785</v>
      </c>
      <c r="M135" s="192">
        <f t="shared" si="7"/>
        <v>0.10304435679483361</v>
      </c>
      <c r="O135" s="130"/>
      <c r="Q135" s="187"/>
    </row>
    <row r="136" spans="1:17" s="131" customFormat="1">
      <c r="A136" s="130"/>
      <c r="C136" s="197"/>
      <c r="D136" s="198"/>
      <c r="E136" s="199"/>
      <c r="F136" s="192" t="e">
        <f>+E136/$E$22</f>
        <v>#DIV/0!</v>
      </c>
      <c r="G136" s="199"/>
      <c r="H136" s="192"/>
      <c r="I136" s="199"/>
      <c r="J136" s="192">
        <f t="shared" si="8"/>
        <v>0</v>
      </c>
      <c r="K136" s="216"/>
      <c r="L136" s="199"/>
      <c r="M136" s="192"/>
      <c r="O136" s="130"/>
      <c r="Q136" s="187"/>
    </row>
    <row r="137" spans="1:17" s="131" customFormat="1" ht="15">
      <c r="A137" s="130"/>
      <c r="C137" s="188" t="s">
        <v>518</v>
      </c>
      <c r="D137" s="195" t="s">
        <v>128</v>
      </c>
      <c r="E137" s="190"/>
      <c r="F137" s="191" t="e">
        <f t="shared" si="11"/>
        <v>#DIV/0!</v>
      </c>
      <c r="G137" s="190">
        <f>+G138+G145+G151</f>
        <v>8782497058</v>
      </c>
      <c r="H137" s="191">
        <f t="shared" si="10"/>
        <v>0.37196138265891643</v>
      </c>
      <c r="I137" s="190">
        <f>+I138+I145+I151</f>
        <v>11872376743</v>
      </c>
      <c r="J137" s="192">
        <f t="shared" si="8"/>
        <v>0.35336994671178773</v>
      </c>
      <c r="K137" s="216"/>
      <c r="L137" s="199">
        <f t="shared" si="6"/>
        <v>3089879685</v>
      </c>
      <c r="M137" s="192">
        <f t="shared" si="7"/>
        <v>0.35182245602751672</v>
      </c>
      <c r="O137" s="130"/>
      <c r="Q137" s="187"/>
    </row>
    <row r="138" spans="1:17" s="131" customFormat="1" ht="15">
      <c r="A138" s="130"/>
      <c r="C138" s="197"/>
      <c r="D138" s="198" t="s">
        <v>229</v>
      </c>
      <c r="E138" s="199"/>
      <c r="F138" s="192" t="e">
        <f t="shared" si="11"/>
        <v>#DIV/0!</v>
      </c>
      <c r="G138" s="190">
        <f>+G139+G142</f>
        <v>7000000000</v>
      </c>
      <c r="H138" s="192">
        <f t="shared" si="10"/>
        <v>0.29646803880687567</v>
      </c>
      <c r="I138" s="190">
        <f>+I139+I142</f>
        <v>9285115000</v>
      </c>
      <c r="J138" s="192">
        <f t="shared" si="8"/>
        <v>0.27636257371106077</v>
      </c>
      <c r="K138" s="216"/>
      <c r="L138" s="199">
        <f t="shared" si="6"/>
        <v>2285115000</v>
      </c>
      <c r="M138" s="192">
        <f t="shared" si="7"/>
        <v>0.32644499999999999</v>
      </c>
      <c r="O138" s="130"/>
      <c r="Q138" s="187"/>
    </row>
    <row r="139" spans="1:17" s="131" customFormat="1" ht="15">
      <c r="A139" s="130"/>
      <c r="C139" s="197"/>
      <c r="D139" s="198" t="s">
        <v>519</v>
      </c>
      <c r="E139" s="199"/>
      <c r="F139" s="192" t="e">
        <f t="shared" si="11"/>
        <v>#DIV/0!</v>
      </c>
      <c r="G139" s="190">
        <f>+G140</f>
        <v>6200000000</v>
      </c>
      <c r="H139" s="192">
        <f t="shared" si="10"/>
        <v>0.262585977228947</v>
      </c>
      <c r="I139" s="190">
        <f>+SUM(I140:I141)</f>
        <v>9285115000</v>
      </c>
      <c r="J139" s="192">
        <f t="shared" si="8"/>
        <v>0.27636257371106077</v>
      </c>
      <c r="K139" s="216"/>
      <c r="L139" s="199">
        <f t="shared" si="6"/>
        <v>3085115000</v>
      </c>
      <c r="M139" s="192">
        <f t="shared" si="7"/>
        <v>0.49759919354838711</v>
      </c>
      <c r="O139" s="130"/>
      <c r="Q139" s="187"/>
    </row>
    <row r="140" spans="1:17" s="131" customFormat="1">
      <c r="A140" s="130"/>
      <c r="C140" s="197"/>
      <c r="D140" s="198" t="s">
        <v>230</v>
      </c>
      <c r="E140" s="199"/>
      <c r="F140" s="192" t="e">
        <f t="shared" si="11"/>
        <v>#DIV/0!</v>
      </c>
      <c r="G140" s="199">
        <v>6200000000</v>
      </c>
      <c r="H140" s="192">
        <f t="shared" si="10"/>
        <v>0.262585977228947</v>
      </c>
      <c r="I140" s="199">
        <v>7500000000</v>
      </c>
      <c r="J140" s="192">
        <f t="shared" si="8"/>
        <v>0.22323033186265928</v>
      </c>
      <c r="K140" s="216"/>
      <c r="L140" s="199">
        <f t="shared" si="6"/>
        <v>1300000000</v>
      </c>
      <c r="M140" s="192">
        <f t="shared" si="7"/>
        <v>0.20967741935483872</v>
      </c>
      <c r="O140" s="130"/>
      <c r="Q140" s="187"/>
    </row>
    <row r="141" spans="1:17" s="131" customFormat="1">
      <c r="A141" s="130"/>
      <c r="C141" s="197"/>
      <c r="D141" s="198" t="s">
        <v>520</v>
      </c>
      <c r="E141" s="199"/>
      <c r="F141" s="192" t="e">
        <f t="shared" si="11"/>
        <v>#DIV/0!</v>
      </c>
      <c r="G141" s="199">
        <v>0</v>
      </c>
      <c r="H141" s="192">
        <f t="shared" si="10"/>
        <v>0</v>
      </c>
      <c r="I141" s="199">
        <v>1785115000</v>
      </c>
      <c r="J141" s="192">
        <f t="shared" si="8"/>
        <v>5.3132241848401471E-2</v>
      </c>
      <c r="K141" s="216"/>
      <c r="L141" s="199">
        <f t="shared" si="6"/>
        <v>1785115000</v>
      </c>
      <c r="M141" s="192">
        <v>1</v>
      </c>
      <c r="O141" s="130"/>
      <c r="Q141" s="187"/>
    </row>
    <row r="142" spans="1:17" s="131" customFormat="1">
      <c r="A142" s="130"/>
      <c r="C142" s="197"/>
      <c r="D142" s="233" t="s">
        <v>521</v>
      </c>
      <c r="E142" s="199"/>
      <c r="F142" s="192"/>
      <c r="G142" s="199">
        <v>800000000</v>
      </c>
      <c r="H142" s="192">
        <f t="shared" si="10"/>
        <v>3.3882061577928647E-2</v>
      </c>
      <c r="I142" s="199">
        <v>0</v>
      </c>
      <c r="J142" s="192"/>
      <c r="K142" s="216"/>
      <c r="L142" s="199">
        <f t="shared" si="6"/>
        <v>-800000000</v>
      </c>
      <c r="M142" s="192">
        <f t="shared" si="7"/>
        <v>-1</v>
      </c>
      <c r="O142" s="130"/>
      <c r="Q142" s="187"/>
    </row>
    <row r="143" spans="1:17" s="131" customFormat="1">
      <c r="A143" s="130"/>
      <c r="C143" s="197"/>
      <c r="D143" s="233"/>
      <c r="E143" s="199"/>
      <c r="F143" s="192" t="e">
        <f t="shared" si="11"/>
        <v>#DIV/0!</v>
      </c>
      <c r="G143" s="199"/>
      <c r="H143" s="192"/>
      <c r="I143" s="199"/>
      <c r="J143" s="192">
        <f t="shared" si="8"/>
        <v>0</v>
      </c>
      <c r="K143" s="216"/>
      <c r="L143" s="199"/>
      <c r="M143" s="192"/>
      <c r="O143" s="130"/>
      <c r="Q143" s="187"/>
    </row>
    <row r="144" spans="1:17" s="131" customFormat="1" ht="15">
      <c r="A144" s="130"/>
      <c r="C144" s="188" t="s">
        <v>522</v>
      </c>
      <c r="D144" s="215" t="s">
        <v>341</v>
      </c>
      <c r="E144" s="190"/>
      <c r="F144" s="191" t="e">
        <f t="shared" si="11"/>
        <v>#DIV/0!</v>
      </c>
      <c r="G144" s="190">
        <f>+G145+G151</f>
        <v>1782497058</v>
      </c>
      <c r="H144" s="191">
        <f t="shared" si="10"/>
        <v>7.5493343852040803E-2</v>
      </c>
      <c r="I144" s="190">
        <f>+I145+I151</f>
        <v>2587261743</v>
      </c>
      <c r="J144" s="191">
        <f t="shared" si="8"/>
        <v>7.7007373000726964E-2</v>
      </c>
      <c r="K144" s="230"/>
      <c r="L144" s="190">
        <f t="shared" si="6"/>
        <v>804764685</v>
      </c>
      <c r="M144" s="192">
        <f t="shared" si="7"/>
        <v>0.45148163436688266</v>
      </c>
      <c r="O144" s="130"/>
      <c r="Q144" s="187"/>
    </row>
    <row r="145" spans="1:17" s="131" customFormat="1" ht="15">
      <c r="A145" s="130"/>
      <c r="C145" s="188" t="s">
        <v>523</v>
      </c>
      <c r="D145" s="195" t="s">
        <v>248</v>
      </c>
      <c r="E145" s="199"/>
      <c r="F145" s="192" t="e">
        <f t="shared" si="11"/>
        <v>#DIV/0!</v>
      </c>
      <c r="G145" s="190">
        <f>+SUM(G146:G149)</f>
        <v>656795137</v>
      </c>
      <c r="H145" s="192">
        <f t="shared" si="10"/>
        <v>2.7816966594897602E-2</v>
      </c>
      <c r="I145" s="190">
        <f>+SUM(I146:I149)</f>
        <v>1631957666</v>
      </c>
      <c r="J145" s="192">
        <f t="shared" si="8"/>
        <v>4.857366018226545E-2</v>
      </c>
      <c r="K145" s="216"/>
      <c r="L145" s="199">
        <f t="shared" si="6"/>
        <v>975162529</v>
      </c>
      <c r="M145" s="192">
        <f t="shared" si="7"/>
        <v>1.4847286072399772</v>
      </c>
      <c r="O145" s="130"/>
      <c r="Q145" s="187"/>
    </row>
    <row r="146" spans="1:17" s="131" customFormat="1">
      <c r="A146" s="130"/>
      <c r="C146" s="197"/>
      <c r="D146" s="198" t="s">
        <v>524</v>
      </c>
      <c r="E146" s="199"/>
      <c r="F146" s="192" t="e">
        <f t="shared" si="11"/>
        <v>#DIV/0!</v>
      </c>
      <c r="G146" s="199">
        <v>239813237</v>
      </c>
      <c r="H146" s="192">
        <f t="shared" si="10"/>
        <v>1.0156708579045494E-2</v>
      </c>
      <c r="I146" s="199">
        <v>286514157</v>
      </c>
      <c r="J146" s="192">
        <f t="shared" si="8"/>
        <v>8.5278200467280088E-3</v>
      </c>
      <c r="K146" s="216"/>
      <c r="L146" s="199">
        <f t="shared" si="6"/>
        <v>46700920</v>
      </c>
      <c r="M146" s="192">
        <f t="shared" si="7"/>
        <v>0.19473870827238782</v>
      </c>
      <c r="O146" s="130"/>
      <c r="Q146" s="187"/>
    </row>
    <row r="147" spans="1:17" s="131" customFormat="1" ht="15">
      <c r="A147" s="130"/>
      <c r="C147" s="197"/>
      <c r="D147" s="202" t="s">
        <v>525</v>
      </c>
      <c r="E147" s="199"/>
      <c r="F147" s="192" t="e">
        <f t="shared" si="11"/>
        <v>#DIV/0!</v>
      </c>
      <c r="G147" s="199">
        <v>103401319</v>
      </c>
      <c r="H147" s="192">
        <f t="shared" si="10"/>
        <v>4.3793123219963035E-3</v>
      </c>
      <c r="I147" s="199">
        <v>331862928</v>
      </c>
      <c r="J147" s="192">
        <f t="shared" si="8"/>
        <v>9.8775828733805061E-3</v>
      </c>
      <c r="K147" s="216"/>
      <c r="L147" s="190">
        <f t="shared" si="6"/>
        <v>228461609</v>
      </c>
      <c r="M147" s="192">
        <f t="shared" si="7"/>
        <v>2.2094651326449712</v>
      </c>
      <c r="O147" s="130"/>
      <c r="Q147" s="187"/>
    </row>
    <row r="148" spans="1:17" s="131" customFormat="1">
      <c r="A148" s="130"/>
      <c r="C148" s="197"/>
      <c r="D148" s="202" t="s">
        <v>526</v>
      </c>
      <c r="E148" s="199"/>
      <c r="F148" s="192" t="e">
        <f t="shared" si="11"/>
        <v>#DIV/0!</v>
      </c>
      <c r="G148" s="199">
        <v>313580581</v>
      </c>
      <c r="H148" s="192">
        <f t="shared" si="10"/>
        <v>1.3280945693855802E-2</v>
      </c>
      <c r="I148" s="199">
        <v>313580581</v>
      </c>
      <c r="J148" s="192">
        <f t="shared" si="8"/>
        <v>9.3334262883087351E-3</v>
      </c>
      <c r="K148" s="216"/>
      <c r="L148" s="199">
        <f t="shared" si="6"/>
        <v>0</v>
      </c>
      <c r="M148" s="192">
        <f t="shared" si="7"/>
        <v>0</v>
      </c>
      <c r="O148" s="130"/>
      <c r="Q148" s="187"/>
    </row>
    <row r="149" spans="1:17" s="131" customFormat="1">
      <c r="A149" s="130"/>
      <c r="C149" s="197"/>
      <c r="D149" s="202" t="s">
        <v>527</v>
      </c>
      <c r="E149" s="199"/>
      <c r="F149" s="192" t="e">
        <f t="shared" si="11"/>
        <v>#DIV/0!</v>
      </c>
      <c r="G149" s="199">
        <v>0</v>
      </c>
      <c r="H149" s="192">
        <f t="shared" si="10"/>
        <v>0</v>
      </c>
      <c r="I149" s="199">
        <v>700000000</v>
      </c>
      <c r="J149" s="192">
        <f t="shared" si="8"/>
        <v>2.0834830973848199E-2</v>
      </c>
      <c r="K149" s="216"/>
      <c r="L149" s="199">
        <f t="shared" si="6"/>
        <v>700000000</v>
      </c>
      <c r="M149" s="192">
        <v>1</v>
      </c>
      <c r="O149" s="130"/>
      <c r="Q149" s="187"/>
    </row>
    <row r="150" spans="1:17" s="131" customFormat="1" ht="15">
      <c r="A150" s="130"/>
      <c r="C150" s="188"/>
      <c r="D150" s="215"/>
      <c r="E150" s="190"/>
      <c r="F150" s="191" t="e">
        <f t="shared" si="11"/>
        <v>#DIV/0!</v>
      </c>
      <c r="G150" s="190"/>
      <c r="H150" s="191"/>
      <c r="I150" s="190"/>
      <c r="J150" s="191">
        <f t="shared" si="8"/>
        <v>0</v>
      </c>
      <c r="K150" s="230"/>
      <c r="L150" s="190"/>
      <c r="M150" s="192"/>
      <c r="O150" s="130"/>
      <c r="Q150" s="187"/>
    </row>
    <row r="151" spans="1:17" s="131" customFormat="1" ht="15">
      <c r="A151" s="130"/>
      <c r="C151" s="188" t="s">
        <v>528</v>
      </c>
      <c r="D151" s="195" t="s">
        <v>246</v>
      </c>
      <c r="E151" s="199"/>
      <c r="F151" s="192" t="e">
        <f t="shared" si="11"/>
        <v>#DIV/0!</v>
      </c>
      <c r="G151" s="190">
        <f>+G152</f>
        <v>1125701921</v>
      </c>
      <c r="H151" s="192">
        <f t="shared" si="10"/>
        <v>4.7676377257143208E-2</v>
      </c>
      <c r="I151" s="190">
        <f>+I152</f>
        <v>955304077</v>
      </c>
      <c r="J151" s="192">
        <f t="shared" si="8"/>
        <v>2.8433712818461521E-2</v>
      </c>
      <c r="K151" s="216"/>
      <c r="L151" s="199">
        <f>I151-G151</f>
        <v>-170397844</v>
      </c>
      <c r="M151" s="192">
        <f>L151/G151</f>
        <v>-0.15137030578097416</v>
      </c>
      <c r="O151" s="130"/>
      <c r="Q151" s="187"/>
    </row>
    <row r="152" spans="1:17" s="131" customFormat="1" ht="15">
      <c r="A152" s="130"/>
      <c r="C152" s="188"/>
      <c r="D152" s="202" t="s">
        <v>529</v>
      </c>
      <c r="E152" s="190"/>
      <c r="F152" s="191" t="e">
        <f t="shared" si="11"/>
        <v>#DIV/0!</v>
      </c>
      <c r="G152" s="199">
        <v>1125701921</v>
      </c>
      <c r="H152" s="191">
        <f t="shared" si="10"/>
        <v>4.7676377257143208E-2</v>
      </c>
      <c r="I152" s="199">
        <v>955304077</v>
      </c>
      <c r="J152" s="191">
        <f t="shared" si="8"/>
        <v>2.8433712818461521E-2</v>
      </c>
      <c r="K152" s="230"/>
      <c r="L152" s="190">
        <f>I152-G152</f>
        <v>-170397844</v>
      </c>
      <c r="M152" s="192">
        <f>L152/G152</f>
        <v>-0.15137030578097416</v>
      </c>
      <c r="O152" s="130"/>
      <c r="Q152" s="187"/>
    </row>
    <row r="153" spans="1:17" s="131" customFormat="1">
      <c r="A153" s="130"/>
      <c r="C153" s="234"/>
      <c r="D153" s="198"/>
      <c r="E153" s="199"/>
      <c r="F153" s="192" t="e">
        <f t="shared" si="11"/>
        <v>#DIV/0!</v>
      </c>
      <c r="G153" s="199"/>
      <c r="H153" s="192"/>
      <c r="I153" s="199"/>
      <c r="J153" s="192">
        <f t="shared" si="8"/>
        <v>0</v>
      </c>
      <c r="K153" s="216"/>
      <c r="L153" s="199"/>
      <c r="M153" s="192"/>
      <c r="O153" s="130"/>
      <c r="Q153" s="187"/>
    </row>
    <row r="154" spans="1:17" s="131" customFormat="1" ht="15.75" thickBot="1">
      <c r="A154" s="130"/>
      <c r="C154" s="235"/>
      <c r="D154" s="222"/>
      <c r="E154" s="223"/>
      <c r="F154" s="224" t="e">
        <f>E154/#REF!</f>
        <v>#REF!</v>
      </c>
      <c r="G154" s="223"/>
      <c r="H154" s="224"/>
      <c r="I154" s="236"/>
      <c r="J154" s="224">
        <f>I154/I$22</f>
        <v>0</v>
      </c>
      <c r="K154" s="225"/>
      <c r="L154" s="223"/>
      <c r="M154" s="224"/>
      <c r="O154" s="130"/>
      <c r="Q154" s="187"/>
    </row>
    <row r="155" spans="1:17">
      <c r="A155" s="130"/>
      <c r="B155" s="131"/>
    </row>
    <row r="156" spans="1:17" ht="9.75" customHeight="1">
      <c r="A156" s="130"/>
      <c r="B156" s="241"/>
      <c r="C156" s="241"/>
      <c r="D156" s="241"/>
      <c r="E156" s="242"/>
      <c r="F156" s="242"/>
      <c r="G156" s="242"/>
      <c r="H156" s="242"/>
      <c r="I156" s="242"/>
      <c r="J156" s="242"/>
      <c r="K156" s="242"/>
      <c r="L156" s="242"/>
      <c r="M156" s="242"/>
      <c r="N156" s="242"/>
    </row>
    <row r="157" spans="1:17">
      <c r="I157" s="243">
        <f>+I137+I158</f>
        <v>16213147315</v>
      </c>
    </row>
    <row r="158" spans="1:17" ht="15">
      <c r="G158" s="244">
        <f>+G22-G137-G98</f>
        <v>1964625071</v>
      </c>
      <c r="I158" s="244">
        <f>+I22-I137-I98</f>
        <v>4340770572</v>
      </c>
      <c r="L158" s="243"/>
    </row>
    <row r="159" spans="1:17">
      <c r="D159" s="148"/>
      <c r="F159" s="238"/>
      <c r="G159" s="243">
        <f>+G137+G158</f>
        <v>10747122129</v>
      </c>
      <c r="I159" s="243"/>
      <c r="L159" s="243"/>
    </row>
    <row r="160" spans="1:17" ht="15" thickBot="1"/>
    <row r="161" spans="4:13" ht="15">
      <c r="D161" s="245" t="s">
        <v>4</v>
      </c>
      <c r="E161" s="227">
        <f>I22</f>
        <v>33597584779</v>
      </c>
      <c r="F161" s="246"/>
      <c r="G161" s="186">
        <f>G22</f>
        <v>23611314151</v>
      </c>
      <c r="H161" s="246"/>
      <c r="I161" s="186">
        <f>I22</f>
        <v>33597584779</v>
      </c>
      <c r="J161" s="246"/>
      <c r="K161" s="246"/>
      <c r="L161" s="227"/>
      <c r="M161" s="247"/>
    </row>
    <row r="162" spans="4:13" ht="15">
      <c r="D162" s="248" t="s">
        <v>530</v>
      </c>
      <c r="E162" s="232">
        <f>I116</f>
        <v>0</v>
      </c>
      <c r="F162" s="249"/>
      <c r="G162" s="231">
        <f>+G137+G98</f>
        <v>21646689080</v>
      </c>
      <c r="H162" s="249"/>
      <c r="I162" s="231">
        <f>+I137+I98</f>
        <v>29256814207</v>
      </c>
      <c r="J162" s="249"/>
      <c r="K162" s="249"/>
      <c r="L162" s="232"/>
      <c r="M162" s="250"/>
    </row>
    <row r="163" spans="4:13" ht="15.75" thickBot="1">
      <c r="D163" s="251" t="s">
        <v>531</v>
      </c>
      <c r="E163" s="252">
        <f>+E161-E162</f>
        <v>33597584779</v>
      </c>
      <c r="F163" s="253"/>
      <c r="G163" s="254">
        <f>+G161-G162</f>
        <v>1964625071</v>
      </c>
      <c r="H163" s="253"/>
      <c r="I163" s="254">
        <f>+I161-I162</f>
        <v>4340770572</v>
      </c>
      <c r="J163" s="253"/>
      <c r="K163" s="253"/>
      <c r="L163" s="253"/>
      <c r="M163" s="255"/>
    </row>
    <row r="164" spans="4:13" ht="15">
      <c r="D164" s="256"/>
      <c r="E164" s="187"/>
      <c r="F164" s="257"/>
      <c r="G164" s="187"/>
      <c r="H164" s="257"/>
      <c r="I164" s="257"/>
      <c r="J164" s="257"/>
      <c r="K164" s="257"/>
      <c r="L164" s="257"/>
      <c r="M164" s="257"/>
    </row>
  </sheetData>
  <phoneticPr fontId="22" type="noConversion"/>
  <printOptions horizontalCentered="1"/>
  <pageMargins left="0.59055118110236227" right="0.59055118110236227" top="0.78740157480314965" bottom="0.70866141732283472" header="0" footer="0.39370078740157483"/>
  <pageSetup paperSize="9" scale="64" orientation="landscape" horizontalDpi="4294967293" verticalDpi="300" r:id="rId1"/>
  <headerFooter alignWithMargins="0">
    <oddFooter>&amp;R&amp;A Pag. Nº &amp;P de &amp;N</oddFooter>
  </headerFooter>
  <rowBreaks count="4" manualBreakCount="4">
    <brk id="52" max="16383" man="1"/>
    <brk id="83" max="21" man="1"/>
    <brk id="115" max="16383" man="1"/>
    <brk id="147"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1:K53"/>
  <sheetViews>
    <sheetView topLeftCell="A34" zoomScale="75" zoomScaleNormal="75" workbookViewId="0">
      <selection activeCell="B31" sqref="B31"/>
    </sheetView>
  </sheetViews>
  <sheetFormatPr baseColWidth="10" defaultRowHeight="15"/>
  <cols>
    <col min="1" max="1" width="4.5703125" style="412" customWidth="1"/>
    <col min="2" max="2" width="5.140625" style="412" customWidth="1"/>
    <col min="3" max="3" width="19.7109375" style="412" bestFit="1" customWidth="1"/>
    <col min="4" max="4" width="7.85546875" style="412" bestFit="1" customWidth="1"/>
    <col min="5" max="5" width="15.7109375" style="412" customWidth="1"/>
    <col min="6" max="6" width="28.5703125" style="412" bestFit="1" customWidth="1"/>
    <col min="7" max="7" width="12.28515625" style="412" bestFit="1" customWidth="1"/>
    <col min="8" max="8" width="7.42578125" style="412" bestFit="1" customWidth="1"/>
    <col min="9" max="9" width="17.85546875" style="412" bestFit="1" customWidth="1"/>
    <col min="10" max="10" width="18.7109375" style="412" customWidth="1"/>
    <col min="11" max="11" width="16.85546875" style="412" bestFit="1" customWidth="1"/>
    <col min="12" max="16384" width="11.42578125" style="412"/>
  </cols>
  <sheetData>
    <row r="11" spans="2:8" s="515" customFormat="1">
      <c r="B11" s="514" t="s">
        <v>990</v>
      </c>
      <c r="C11" s="514"/>
    </row>
    <row r="13" spans="2:8">
      <c r="B13" s="531" t="s">
        <v>1162</v>
      </c>
      <c r="D13" s="409"/>
      <c r="E13" s="409"/>
      <c r="F13" s="409"/>
      <c r="G13" s="409"/>
      <c r="H13" s="409"/>
    </row>
    <row r="14" spans="2:8">
      <c r="B14" s="409" t="s">
        <v>1163</v>
      </c>
      <c r="D14" s="409"/>
      <c r="E14" s="409"/>
      <c r="F14" s="409"/>
      <c r="G14" s="409"/>
      <c r="H14" s="409"/>
    </row>
    <row r="15" spans="2:8">
      <c r="B15" s="531" t="s">
        <v>1164</v>
      </c>
      <c r="C15" s="409"/>
      <c r="D15" s="409"/>
      <c r="E15" s="409"/>
      <c r="F15" s="409"/>
      <c r="G15" s="409"/>
      <c r="H15" s="409"/>
    </row>
    <row r="16" spans="2:8">
      <c r="B16" s="409" t="s">
        <v>1165</v>
      </c>
      <c r="C16" s="409"/>
      <c r="D16" s="409"/>
      <c r="E16" s="409"/>
      <c r="F16" s="409"/>
      <c r="G16" s="409"/>
      <c r="H16" s="409"/>
    </row>
    <row r="17" spans="2:11">
      <c r="B17" s="409"/>
      <c r="C17" s="409"/>
      <c r="D17" s="409"/>
      <c r="E17" s="409"/>
      <c r="F17" s="409"/>
      <c r="G17" s="409"/>
      <c r="H17" s="409"/>
    </row>
    <row r="18" spans="2:11">
      <c r="B18" s="409" t="s">
        <v>1160</v>
      </c>
    </row>
    <row r="19" spans="2:11">
      <c r="B19" s="409" t="s">
        <v>1181</v>
      </c>
      <c r="C19" s="409"/>
      <c r="D19" s="409"/>
      <c r="E19" s="409"/>
      <c r="F19" s="409"/>
      <c r="G19" s="409"/>
      <c r="H19" s="409"/>
      <c r="I19" s="409"/>
      <c r="J19" s="409"/>
      <c r="K19" s="409"/>
    </row>
    <row r="20" spans="2:11">
      <c r="B20" s="409" t="s">
        <v>1161</v>
      </c>
      <c r="C20" s="409"/>
      <c r="D20" s="409"/>
      <c r="E20" s="409"/>
      <c r="F20" s="409"/>
      <c r="G20" s="409"/>
      <c r="H20" s="409"/>
      <c r="I20" s="409"/>
      <c r="J20" s="409"/>
      <c r="K20" s="409"/>
    </row>
    <row r="21" spans="2:11">
      <c r="B21" s="409" t="s">
        <v>991</v>
      </c>
      <c r="C21" s="409"/>
      <c r="D21" s="409"/>
      <c r="E21" s="409"/>
      <c r="F21" s="409"/>
      <c r="G21" s="409"/>
      <c r="H21" s="409"/>
      <c r="I21" s="409"/>
      <c r="J21" s="409"/>
    </row>
    <row r="28" spans="2:11">
      <c r="B28" s="1116" t="s">
        <v>992</v>
      </c>
      <c r="C28" s="1116"/>
      <c r="D28" s="1116"/>
      <c r="E28" s="1116"/>
      <c r="F28" s="1116"/>
      <c r="G28" s="1116"/>
      <c r="H28" s="1116"/>
      <c r="I28" s="1116"/>
      <c r="J28" s="1116"/>
      <c r="K28" s="1116"/>
    </row>
    <row r="30" spans="2:11" ht="15.75" thickBot="1"/>
    <row r="31" spans="2:11" ht="76.5" customHeight="1" thickBot="1">
      <c r="B31" s="532" t="s">
        <v>881</v>
      </c>
      <c r="C31" s="533" t="s">
        <v>882</v>
      </c>
      <c r="D31" s="533" t="s">
        <v>883</v>
      </c>
      <c r="E31" s="534" t="s">
        <v>1313</v>
      </c>
      <c r="F31" s="534" t="s">
        <v>884</v>
      </c>
      <c r="G31" s="533" t="s">
        <v>885</v>
      </c>
      <c r="H31" s="533" t="s">
        <v>886</v>
      </c>
      <c r="I31" s="533" t="s">
        <v>864</v>
      </c>
      <c r="J31" s="534" t="s">
        <v>887</v>
      </c>
    </row>
    <row r="32" spans="2:11" ht="21" customHeight="1" thickBot="1">
      <c r="B32" s="535">
        <v>1</v>
      </c>
      <c r="C32" s="536" t="s">
        <v>867</v>
      </c>
      <c r="D32" s="537" t="s">
        <v>865</v>
      </c>
      <c r="E32" s="537" t="s">
        <v>1314</v>
      </c>
      <c r="F32" s="537">
        <v>252</v>
      </c>
      <c r="G32" s="537" t="s">
        <v>866</v>
      </c>
      <c r="H32" s="537">
        <v>252</v>
      </c>
      <c r="I32" s="538">
        <v>2520000000</v>
      </c>
      <c r="J32" s="537">
        <v>85</v>
      </c>
    </row>
    <row r="33" spans="2:11" ht="21" customHeight="1" thickBot="1">
      <c r="B33" s="535">
        <v>2</v>
      </c>
      <c r="C33" s="536" t="s">
        <v>978</v>
      </c>
      <c r="D33" s="537" t="s">
        <v>865</v>
      </c>
      <c r="E33" s="537" t="s">
        <v>1315</v>
      </c>
      <c r="F33" s="537">
        <v>30</v>
      </c>
      <c r="G33" s="537" t="s">
        <v>866</v>
      </c>
      <c r="H33" s="537">
        <v>30</v>
      </c>
      <c r="I33" s="538">
        <v>300000000</v>
      </c>
      <c r="J33" s="537">
        <v>10</v>
      </c>
    </row>
    <row r="34" spans="2:11" ht="21.75" customHeight="1" thickBot="1">
      <c r="B34" s="535">
        <v>3</v>
      </c>
      <c r="C34" s="539" t="s">
        <v>888</v>
      </c>
      <c r="D34" s="540" t="s">
        <v>865</v>
      </c>
      <c r="E34" s="541" t="s">
        <v>1316</v>
      </c>
      <c r="F34" s="541">
        <v>15</v>
      </c>
      <c r="G34" s="540" t="s">
        <v>866</v>
      </c>
      <c r="H34" s="541">
        <v>15</v>
      </c>
      <c r="I34" s="542">
        <v>150000000</v>
      </c>
      <c r="J34" s="540">
        <v>5</v>
      </c>
    </row>
    <row r="35" spans="2:11" ht="15.75" thickBot="1">
      <c r="C35" s="543" t="s">
        <v>763</v>
      </c>
      <c r="D35" s="544"/>
      <c r="E35" s="545"/>
      <c r="F35" s="546">
        <f>SUM(F32:F34)</f>
        <v>297</v>
      </c>
      <c r="G35" s="544"/>
      <c r="H35" s="547">
        <f>SUM(H32:H34)</f>
        <v>297</v>
      </c>
      <c r="I35" s="548">
        <f>SUM(I32:I34)</f>
        <v>2970000000</v>
      </c>
      <c r="J35" s="548">
        <f>SUM(J32:J34)</f>
        <v>100</v>
      </c>
    </row>
    <row r="39" spans="2:11">
      <c r="B39" s="1116" t="s">
        <v>993</v>
      </c>
      <c r="C39" s="1116"/>
      <c r="D39" s="1116"/>
      <c r="E39" s="1116"/>
      <c r="F39" s="1116"/>
      <c r="G39" s="1116"/>
      <c r="H39" s="1116"/>
      <c r="I39" s="1116"/>
      <c r="J39" s="1116"/>
      <c r="K39" s="1116"/>
    </row>
    <row r="41" spans="2:11" ht="13.5" customHeight="1" thickBot="1"/>
    <row r="42" spans="2:11" ht="60.75" thickBot="1">
      <c r="B42" s="549" t="s">
        <v>881</v>
      </c>
      <c r="C42" s="533" t="s">
        <v>882</v>
      </c>
      <c r="D42" s="533" t="s">
        <v>883</v>
      </c>
      <c r="E42" s="534" t="s">
        <v>1313</v>
      </c>
      <c r="F42" s="534" t="s">
        <v>884</v>
      </c>
      <c r="G42" s="533" t="s">
        <v>885</v>
      </c>
      <c r="H42" s="533" t="s">
        <v>886</v>
      </c>
      <c r="I42" s="533" t="s">
        <v>864</v>
      </c>
      <c r="J42" s="534" t="s">
        <v>899</v>
      </c>
    </row>
    <row r="43" spans="2:11" ht="21" customHeight="1" thickBot="1">
      <c r="B43" s="535">
        <v>1</v>
      </c>
      <c r="C43" s="550" t="s">
        <v>867</v>
      </c>
      <c r="D43" s="537" t="s">
        <v>865</v>
      </c>
      <c r="E43" s="537" t="s">
        <v>1314</v>
      </c>
      <c r="F43" s="537">
        <v>252</v>
      </c>
      <c r="G43" s="537" t="s">
        <v>866</v>
      </c>
      <c r="H43" s="537">
        <v>252</v>
      </c>
      <c r="I43" s="538">
        <v>2520000000</v>
      </c>
      <c r="J43" s="537">
        <v>85</v>
      </c>
    </row>
    <row r="44" spans="2:11" ht="21" customHeight="1" thickBot="1">
      <c r="B44" s="535">
        <v>2</v>
      </c>
      <c r="C44" s="536" t="s">
        <v>978</v>
      </c>
      <c r="D44" s="537" t="s">
        <v>865</v>
      </c>
      <c r="E44" s="537" t="s">
        <v>1315</v>
      </c>
      <c r="F44" s="537">
        <v>30</v>
      </c>
      <c r="G44" s="537" t="s">
        <v>866</v>
      </c>
      <c r="H44" s="537">
        <v>30</v>
      </c>
      <c r="I44" s="538">
        <v>300000000</v>
      </c>
      <c r="J44" s="537">
        <v>10</v>
      </c>
    </row>
    <row r="45" spans="2:11" ht="21" customHeight="1" thickBot="1">
      <c r="B45" s="535">
        <v>3</v>
      </c>
      <c r="C45" s="550" t="s">
        <v>888</v>
      </c>
      <c r="D45" s="537" t="s">
        <v>865</v>
      </c>
      <c r="E45" s="541" t="s">
        <v>1316</v>
      </c>
      <c r="F45" s="537">
        <v>15</v>
      </c>
      <c r="G45" s="537" t="s">
        <v>866</v>
      </c>
      <c r="H45" s="537">
        <v>15</v>
      </c>
      <c r="I45" s="542">
        <v>150000000</v>
      </c>
      <c r="J45" s="537">
        <v>5</v>
      </c>
    </row>
    <row r="46" spans="2:11" ht="13.5" customHeight="1" thickBot="1">
      <c r="C46" s="543" t="s">
        <v>763</v>
      </c>
      <c r="D46" s="544"/>
      <c r="E46" s="545"/>
      <c r="F46" s="546">
        <f>SUM(F43:F45)</f>
        <v>297</v>
      </c>
      <c r="G46" s="544"/>
      <c r="H46" s="547">
        <f>SUM(H43:H45)</f>
        <v>297</v>
      </c>
      <c r="I46" s="548">
        <f>SUM(I43:I45)</f>
        <v>2970000000</v>
      </c>
      <c r="J46" s="548">
        <f>SUM(J43:J45)</f>
        <v>100</v>
      </c>
    </row>
    <row r="47" spans="2:11" ht="13.5" customHeight="1"/>
    <row r="48" spans="2:11" ht="13.5" customHeight="1"/>
    <row r="49" spans="2:11" ht="13.5" customHeight="1"/>
    <row r="50" spans="2:11" ht="13.5" customHeight="1"/>
    <row r="51" spans="2:11" ht="13.5" customHeight="1">
      <c r="B51" s="1116" t="s">
        <v>1043</v>
      </c>
      <c r="C51" s="1116"/>
      <c r="D51" s="1116"/>
      <c r="E51" s="1116"/>
      <c r="F51" s="1116"/>
      <c r="G51" s="1116"/>
      <c r="H51" s="1116"/>
      <c r="I51" s="1116"/>
      <c r="J51" s="1116"/>
      <c r="K51" s="1116"/>
    </row>
    <row r="52" spans="2:11">
      <c r="B52" s="1116" t="s">
        <v>1117</v>
      </c>
      <c r="C52" s="1116"/>
      <c r="D52" s="1116"/>
      <c r="E52" s="1116"/>
      <c r="F52" s="1116"/>
      <c r="G52" s="1116"/>
      <c r="H52" s="1116"/>
      <c r="I52" s="1116"/>
      <c r="J52" s="1116"/>
      <c r="K52" s="1116"/>
    </row>
    <row r="53" spans="2:11">
      <c r="B53" s="1116" t="s">
        <v>1014</v>
      </c>
      <c r="C53" s="1116"/>
      <c r="D53" s="1116"/>
      <c r="E53" s="1116"/>
      <c r="F53" s="1116"/>
      <c r="G53" s="1116"/>
      <c r="H53" s="1116"/>
      <c r="I53" s="1116"/>
      <c r="J53" s="1116"/>
      <c r="K53" s="1116"/>
    </row>
  </sheetData>
  <mergeCells count="5">
    <mergeCell ref="B28:K28"/>
    <mergeCell ref="B39:K39"/>
    <mergeCell ref="B51:K51"/>
    <mergeCell ref="B52:K52"/>
    <mergeCell ref="B53:K5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1"/>
  <sheetViews>
    <sheetView zoomScale="80" zoomScaleNormal="80" workbookViewId="0">
      <selection activeCell="J4" sqref="J4"/>
    </sheetView>
  </sheetViews>
  <sheetFormatPr baseColWidth="10" defaultRowHeight="15"/>
  <cols>
    <col min="1" max="16384" width="11.42578125" style="412"/>
  </cols>
  <sheetData>
    <row r="9" spans="2:5">
      <c r="B9" s="1123" t="s">
        <v>994</v>
      </c>
      <c r="C9" s="1123"/>
      <c r="D9" s="1123"/>
      <c r="E9" s="1123"/>
    </row>
    <row r="10" spans="2:5">
      <c r="B10" s="551"/>
    </row>
    <row r="11" spans="2:5">
      <c r="B11" s="440" t="s">
        <v>995</v>
      </c>
    </row>
    <row r="12" spans="2:5">
      <c r="B12" s="552" t="s">
        <v>1118</v>
      </c>
    </row>
    <row r="13" spans="2:5">
      <c r="B13" s="553"/>
    </row>
    <row r="14" spans="2:5">
      <c r="B14" s="440" t="s">
        <v>996</v>
      </c>
    </row>
    <row r="15" spans="2:5">
      <c r="B15" s="412" t="s">
        <v>1338</v>
      </c>
    </row>
    <row r="29" spans="2:6">
      <c r="B29" s="1116" t="s">
        <v>1043</v>
      </c>
      <c r="C29" s="1116"/>
      <c r="D29" s="1116"/>
      <c r="E29" s="1116"/>
      <c r="F29" s="1116"/>
    </row>
    <row r="30" spans="2:6">
      <c r="B30" s="1116" t="s">
        <v>1117</v>
      </c>
      <c r="C30" s="1116"/>
      <c r="D30" s="1116"/>
      <c r="E30" s="1116"/>
      <c r="F30" s="1116"/>
    </row>
    <row r="31" spans="2:6">
      <c r="B31" s="1116" t="s">
        <v>1014</v>
      </c>
      <c r="C31" s="1116"/>
      <c r="D31" s="1116"/>
      <c r="E31" s="1116"/>
      <c r="F31" s="1116"/>
    </row>
  </sheetData>
  <mergeCells count="4">
    <mergeCell ref="B9:E9"/>
    <mergeCell ref="B29:F29"/>
    <mergeCell ref="B30:F30"/>
    <mergeCell ref="B31:F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22"/>
  <sheetViews>
    <sheetView workbookViewId="0">
      <selection sqref="A1:XFD1048576"/>
    </sheetView>
  </sheetViews>
  <sheetFormatPr baseColWidth="10" defaultRowHeight="15"/>
  <cols>
    <col min="1" max="16384" width="11.42578125" style="412"/>
  </cols>
  <sheetData>
    <row r="7" spans="2:9">
      <c r="B7" s="554" t="s">
        <v>997</v>
      </c>
      <c r="C7" s="554"/>
    </row>
    <row r="8" spans="2:9">
      <c r="B8" s="551"/>
    </row>
    <row r="9" spans="2:9">
      <c r="B9" s="555" t="s">
        <v>1254</v>
      </c>
      <c r="C9" s="409"/>
      <c r="I9" s="524"/>
    </row>
    <row r="20" spans="2:6">
      <c r="B20" s="1116" t="s">
        <v>1043</v>
      </c>
      <c r="C20" s="1116"/>
      <c r="D20" s="1116"/>
      <c r="E20" s="1116"/>
      <c r="F20" s="1116"/>
    </row>
    <row r="21" spans="2:6">
      <c r="B21" s="1116" t="s">
        <v>1117</v>
      </c>
      <c r="C21" s="1116"/>
      <c r="D21" s="1116"/>
      <c r="E21" s="1116"/>
      <c r="F21" s="1116"/>
    </row>
    <row r="22" spans="2:6">
      <c r="B22" s="1116" t="s">
        <v>1014</v>
      </c>
      <c r="C22" s="1116"/>
      <c r="D22" s="1116"/>
      <c r="E22" s="1116"/>
      <c r="F22" s="1116"/>
    </row>
  </sheetData>
  <mergeCells count="3">
    <mergeCell ref="B20:F20"/>
    <mergeCell ref="B21:F21"/>
    <mergeCell ref="B22:F2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6:J228"/>
  <sheetViews>
    <sheetView showGridLines="0" topLeftCell="A22" zoomScale="85" zoomScaleNormal="85" workbookViewId="0">
      <selection activeCell="B10" sqref="B10:H10"/>
    </sheetView>
  </sheetViews>
  <sheetFormatPr baseColWidth="10" defaultColWidth="11.42578125" defaultRowHeight="15"/>
  <cols>
    <col min="1" max="1" width="2.28515625" style="556" customWidth="1"/>
    <col min="2" max="2" width="58.85546875" style="556" customWidth="1"/>
    <col min="3" max="3" width="23" style="556" bestFit="1" customWidth="1"/>
    <col min="4" max="4" width="23.42578125" style="556" bestFit="1" customWidth="1"/>
    <col min="5" max="5" width="1.5703125" style="556" customWidth="1"/>
    <col min="6" max="6" width="60.5703125" style="556" customWidth="1"/>
    <col min="7" max="7" width="23" style="556" bestFit="1" customWidth="1"/>
    <col min="8" max="8" width="23.42578125" style="556" bestFit="1" customWidth="1"/>
    <col min="9" max="10" width="19.28515625" style="556" bestFit="1" customWidth="1"/>
    <col min="11" max="16384" width="11.42578125" style="556"/>
  </cols>
  <sheetData>
    <row r="6" spans="2:8">
      <c r="B6" s="1126"/>
      <c r="C6" s="1126"/>
      <c r="D6" s="1126"/>
      <c r="E6" s="1126"/>
      <c r="F6" s="1126"/>
      <c r="G6" s="1126"/>
      <c r="H6" s="1126"/>
    </row>
    <row r="7" spans="2:8">
      <c r="B7" s="557"/>
      <c r="C7" s="557"/>
      <c r="D7" s="557"/>
      <c r="E7" s="557"/>
      <c r="F7" s="557"/>
      <c r="G7" s="557"/>
      <c r="H7" s="557"/>
    </row>
    <row r="8" spans="2:8">
      <c r="B8" s="557"/>
      <c r="C8" s="557"/>
      <c r="D8" s="557"/>
      <c r="E8" s="557"/>
      <c r="F8" s="557"/>
      <c r="G8" s="557"/>
      <c r="H8" s="557"/>
    </row>
    <row r="9" spans="2:8">
      <c r="B9" s="1127" t="s">
        <v>1295</v>
      </c>
      <c r="C9" s="1127"/>
      <c r="D9" s="1127"/>
      <c r="E9" s="1127"/>
      <c r="F9" s="1127"/>
      <c r="G9" s="1127"/>
      <c r="H9" s="1127"/>
    </row>
    <row r="10" spans="2:8" ht="15.75" thickBot="1">
      <c r="B10" s="1125" t="s">
        <v>1016</v>
      </c>
      <c r="C10" s="1125"/>
      <c r="D10" s="1125"/>
      <c r="E10" s="1125"/>
      <c r="F10" s="1125"/>
      <c r="G10" s="1125"/>
      <c r="H10" s="1125"/>
    </row>
    <row r="11" spans="2:8">
      <c r="B11" s="558"/>
      <c r="C11" s="559">
        <v>44926</v>
      </c>
      <c r="D11" s="559">
        <v>44561</v>
      </c>
      <c r="E11" s="560"/>
      <c r="F11" s="560"/>
      <c r="G11" s="559">
        <v>44926</v>
      </c>
      <c r="H11" s="561">
        <v>44561</v>
      </c>
    </row>
    <row r="12" spans="2:8" ht="15" customHeight="1">
      <c r="B12" s="1128" t="s">
        <v>4</v>
      </c>
      <c r="C12" s="562" t="s">
        <v>340</v>
      </c>
      <c r="D12" s="562" t="s">
        <v>669</v>
      </c>
      <c r="E12" s="563"/>
      <c r="F12" s="1130" t="s">
        <v>241</v>
      </c>
      <c r="G12" s="564" t="s">
        <v>340</v>
      </c>
      <c r="H12" s="565" t="s">
        <v>669</v>
      </c>
    </row>
    <row r="13" spans="2:8" ht="15.75" thickBot="1">
      <c r="B13" s="1129"/>
      <c r="C13" s="566" t="s">
        <v>189</v>
      </c>
      <c r="D13" s="566" t="s">
        <v>347</v>
      </c>
      <c r="E13" s="567"/>
      <c r="F13" s="1131"/>
      <c r="G13" s="566" t="s">
        <v>189</v>
      </c>
      <c r="H13" s="568" t="s">
        <v>347</v>
      </c>
    </row>
    <row r="14" spans="2:8">
      <c r="B14" s="569"/>
      <c r="C14" s="570"/>
      <c r="D14" s="570"/>
      <c r="E14" s="571"/>
      <c r="F14" s="572"/>
      <c r="G14" s="570"/>
      <c r="H14" s="573"/>
    </row>
    <row r="15" spans="2:8">
      <c r="B15" s="574" t="s">
        <v>5</v>
      </c>
      <c r="C15" s="575"/>
      <c r="D15" s="575"/>
      <c r="E15" s="576"/>
      <c r="F15" s="577" t="s">
        <v>94</v>
      </c>
      <c r="G15" s="575"/>
      <c r="H15" s="578"/>
    </row>
    <row r="16" spans="2:8">
      <c r="B16" s="579"/>
      <c r="C16" s="580"/>
      <c r="D16" s="580"/>
      <c r="E16" s="581"/>
      <c r="F16" s="582"/>
      <c r="G16" s="575"/>
      <c r="H16" s="578"/>
    </row>
    <row r="17" spans="2:10">
      <c r="B17" s="583" t="s">
        <v>692</v>
      </c>
      <c r="C17" s="584"/>
      <c r="D17" s="584"/>
      <c r="E17" s="581"/>
      <c r="F17" s="585" t="s">
        <v>686</v>
      </c>
      <c r="G17" s="584"/>
      <c r="H17" s="586"/>
    </row>
    <row r="18" spans="2:10">
      <c r="B18" s="587" t="s">
        <v>674</v>
      </c>
      <c r="C18" s="588">
        <v>0</v>
      </c>
      <c r="D18" s="588">
        <v>0</v>
      </c>
      <c r="E18" s="581"/>
      <c r="F18" s="589" t="s">
        <v>687</v>
      </c>
      <c r="G18" s="588">
        <v>53448374262</v>
      </c>
      <c r="H18" s="590">
        <v>9261222188.316</v>
      </c>
      <c r="J18" s="421"/>
    </row>
    <row r="19" spans="2:10">
      <c r="B19" s="587" t="s">
        <v>675</v>
      </c>
      <c r="C19" s="588">
        <v>0</v>
      </c>
      <c r="D19" s="588">
        <v>0</v>
      </c>
      <c r="E19" s="581"/>
      <c r="F19" s="589" t="s">
        <v>688</v>
      </c>
      <c r="G19" s="588">
        <v>16104439</v>
      </c>
      <c r="H19" s="590">
        <v>10724318</v>
      </c>
    </row>
    <row r="20" spans="2:10" ht="30">
      <c r="B20" s="587" t="s">
        <v>676</v>
      </c>
      <c r="C20" s="591">
        <v>58663555072</v>
      </c>
      <c r="D20" s="591">
        <v>14856168319</v>
      </c>
      <c r="E20" s="581"/>
      <c r="F20" s="592" t="s">
        <v>1019</v>
      </c>
      <c r="G20" s="588">
        <v>3646661506.6188002</v>
      </c>
      <c r="H20" s="590">
        <v>5188263332.9719992</v>
      </c>
      <c r="I20" s="593"/>
      <c r="J20" s="593"/>
    </row>
    <row r="21" spans="2:10">
      <c r="B21" s="587"/>
      <c r="C21" s="594">
        <f>SUM(C18:C20)</f>
        <v>58663555072</v>
      </c>
      <c r="D21" s="594">
        <f>SUM(D18:D20)</f>
        <v>14856168319</v>
      </c>
      <c r="E21" s="581"/>
      <c r="F21" s="589" t="s">
        <v>1339</v>
      </c>
      <c r="G21" s="588">
        <v>0</v>
      </c>
      <c r="H21" s="590">
        <v>0</v>
      </c>
    </row>
    <row r="22" spans="2:10">
      <c r="B22" s="587"/>
      <c r="C22" s="595"/>
      <c r="D22" s="596"/>
      <c r="E22" s="581"/>
      <c r="F22" s="589" t="s">
        <v>1340</v>
      </c>
      <c r="G22" s="588">
        <v>0</v>
      </c>
      <c r="H22" s="590">
        <v>0</v>
      </c>
    </row>
    <row r="23" spans="2:10">
      <c r="B23" s="583" t="s">
        <v>693</v>
      </c>
      <c r="C23" s="595"/>
      <c r="D23" s="596"/>
      <c r="E23" s="581"/>
      <c r="F23" s="582"/>
      <c r="G23" s="594">
        <f>SUM(G18:G22)</f>
        <v>57111140207.618797</v>
      </c>
      <c r="H23" s="597">
        <f>SUM(H18:H22)</f>
        <v>14460209839.287998</v>
      </c>
    </row>
    <row r="24" spans="2:10">
      <c r="B24" s="587" t="s">
        <v>670</v>
      </c>
      <c r="C24" s="595"/>
      <c r="D24" s="596"/>
      <c r="E24" s="581"/>
      <c r="F24" s="589"/>
      <c r="G24" s="588"/>
      <c r="H24" s="590"/>
    </row>
    <row r="25" spans="2:10">
      <c r="B25" s="587" t="s">
        <v>671</v>
      </c>
      <c r="C25" s="595">
        <v>0</v>
      </c>
      <c r="D25" s="596">
        <v>0</v>
      </c>
      <c r="E25" s="581"/>
      <c r="F25" s="589"/>
      <c r="G25" s="588"/>
      <c r="H25" s="590"/>
    </row>
    <row r="26" spans="2:10">
      <c r="B26" s="587" t="s">
        <v>672</v>
      </c>
      <c r="C26" s="598"/>
      <c r="D26" s="599"/>
      <c r="E26" s="600"/>
      <c r="F26" s="585" t="s">
        <v>690</v>
      </c>
      <c r="G26" s="584"/>
      <c r="H26" s="586"/>
    </row>
    <row r="27" spans="2:10">
      <c r="B27" s="587"/>
      <c r="C27" s="594">
        <f>+C25</f>
        <v>0</v>
      </c>
      <c r="D27" s="594">
        <f>+D25</f>
        <v>0</v>
      </c>
      <c r="E27" s="600"/>
      <c r="F27" s="589" t="s">
        <v>492</v>
      </c>
      <c r="G27" s="588">
        <v>0</v>
      </c>
      <c r="H27" s="590">
        <v>0</v>
      </c>
    </row>
    <row r="28" spans="2:10">
      <c r="B28" s="601" t="s">
        <v>1250</v>
      </c>
      <c r="C28" s="595"/>
      <c r="D28" s="602"/>
      <c r="E28" s="600"/>
      <c r="F28" s="589" t="s">
        <v>1341</v>
      </c>
      <c r="G28" s="588">
        <v>0</v>
      </c>
      <c r="H28" s="590">
        <v>0</v>
      </c>
    </row>
    <row r="29" spans="2:10">
      <c r="B29" s="603" t="s">
        <v>673</v>
      </c>
      <c r="C29" s="595"/>
      <c r="D29" s="596"/>
      <c r="E29" s="600"/>
      <c r="F29" s="589" t="s">
        <v>480</v>
      </c>
      <c r="G29" s="588">
        <v>0</v>
      </c>
      <c r="H29" s="590">
        <v>0</v>
      </c>
    </row>
    <row r="30" spans="2:10">
      <c r="B30" s="603" t="s">
        <v>677</v>
      </c>
      <c r="C30" s="595"/>
      <c r="D30" s="596"/>
      <c r="E30" s="600"/>
      <c r="F30" s="589"/>
      <c r="G30" s="604"/>
      <c r="H30" s="605"/>
    </row>
    <row r="31" spans="2:10">
      <c r="B31" s="587" t="s">
        <v>1251</v>
      </c>
      <c r="C31" s="595">
        <v>360186309</v>
      </c>
      <c r="D31" s="596">
        <v>214363356</v>
      </c>
      <c r="E31" s="600"/>
      <c r="F31" s="606" t="s">
        <v>960</v>
      </c>
      <c r="G31" s="607"/>
      <c r="H31" s="608"/>
    </row>
    <row r="32" spans="2:10">
      <c r="B32" s="587" t="s">
        <v>679</v>
      </c>
      <c r="C32" s="595">
        <v>0</v>
      </c>
      <c r="D32" s="596">
        <v>0</v>
      </c>
      <c r="E32" s="600"/>
      <c r="F32" s="589" t="s">
        <v>961</v>
      </c>
      <c r="G32" s="596">
        <v>184571841</v>
      </c>
      <c r="H32" s="609">
        <v>24417140</v>
      </c>
    </row>
    <row r="33" spans="2:10">
      <c r="B33" s="587" t="s">
        <v>1252</v>
      </c>
      <c r="C33" s="595">
        <v>195229</v>
      </c>
      <c r="D33" s="596">
        <v>100659565</v>
      </c>
      <c r="E33" s="600"/>
      <c r="F33" s="589" t="s">
        <v>500</v>
      </c>
      <c r="G33" s="596">
        <v>29513403</v>
      </c>
      <c r="H33" s="609">
        <v>29554806</v>
      </c>
    </row>
    <row r="34" spans="2:10">
      <c r="B34" s="587" t="s">
        <v>681</v>
      </c>
      <c r="C34" s="595"/>
      <c r="D34" s="596">
        <v>0</v>
      </c>
      <c r="E34" s="600"/>
      <c r="F34" s="589" t="s">
        <v>1012</v>
      </c>
      <c r="G34" s="596">
        <v>0</v>
      </c>
      <c r="H34" s="609">
        <v>0</v>
      </c>
    </row>
    <row r="35" spans="2:10">
      <c r="B35" s="587" t="s">
        <v>682</v>
      </c>
      <c r="C35" s="595">
        <v>0</v>
      </c>
      <c r="D35" s="596">
        <v>0</v>
      </c>
      <c r="E35" s="600"/>
      <c r="F35" s="589" t="s">
        <v>955</v>
      </c>
      <c r="G35" s="596">
        <v>0</v>
      </c>
      <c r="H35" s="609">
        <v>0</v>
      </c>
    </row>
    <row r="36" spans="2:10">
      <c r="B36" s="587" t="s">
        <v>683</v>
      </c>
      <c r="C36" s="595">
        <v>0</v>
      </c>
      <c r="D36" s="596">
        <v>0</v>
      </c>
      <c r="E36" s="600"/>
      <c r="F36" s="595" t="s">
        <v>962</v>
      </c>
      <c r="G36" s="596">
        <v>5548351</v>
      </c>
      <c r="H36" s="609">
        <v>4620753</v>
      </c>
    </row>
    <row r="37" spans="2:10">
      <c r="B37" s="587" t="s">
        <v>684</v>
      </c>
      <c r="C37" s="595"/>
      <c r="D37" s="596"/>
      <c r="E37" s="610"/>
      <c r="F37" s="595"/>
      <c r="G37" s="611">
        <v>0</v>
      </c>
      <c r="H37" s="612">
        <v>0</v>
      </c>
    </row>
    <row r="38" spans="2:10">
      <c r="B38" s="587"/>
      <c r="C38" s="595"/>
      <c r="D38" s="611"/>
      <c r="E38" s="610"/>
      <c r="F38" s="595"/>
      <c r="G38" s="594">
        <f>SUM(G32:G37)</f>
        <v>219633595</v>
      </c>
      <c r="H38" s="613">
        <f>SUM(H32:H37)</f>
        <v>58592699</v>
      </c>
    </row>
    <row r="39" spans="2:10">
      <c r="B39" s="579"/>
      <c r="C39" s="594">
        <f>SUM(C31:C38)</f>
        <v>360381538</v>
      </c>
      <c r="D39" s="614">
        <f>SUM(D31:D38)</f>
        <v>315022921</v>
      </c>
      <c r="E39" s="610"/>
      <c r="F39" s="615" t="s">
        <v>691</v>
      </c>
      <c r="G39" s="595"/>
      <c r="H39" s="616"/>
    </row>
    <row r="40" spans="2:10">
      <c r="B40" s="587"/>
      <c r="C40" s="595"/>
      <c r="D40" s="617"/>
      <c r="E40" s="618"/>
      <c r="F40" s="595" t="s">
        <v>694</v>
      </c>
      <c r="G40" s="595">
        <v>0</v>
      </c>
      <c r="H40" s="609">
        <v>0</v>
      </c>
    </row>
    <row r="41" spans="2:10">
      <c r="B41" s="587"/>
      <c r="C41" s="595"/>
      <c r="D41" s="596"/>
      <c r="E41" s="618"/>
      <c r="F41" s="595" t="s">
        <v>963</v>
      </c>
      <c r="G41" s="595">
        <v>0</v>
      </c>
      <c r="H41" s="609">
        <v>0</v>
      </c>
    </row>
    <row r="42" spans="2:10">
      <c r="B42" s="587"/>
      <c r="C42" s="595"/>
      <c r="D42" s="596"/>
      <c r="E42" s="618"/>
      <c r="F42" s="595" t="s">
        <v>695</v>
      </c>
      <c r="G42" s="595">
        <v>182299520</v>
      </c>
      <c r="H42" s="609">
        <v>85138851</v>
      </c>
    </row>
    <row r="43" spans="2:10">
      <c r="B43" s="583" t="s">
        <v>1253</v>
      </c>
      <c r="C43" s="595"/>
      <c r="D43" s="619"/>
      <c r="E43" s="618"/>
      <c r="F43" s="595"/>
      <c r="G43" s="594">
        <f>+G42</f>
        <v>182299520</v>
      </c>
      <c r="H43" s="613">
        <f>+H42</f>
        <v>85138851</v>
      </c>
    </row>
    <row r="44" spans="2:10">
      <c r="B44" s="587" t="s">
        <v>685</v>
      </c>
      <c r="C44" s="595">
        <v>0</v>
      </c>
      <c r="D44" s="595">
        <v>0</v>
      </c>
      <c r="E44" s="618"/>
      <c r="F44" s="595"/>
      <c r="G44" s="620"/>
      <c r="H44" s="621"/>
    </row>
    <row r="45" spans="2:10">
      <c r="B45" s="587"/>
      <c r="C45" s="595"/>
      <c r="D45" s="622"/>
      <c r="E45" s="618"/>
      <c r="F45" s="623"/>
      <c r="G45" s="595">
        <v>0</v>
      </c>
      <c r="H45" s="609">
        <v>0</v>
      </c>
    </row>
    <row r="46" spans="2:10">
      <c r="B46" s="624" t="s">
        <v>629</v>
      </c>
      <c r="C46" s="594">
        <f>+C21+C27+C39</f>
        <v>59023936610</v>
      </c>
      <c r="D46" s="625">
        <f>+D21+D27+D39</f>
        <v>15171191240</v>
      </c>
      <c r="E46" s="618"/>
      <c r="F46" s="626" t="s">
        <v>630</v>
      </c>
      <c r="G46" s="594">
        <f>+G23+G38+G43</f>
        <v>57513073322.618797</v>
      </c>
      <c r="H46" s="613">
        <f>+H23+H38+H43</f>
        <v>14603941389.287998</v>
      </c>
      <c r="I46" s="421"/>
      <c r="J46" s="593"/>
    </row>
    <row r="47" spans="2:10">
      <c r="B47" s="579"/>
      <c r="C47" s="627"/>
      <c r="D47" s="628"/>
      <c r="E47" s="618"/>
      <c r="F47" s="594"/>
      <c r="G47" s="629"/>
      <c r="H47" s="630"/>
      <c r="J47" s="421"/>
    </row>
    <row r="48" spans="2:10">
      <c r="B48" s="631" t="s">
        <v>46</v>
      </c>
      <c r="C48" s="632"/>
      <c r="D48" s="632"/>
      <c r="E48" s="633"/>
      <c r="F48" s="634" t="s">
        <v>114</v>
      </c>
      <c r="G48" s="635"/>
      <c r="H48" s="636"/>
      <c r="J48" s="593"/>
    </row>
    <row r="49" spans="2:8">
      <c r="B49" s="579"/>
      <c r="C49" s="637"/>
      <c r="D49" s="637"/>
      <c r="E49" s="594"/>
      <c r="F49" s="638"/>
      <c r="G49" s="637"/>
      <c r="H49" s="639"/>
    </row>
    <row r="50" spans="2:8">
      <c r="B50" s="583" t="s">
        <v>321</v>
      </c>
      <c r="C50" s="595"/>
      <c r="D50" s="595"/>
      <c r="E50" s="626"/>
      <c r="F50" s="585" t="s">
        <v>705</v>
      </c>
      <c r="G50" s="595"/>
      <c r="H50" s="616"/>
    </row>
    <row r="51" spans="2:8">
      <c r="B51" s="587" t="s">
        <v>670</v>
      </c>
      <c r="C51" s="595"/>
      <c r="D51" s="595"/>
      <c r="E51" s="640"/>
      <c r="F51" s="595" t="s">
        <v>1342</v>
      </c>
      <c r="G51" s="595">
        <v>0</v>
      </c>
      <c r="H51" s="609">
        <v>0</v>
      </c>
    </row>
    <row r="52" spans="2:8">
      <c r="B52" s="587" t="s">
        <v>696</v>
      </c>
      <c r="C52" s="641">
        <v>3421425112</v>
      </c>
      <c r="D52" s="595">
        <v>2803601590</v>
      </c>
      <c r="E52" s="640"/>
      <c r="F52" s="595" t="s">
        <v>706</v>
      </c>
      <c r="G52" s="595">
        <v>0</v>
      </c>
      <c r="H52" s="609">
        <v>0</v>
      </c>
    </row>
    <row r="53" spans="2:8">
      <c r="B53" s="587" t="s">
        <v>697</v>
      </c>
      <c r="C53" s="641">
        <v>1002000000</v>
      </c>
      <c r="D53" s="595">
        <v>900000000</v>
      </c>
      <c r="E53" s="640"/>
      <c r="F53" s="596" t="s">
        <v>1343</v>
      </c>
      <c r="G53" s="595">
        <v>0</v>
      </c>
      <c r="H53" s="609">
        <v>0</v>
      </c>
    </row>
    <row r="54" spans="2:8">
      <c r="B54" s="587" t="s">
        <v>672</v>
      </c>
      <c r="C54" s="638"/>
      <c r="D54" s="638"/>
      <c r="E54" s="640"/>
      <c r="F54" s="596" t="s">
        <v>689</v>
      </c>
      <c r="G54" s="595">
        <v>0</v>
      </c>
      <c r="H54" s="609">
        <v>0</v>
      </c>
    </row>
    <row r="55" spans="2:8">
      <c r="B55" s="587"/>
      <c r="C55" s="594">
        <f>+C52+C53</f>
        <v>4423425112</v>
      </c>
      <c r="D55" s="594">
        <f>+D52+D53</f>
        <v>3703601590</v>
      </c>
      <c r="E55" s="640"/>
      <c r="F55" s="595" t="s">
        <v>707</v>
      </c>
      <c r="G55" s="595">
        <v>0</v>
      </c>
      <c r="H55" s="609">
        <v>0</v>
      </c>
    </row>
    <row r="56" spans="2:8">
      <c r="B56" s="642" t="s">
        <v>698</v>
      </c>
      <c r="C56" s="638"/>
      <c r="D56" s="638"/>
      <c r="E56" s="640"/>
      <c r="F56" s="589" t="s">
        <v>688</v>
      </c>
      <c r="G56" s="595">
        <v>0</v>
      </c>
      <c r="H56" s="609">
        <v>0</v>
      </c>
    </row>
    <row r="57" spans="2:8">
      <c r="B57" s="587" t="s">
        <v>673</v>
      </c>
      <c r="C57" s="638"/>
      <c r="D57" s="638"/>
      <c r="E57" s="640"/>
      <c r="F57" s="589"/>
      <c r="G57" s="604"/>
      <c r="H57" s="643"/>
    </row>
    <row r="58" spans="2:8">
      <c r="B58" s="587" t="s">
        <v>678</v>
      </c>
      <c r="C58" s="595">
        <v>2170464333</v>
      </c>
      <c r="D58" s="595">
        <v>285816764</v>
      </c>
      <c r="E58" s="640"/>
      <c r="F58" s="606" t="s">
        <v>708</v>
      </c>
      <c r="G58" s="619"/>
      <c r="H58" s="616"/>
    </row>
    <row r="59" spans="2:8">
      <c r="B59" s="587" t="s">
        <v>699</v>
      </c>
      <c r="C59" s="595">
        <v>0</v>
      </c>
      <c r="D59" s="595">
        <v>0</v>
      </c>
      <c r="E59" s="640"/>
      <c r="F59" s="589" t="s">
        <v>709</v>
      </c>
      <c r="G59" s="619"/>
      <c r="H59" s="616"/>
    </row>
    <row r="60" spans="2:8">
      <c r="B60" s="587" t="s">
        <v>679</v>
      </c>
      <c r="C60" s="595">
        <v>0</v>
      </c>
      <c r="D60" s="595">
        <v>0</v>
      </c>
      <c r="E60" s="640"/>
      <c r="F60" s="589" t="s">
        <v>480</v>
      </c>
      <c r="G60" s="596"/>
      <c r="H60" s="609"/>
    </row>
    <row r="61" spans="2:8">
      <c r="B61" s="587" t="s">
        <v>680</v>
      </c>
      <c r="C61" s="595">
        <v>0</v>
      </c>
      <c r="D61" s="595">
        <v>0</v>
      </c>
      <c r="E61" s="640"/>
      <c r="F61" s="638"/>
      <c r="G61" s="625"/>
      <c r="H61" s="613"/>
    </row>
    <row r="62" spans="2:8">
      <c r="B62" s="587" t="s">
        <v>681</v>
      </c>
      <c r="C62" s="595">
        <v>0</v>
      </c>
      <c r="D62" s="595">
        <v>0</v>
      </c>
      <c r="E62" s="640"/>
      <c r="F62" s="615" t="s">
        <v>184</v>
      </c>
      <c r="G62" s="644"/>
      <c r="H62" s="645"/>
    </row>
    <row r="63" spans="2:8">
      <c r="B63" s="587" t="s">
        <v>682</v>
      </c>
      <c r="C63" s="595">
        <v>0</v>
      </c>
      <c r="D63" s="595">
        <v>0</v>
      </c>
      <c r="E63" s="640"/>
      <c r="F63" s="595" t="s">
        <v>710</v>
      </c>
      <c r="G63" s="638"/>
      <c r="H63" s="645"/>
    </row>
    <row r="64" spans="2:8">
      <c r="B64" s="587" t="s">
        <v>683</v>
      </c>
      <c r="C64" s="595">
        <v>0</v>
      </c>
      <c r="D64" s="595">
        <v>0</v>
      </c>
      <c r="E64" s="640"/>
      <c r="F64" s="646" t="s">
        <v>711</v>
      </c>
      <c r="G64" s="638"/>
      <c r="H64" s="645"/>
    </row>
    <row r="65" spans="2:10">
      <c r="B65" s="587" t="s">
        <v>700</v>
      </c>
      <c r="C65" s="595">
        <v>0</v>
      </c>
      <c r="D65" s="595">
        <v>0</v>
      </c>
      <c r="E65" s="640"/>
      <c r="F65" s="595" t="s">
        <v>712</v>
      </c>
      <c r="G65" s="595">
        <v>2046048166</v>
      </c>
      <c r="H65" s="609">
        <v>280116659</v>
      </c>
    </row>
    <row r="66" spans="2:10">
      <c r="B66" s="587" t="s">
        <v>684</v>
      </c>
      <c r="C66" s="595">
        <v>0</v>
      </c>
      <c r="D66" s="595">
        <v>0</v>
      </c>
      <c r="E66" s="640"/>
      <c r="F66" s="595"/>
      <c r="G66" s="597">
        <f>+G65</f>
        <v>2046048166</v>
      </c>
      <c r="H66" s="597">
        <f>+H65</f>
        <v>280116659</v>
      </c>
    </row>
    <row r="67" spans="2:10">
      <c r="B67" s="587"/>
      <c r="C67" s="594">
        <f>+C58</f>
        <v>2170464333</v>
      </c>
      <c r="D67" s="594">
        <f>+D58</f>
        <v>285816764</v>
      </c>
      <c r="E67" s="640"/>
      <c r="F67" s="647" t="s">
        <v>631</v>
      </c>
      <c r="G67" s="597">
        <f>+G65</f>
        <v>2046048166</v>
      </c>
      <c r="H67" s="597">
        <f>+H65</f>
        <v>280116659</v>
      </c>
      <c r="I67" s="421"/>
      <c r="J67" s="421"/>
    </row>
    <row r="68" spans="2:10">
      <c r="B68" s="587"/>
      <c r="C68" s="595"/>
      <c r="D68" s="596"/>
      <c r="E68" s="640"/>
      <c r="F68" s="638"/>
      <c r="G68" s="638"/>
      <c r="H68" s="645"/>
    </row>
    <row r="69" spans="2:10">
      <c r="B69" s="642" t="s">
        <v>701</v>
      </c>
      <c r="C69" s="595"/>
      <c r="D69" s="595"/>
      <c r="E69" s="640"/>
      <c r="F69" s="638"/>
      <c r="G69" s="638"/>
      <c r="H69" s="645"/>
    </row>
    <row r="70" spans="2:10">
      <c r="B70" s="603" t="s">
        <v>459</v>
      </c>
      <c r="C70" s="595">
        <v>381526763</v>
      </c>
      <c r="D70" s="595">
        <v>369890399</v>
      </c>
      <c r="E70" s="640"/>
      <c r="F70" s="638"/>
      <c r="G70" s="638"/>
      <c r="H70" s="645"/>
    </row>
    <row r="71" spans="2:10">
      <c r="B71" s="587" t="s">
        <v>702</v>
      </c>
      <c r="C71" s="596">
        <v>-223786604</v>
      </c>
      <c r="D71" s="596">
        <v>-175539932</v>
      </c>
      <c r="E71" s="633"/>
      <c r="F71" s="638"/>
      <c r="G71" s="648"/>
      <c r="H71" s="649"/>
    </row>
    <row r="72" spans="2:10">
      <c r="B72" s="587"/>
      <c r="C72" s="594">
        <f>+C70+C71</f>
        <v>157740159</v>
      </c>
      <c r="D72" s="625">
        <f>+D70+D71</f>
        <v>194350467</v>
      </c>
      <c r="E72" s="633"/>
      <c r="F72" s="650" t="s">
        <v>632</v>
      </c>
      <c r="G72" s="594">
        <f>+G46+G67</f>
        <v>59559121488.618797</v>
      </c>
      <c r="H72" s="651">
        <f>+H46+H67</f>
        <v>14884058048.287998</v>
      </c>
    </row>
    <row r="73" spans="2:10">
      <c r="B73" s="579"/>
      <c r="C73" s="602"/>
      <c r="D73" s="652"/>
      <c r="E73" s="633"/>
      <c r="F73" s="653"/>
      <c r="G73" s="626"/>
      <c r="H73" s="654"/>
    </row>
    <row r="74" spans="2:10">
      <c r="B74" s="642" t="s">
        <v>970</v>
      </c>
      <c r="C74" s="652"/>
      <c r="D74" s="652"/>
      <c r="E74" s="640"/>
      <c r="F74" s="638"/>
      <c r="G74" s="640"/>
      <c r="H74" s="645"/>
    </row>
    <row r="75" spans="2:10">
      <c r="B75" s="587" t="s">
        <v>967</v>
      </c>
      <c r="C75" s="595">
        <v>41367931</v>
      </c>
      <c r="D75" s="595">
        <v>41367931</v>
      </c>
      <c r="E75" s="640"/>
      <c r="F75" s="615" t="s">
        <v>713</v>
      </c>
      <c r="G75" s="640"/>
      <c r="H75" s="645"/>
    </row>
    <row r="76" spans="2:10">
      <c r="B76" s="587" t="s">
        <v>703</v>
      </c>
      <c r="C76" s="655"/>
      <c r="D76" s="655"/>
      <c r="E76" s="640"/>
      <c r="F76" s="595"/>
      <c r="G76" s="640"/>
      <c r="H76" s="645"/>
    </row>
    <row r="77" spans="2:10">
      <c r="B77" s="587" t="s">
        <v>968</v>
      </c>
      <c r="C77" s="655"/>
      <c r="D77" s="655"/>
      <c r="E77" s="640"/>
      <c r="F77" s="595"/>
      <c r="G77" s="640"/>
      <c r="H77" s="645"/>
    </row>
    <row r="78" spans="2:10">
      <c r="B78" s="587" t="s">
        <v>969</v>
      </c>
      <c r="C78" s="656">
        <v>-41367931</v>
      </c>
      <c r="D78" s="656">
        <v>-30911974</v>
      </c>
      <c r="E78" s="640"/>
      <c r="F78" s="595"/>
      <c r="G78" s="629"/>
      <c r="H78" s="630"/>
    </row>
    <row r="79" spans="2:10">
      <c r="B79" s="579"/>
      <c r="C79" s="594">
        <f>SUM(C75:C78)</f>
        <v>0</v>
      </c>
      <c r="D79" s="625">
        <f>+D75+D78</f>
        <v>10455957</v>
      </c>
      <c r="E79" s="640"/>
      <c r="F79" s="595" t="s">
        <v>714</v>
      </c>
      <c r="G79" s="629"/>
      <c r="H79" s="630"/>
    </row>
    <row r="80" spans="2:10">
      <c r="B80" s="579" t="s">
        <v>971</v>
      </c>
      <c r="C80" s="638"/>
      <c r="D80" s="595"/>
      <c r="E80" s="640"/>
      <c r="F80" s="595" t="s">
        <v>715</v>
      </c>
      <c r="G80" s="597">
        <v>6239878005</v>
      </c>
      <c r="H80" s="597">
        <v>4481357970</v>
      </c>
    </row>
    <row r="81" spans="2:9">
      <c r="B81" s="587" t="s">
        <v>704</v>
      </c>
      <c r="C81" s="595">
        <v>23433280</v>
      </c>
      <c r="D81" s="595">
        <v>0</v>
      </c>
      <c r="E81" s="640"/>
      <c r="F81" s="595"/>
      <c r="G81" s="596"/>
      <c r="H81" s="609"/>
    </row>
    <row r="82" spans="2:9">
      <c r="B82" s="587"/>
      <c r="C82" s="657">
        <f>+C81</f>
        <v>23433280</v>
      </c>
      <c r="D82" s="657">
        <f>+D81</f>
        <v>0</v>
      </c>
      <c r="E82" s="640"/>
      <c r="F82" s="595"/>
      <c r="G82" s="656">
        <v>0</v>
      </c>
      <c r="H82" s="612">
        <v>0</v>
      </c>
    </row>
    <row r="83" spans="2:9">
      <c r="B83" s="579"/>
      <c r="C83" s="652"/>
      <c r="D83" s="655"/>
      <c r="E83" s="640"/>
      <c r="F83" s="595"/>
      <c r="G83" s="596"/>
      <c r="H83" s="609"/>
    </row>
    <row r="84" spans="2:9">
      <c r="B84" s="647" t="s">
        <v>634</v>
      </c>
      <c r="C84" s="658">
        <f>+C55+C67+C72+C79+C82</f>
        <v>6775062884</v>
      </c>
      <c r="D84" s="658">
        <f>+D55+D67+D72+D79</f>
        <v>4194224778</v>
      </c>
      <c r="E84" s="640"/>
      <c r="F84" s="595"/>
      <c r="G84" s="596"/>
      <c r="H84" s="609"/>
    </row>
    <row r="85" spans="2:9" ht="15.75" thickBot="1">
      <c r="B85" s="579"/>
      <c r="C85" s="659"/>
      <c r="D85" s="659"/>
      <c r="E85" s="638"/>
      <c r="F85" s="595"/>
      <c r="G85" s="596"/>
      <c r="H85" s="609"/>
    </row>
    <row r="86" spans="2:9" ht="15.75" thickBot="1">
      <c r="B86" s="660" t="s">
        <v>635</v>
      </c>
      <c r="C86" s="661">
        <f>+C46+C84</f>
        <v>65798999494</v>
      </c>
      <c r="D86" s="661">
        <f>+D46+D84</f>
        <v>19365416018</v>
      </c>
      <c r="E86" s="662"/>
      <c r="F86" s="660" t="s">
        <v>716</v>
      </c>
      <c r="G86" s="663">
        <f>+G72+G80</f>
        <v>65798999493.618797</v>
      </c>
      <c r="H86" s="663">
        <f>+H72+H80</f>
        <v>19365416018.287998</v>
      </c>
      <c r="I86" s="593"/>
    </row>
    <row r="87" spans="2:9">
      <c r="B87" s="582"/>
      <c r="C87" s="664"/>
      <c r="D87" s="664"/>
      <c r="E87" s="664"/>
      <c r="F87" s="582"/>
      <c r="G87" s="664"/>
      <c r="H87" s="664"/>
    </row>
    <row r="88" spans="2:9">
      <c r="B88" s="646" t="s">
        <v>1159</v>
      </c>
      <c r="C88" s="665"/>
      <c r="D88" s="666"/>
      <c r="E88" s="664"/>
      <c r="F88" s="664"/>
      <c r="G88" s="666"/>
      <c r="H88" s="666"/>
    </row>
    <row r="89" spans="2:9">
      <c r="B89" s="667"/>
      <c r="D89" s="668"/>
      <c r="E89" s="668"/>
      <c r="F89" s="669"/>
      <c r="G89" s="1125"/>
      <c r="H89" s="1125"/>
    </row>
    <row r="90" spans="2:9">
      <c r="B90" s="664"/>
      <c r="C90" s="593"/>
      <c r="D90" s="593"/>
      <c r="E90" s="670"/>
      <c r="F90" s="582"/>
      <c r="G90" s="1125"/>
      <c r="H90" s="1125"/>
    </row>
    <row r="91" spans="2:9">
      <c r="B91" s="593"/>
      <c r="D91" s="668"/>
      <c r="E91" s="667"/>
      <c r="H91" s="671"/>
    </row>
    <row r="92" spans="2:9">
      <c r="B92" s="593"/>
      <c r="D92" s="668"/>
      <c r="E92" s="667"/>
      <c r="H92" s="671"/>
    </row>
    <row r="93" spans="2:9">
      <c r="B93" s="593"/>
      <c r="D93" s="668"/>
      <c r="E93" s="667"/>
      <c r="H93" s="671"/>
    </row>
    <row r="94" spans="2:9">
      <c r="B94" s="593"/>
      <c r="D94" s="668"/>
      <c r="E94" s="667"/>
      <c r="H94" s="671"/>
    </row>
    <row r="95" spans="2:9">
      <c r="B95" s="593"/>
      <c r="D95" s="668"/>
      <c r="E95" s="667"/>
      <c r="F95" s="667"/>
      <c r="G95" s="667"/>
      <c r="H95" s="667"/>
    </row>
    <row r="96" spans="2:9">
      <c r="B96" s="593"/>
      <c r="D96" s="668"/>
      <c r="E96" s="667"/>
      <c r="F96" s="667"/>
      <c r="G96" s="667"/>
      <c r="H96" s="667"/>
    </row>
    <row r="97" spans="1:8">
      <c r="A97" s="1124" t="s">
        <v>1043</v>
      </c>
      <c r="B97" s="1124"/>
      <c r="C97" s="1124"/>
      <c r="D97" s="1124"/>
      <c r="E97" s="1124"/>
      <c r="F97" s="1124"/>
      <c r="G97" s="1124"/>
      <c r="H97" s="1124"/>
    </row>
    <row r="98" spans="1:8">
      <c r="A98" s="1124" t="s">
        <v>1117</v>
      </c>
      <c r="B98" s="1124"/>
      <c r="C98" s="1124"/>
      <c r="D98" s="1124"/>
      <c r="E98" s="1124"/>
      <c r="F98" s="1124"/>
      <c r="G98" s="1124"/>
      <c r="H98" s="1124"/>
    </row>
    <row r="99" spans="1:8">
      <c r="A99" s="1124" t="s">
        <v>1014</v>
      </c>
      <c r="B99" s="1124"/>
      <c r="C99" s="1124"/>
      <c r="D99" s="1124"/>
      <c r="E99" s="1124"/>
      <c r="F99" s="1124"/>
      <c r="G99" s="1124"/>
      <c r="H99" s="1124"/>
    </row>
    <row r="100" spans="1:8">
      <c r="B100" s="593"/>
      <c r="C100" s="667"/>
      <c r="D100" s="667"/>
      <c r="E100" s="593"/>
      <c r="F100" s="593"/>
      <c r="G100" s="593"/>
      <c r="H100" s="593"/>
    </row>
    <row r="101" spans="1:8">
      <c r="B101" s="593"/>
      <c r="C101" s="667"/>
      <c r="D101" s="667"/>
      <c r="E101" s="593"/>
      <c r="F101" s="593"/>
      <c r="G101" s="593"/>
      <c r="H101" s="593"/>
    </row>
    <row r="102" spans="1:8" ht="25.5" customHeight="1">
      <c r="B102" s="593"/>
      <c r="C102" s="664"/>
      <c r="D102" s="664"/>
      <c r="E102" s="593"/>
      <c r="F102" s="593"/>
      <c r="G102" s="593"/>
      <c r="H102" s="593"/>
    </row>
    <row r="103" spans="1:8" ht="18.75" customHeight="1">
      <c r="B103" s="593"/>
      <c r="C103" s="593"/>
      <c r="D103" s="593"/>
      <c r="E103" s="593"/>
      <c r="F103" s="593"/>
      <c r="G103" s="593"/>
      <c r="H103" s="593"/>
    </row>
    <row r="104" spans="1:8" ht="18.75" customHeight="1">
      <c r="B104" s="593"/>
      <c r="C104" s="593"/>
      <c r="D104" s="593"/>
      <c r="E104" s="593"/>
      <c r="F104" s="593"/>
      <c r="G104" s="593"/>
      <c r="H104" s="593"/>
    </row>
    <row r="105" spans="1:8">
      <c r="B105" s="593"/>
      <c r="C105" s="593"/>
      <c r="D105" s="593"/>
      <c r="E105" s="593"/>
      <c r="F105" s="593"/>
      <c r="G105" s="593"/>
      <c r="H105" s="593"/>
    </row>
    <row r="106" spans="1:8">
      <c r="B106" s="593"/>
      <c r="C106" s="593"/>
      <c r="D106" s="593"/>
      <c r="E106" s="593"/>
      <c r="F106" s="593"/>
      <c r="G106" s="593"/>
      <c r="H106" s="593"/>
    </row>
    <row r="107" spans="1:8">
      <c r="B107" s="593"/>
      <c r="C107" s="593"/>
      <c r="D107" s="593"/>
      <c r="E107" s="593"/>
      <c r="F107" s="593"/>
      <c r="G107" s="593"/>
      <c r="H107" s="593"/>
    </row>
    <row r="108" spans="1:8">
      <c r="B108" s="593"/>
      <c r="C108" s="593"/>
      <c r="D108" s="593"/>
      <c r="E108" s="593"/>
      <c r="F108" s="593"/>
      <c r="G108" s="593"/>
      <c r="H108" s="593"/>
    </row>
    <row r="109" spans="1:8">
      <c r="B109" s="593"/>
      <c r="C109" s="593"/>
      <c r="D109" s="593"/>
      <c r="E109" s="593"/>
      <c r="F109" s="593"/>
      <c r="G109" s="593"/>
      <c r="H109" s="593"/>
    </row>
    <row r="110" spans="1:8">
      <c r="B110" s="593"/>
      <c r="C110" s="593"/>
      <c r="D110" s="593"/>
      <c r="E110" s="593"/>
      <c r="F110" s="593"/>
      <c r="G110" s="593"/>
      <c r="H110" s="593"/>
    </row>
    <row r="111" spans="1:8">
      <c r="B111" s="593"/>
      <c r="C111" s="593"/>
      <c r="D111" s="593"/>
      <c r="E111" s="593"/>
      <c r="F111" s="593"/>
      <c r="G111" s="593"/>
      <c r="H111" s="593"/>
    </row>
    <row r="112" spans="1:8">
      <c r="B112" s="593"/>
      <c r="C112" s="593"/>
      <c r="D112" s="593"/>
      <c r="E112" s="593"/>
      <c r="F112" s="593"/>
      <c r="G112" s="593"/>
      <c r="H112" s="593"/>
    </row>
    <row r="113" spans="2:8">
      <c r="B113" s="593"/>
      <c r="C113" s="593"/>
      <c r="D113" s="593"/>
      <c r="E113" s="593"/>
      <c r="F113" s="593"/>
      <c r="G113" s="593"/>
      <c r="H113" s="593"/>
    </row>
    <row r="114" spans="2:8">
      <c r="B114" s="593"/>
      <c r="C114" s="593"/>
      <c r="D114" s="593"/>
      <c r="E114" s="593"/>
      <c r="F114" s="593"/>
      <c r="G114" s="593"/>
      <c r="H114" s="593"/>
    </row>
    <row r="115" spans="2:8">
      <c r="B115" s="593"/>
      <c r="C115" s="593"/>
      <c r="D115" s="593"/>
      <c r="E115" s="593"/>
      <c r="F115" s="593"/>
      <c r="G115" s="593"/>
      <c r="H115" s="593"/>
    </row>
    <row r="116" spans="2:8">
      <c r="B116" s="593"/>
      <c r="C116" s="593"/>
      <c r="D116" s="593"/>
      <c r="E116" s="593"/>
      <c r="F116" s="593"/>
      <c r="G116" s="593"/>
      <c r="H116" s="593"/>
    </row>
    <row r="117" spans="2:8">
      <c r="B117" s="593"/>
      <c r="C117" s="593"/>
      <c r="D117" s="593"/>
      <c r="E117" s="593"/>
      <c r="F117" s="593"/>
      <c r="G117" s="593"/>
      <c r="H117" s="593"/>
    </row>
    <row r="118" spans="2:8">
      <c r="B118" s="593"/>
      <c r="C118" s="593"/>
      <c r="D118" s="593"/>
      <c r="E118" s="593"/>
      <c r="F118" s="593"/>
      <c r="G118" s="593"/>
      <c r="H118" s="593"/>
    </row>
    <row r="119" spans="2:8">
      <c r="B119" s="593"/>
      <c r="C119" s="593"/>
      <c r="D119" s="593"/>
      <c r="E119" s="593"/>
      <c r="F119" s="593"/>
      <c r="G119" s="593"/>
      <c r="H119" s="593"/>
    </row>
    <row r="120" spans="2:8">
      <c r="B120" s="593"/>
      <c r="C120" s="593"/>
      <c r="D120" s="593"/>
      <c r="E120" s="593"/>
      <c r="F120" s="593"/>
      <c r="G120" s="593"/>
      <c r="H120" s="593"/>
    </row>
    <row r="121" spans="2:8">
      <c r="B121" s="593"/>
      <c r="C121" s="593"/>
      <c r="D121" s="593"/>
      <c r="E121" s="593"/>
      <c r="F121" s="593"/>
      <c r="G121" s="593"/>
      <c r="H121" s="593"/>
    </row>
    <row r="122" spans="2:8">
      <c r="B122" s="593"/>
      <c r="C122" s="593"/>
      <c r="D122" s="593"/>
      <c r="E122" s="593"/>
      <c r="F122" s="593"/>
      <c r="G122" s="593"/>
      <c r="H122" s="593"/>
    </row>
    <row r="123" spans="2:8">
      <c r="B123" s="593"/>
      <c r="C123" s="593"/>
      <c r="D123" s="593"/>
      <c r="E123" s="593"/>
      <c r="F123" s="593"/>
      <c r="G123" s="593"/>
      <c r="H123" s="593"/>
    </row>
    <row r="124" spans="2:8">
      <c r="B124" s="593"/>
      <c r="C124" s="593"/>
      <c r="D124" s="593"/>
      <c r="E124" s="593"/>
      <c r="F124" s="593"/>
      <c r="G124" s="593"/>
      <c r="H124" s="593"/>
    </row>
    <row r="125" spans="2:8">
      <c r="B125" s="593"/>
      <c r="C125" s="593"/>
      <c r="D125" s="593"/>
      <c r="E125" s="593"/>
      <c r="F125" s="593"/>
      <c r="G125" s="593"/>
      <c r="H125" s="593"/>
    </row>
    <row r="126" spans="2:8">
      <c r="B126" s="593"/>
      <c r="C126" s="593"/>
      <c r="D126" s="593"/>
      <c r="E126" s="593"/>
      <c r="F126" s="593"/>
      <c r="G126" s="593"/>
      <c r="H126" s="593"/>
    </row>
    <row r="127" spans="2:8">
      <c r="B127" s="593"/>
      <c r="C127" s="593"/>
      <c r="D127" s="593"/>
      <c r="E127" s="593"/>
      <c r="F127" s="593"/>
      <c r="G127" s="593"/>
      <c r="H127" s="593"/>
    </row>
    <row r="128" spans="2:8">
      <c r="B128" s="593"/>
      <c r="C128" s="593"/>
      <c r="D128" s="593"/>
      <c r="E128" s="593"/>
      <c r="F128" s="593"/>
      <c r="G128" s="593"/>
      <c r="H128" s="593"/>
    </row>
    <row r="129" spans="2:8">
      <c r="B129" s="593"/>
      <c r="C129" s="593"/>
      <c r="D129" s="593"/>
      <c r="E129" s="593"/>
      <c r="F129" s="593"/>
      <c r="G129" s="593"/>
      <c r="H129" s="593"/>
    </row>
    <row r="130" spans="2:8">
      <c r="B130" s="593"/>
      <c r="C130" s="593"/>
      <c r="D130" s="593"/>
      <c r="E130" s="593"/>
      <c r="F130" s="593"/>
      <c r="G130" s="593"/>
      <c r="H130" s="593"/>
    </row>
    <row r="131" spans="2:8">
      <c r="B131" s="593"/>
      <c r="C131" s="593"/>
      <c r="D131" s="593"/>
      <c r="E131" s="593"/>
      <c r="F131" s="593"/>
      <c r="G131" s="593"/>
      <c r="H131" s="593"/>
    </row>
    <row r="132" spans="2:8">
      <c r="B132" s="593"/>
      <c r="C132" s="593"/>
      <c r="D132" s="593"/>
      <c r="E132" s="593"/>
      <c r="F132" s="593"/>
      <c r="G132" s="593"/>
      <c r="H132" s="593"/>
    </row>
    <row r="133" spans="2:8">
      <c r="B133" s="593"/>
      <c r="C133" s="593"/>
      <c r="D133" s="593"/>
      <c r="E133" s="593"/>
      <c r="F133" s="593"/>
      <c r="G133" s="593"/>
      <c r="H133" s="593"/>
    </row>
    <row r="134" spans="2:8">
      <c r="B134" s="593"/>
      <c r="C134" s="593"/>
      <c r="D134" s="593"/>
      <c r="E134" s="593"/>
      <c r="F134" s="593"/>
      <c r="G134" s="593"/>
      <c r="H134" s="593"/>
    </row>
    <row r="135" spans="2:8">
      <c r="B135" s="593"/>
      <c r="C135" s="593"/>
      <c r="D135" s="593"/>
      <c r="E135" s="593"/>
      <c r="F135" s="593"/>
      <c r="G135" s="593"/>
      <c r="H135" s="593"/>
    </row>
    <row r="136" spans="2:8">
      <c r="B136" s="593"/>
      <c r="C136" s="593"/>
      <c r="D136" s="593"/>
      <c r="E136" s="593"/>
      <c r="F136" s="593"/>
      <c r="G136" s="593"/>
      <c r="H136" s="593"/>
    </row>
    <row r="137" spans="2:8">
      <c r="B137" s="593"/>
      <c r="C137" s="593"/>
      <c r="D137" s="593"/>
      <c r="E137" s="593"/>
      <c r="F137" s="593"/>
      <c r="G137" s="593"/>
      <c r="H137" s="593"/>
    </row>
    <row r="138" spans="2:8">
      <c r="B138" s="593"/>
      <c r="C138" s="593"/>
      <c r="D138" s="593"/>
      <c r="E138" s="593"/>
      <c r="F138" s="593"/>
      <c r="G138" s="593"/>
      <c r="H138" s="593"/>
    </row>
    <row r="139" spans="2:8">
      <c r="B139" s="593"/>
      <c r="C139" s="593"/>
      <c r="D139" s="593"/>
      <c r="E139" s="593"/>
      <c r="F139" s="593"/>
      <c r="G139" s="593"/>
      <c r="H139" s="593"/>
    </row>
    <row r="140" spans="2:8">
      <c r="B140" s="593"/>
      <c r="C140" s="593"/>
      <c r="D140" s="593"/>
      <c r="E140" s="593"/>
      <c r="F140" s="593"/>
      <c r="G140" s="593"/>
      <c r="H140" s="593"/>
    </row>
    <row r="141" spans="2:8">
      <c r="B141" s="593"/>
      <c r="C141" s="593"/>
      <c r="D141" s="593"/>
      <c r="E141" s="593"/>
      <c r="F141" s="593"/>
      <c r="G141" s="593"/>
      <c r="H141" s="593"/>
    </row>
    <row r="142" spans="2:8">
      <c r="B142" s="593"/>
      <c r="C142" s="593"/>
      <c r="D142" s="593"/>
      <c r="E142" s="593"/>
      <c r="F142" s="593"/>
      <c r="G142" s="593"/>
      <c r="H142" s="593"/>
    </row>
    <row r="143" spans="2:8">
      <c r="B143" s="593"/>
      <c r="C143" s="593"/>
      <c r="D143" s="593"/>
      <c r="E143" s="593"/>
      <c r="F143" s="593"/>
      <c r="G143" s="593"/>
      <c r="H143" s="593"/>
    </row>
    <row r="144" spans="2:8">
      <c r="B144" s="593"/>
      <c r="C144" s="593"/>
      <c r="D144" s="593"/>
      <c r="E144" s="593"/>
      <c r="F144" s="593"/>
      <c r="G144" s="593"/>
      <c r="H144" s="593"/>
    </row>
    <row r="145" spans="2:8">
      <c r="B145" s="593"/>
      <c r="C145" s="593"/>
      <c r="D145" s="593"/>
      <c r="E145" s="593"/>
      <c r="F145" s="593"/>
      <c r="G145" s="593"/>
      <c r="H145" s="593"/>
    </row>
    <row r="146" spans="2:8">
      <c r="B146" s="593"/>
      <c r="C146" s="593"/>
      <c r="D146" s="593"/>
      <c r="E146" s="593"/>
      <c r="F146" s="593"/>
      <c r="G146" s="593"/>
      <c r="H146" s="593"/>
    </row>
    <row r="147" spans="2:8">
      <c r="B147" s="593"/>
      <c r="C147" s="593"/>
      <c r="D147" s="593"/>
      <c r="E147" s="593"/>
      <c r="F147" s="593"/>
      <c r="G147" s="593"/>
      <c r="H147" s="593"/>
    </row>
    <row r="148" spans="2:8">
      <c r="B148" s="593"/>
      <c r="C148" s="593"/>
      <c r="D148" s="593"/>
      <c r="E148" s="593"/>
      <c r="F148" s="593"/>
      <c r="G148" s="593"/>
      <c r="H148" s="593"/>
    </row>
    <row r="149" spans="2:8">
      <c r="B149" s="593"/>
      <c r="C149" s="593"/>
      <c r="D149" s="593"/>
      <c r="E149" s="593"/>
      <c r="F149" s="593"/>
      <c r="G149" s="593"/>
      <c r="H149" s="593"/>
    </row>
    <row r="150" spans="2:8">
      <c r="B150" s="593"/>
      <c r="C150" s="593"/>
      <c r="D150" s="593"/>
      <c r="E150" s="593"/>
      <c r="F150" s="593"/>
      <c r="G150" s="593"/>
      <c r="H150" s="593"/>
    </row>
    <row r="151" spans="2:8">
      <c r="B151" s="593"/>
      <c r="C151" s="593"/>
      <c r="D151" s="593"/>
      <c r="E151" s="593"/>
      <c r="F151" s="593"/>
      <c r="G151" s="593"/>
      <c r="H151" s="593"/>
    </row>
    <row r="152" spans="2:8">
      <c r="B152" s="593"/>
      <c r="C152" s="593"/>
      <c r="D152" s="593"/>
      <c r="E152" s="593"/>
      <c r="F152" s="593"/>
      <c r="G152" s="593"/>
      <c r="H152" s="593"/>
    </row>
    <row r="153" spans="2:8">
      <c r="B153" s="593"/>
      <c r="C153" s="593"/>
      <c r="D153" s="593"/>
      <c r="E153" s="593"/>
      <c r="F153" s="593"/>
      <c r="G153" s="593"/>
      <c r="H153" s="593"/>
    </row>
    <row r="154" spans="2:8">
      <c r="B154" s="593"/>
      <c r="C154" s="593"/>
      <c r="D154" s="593"/>
      <c r="E154" s="593"/>
      <c r="F154" s="593"/>
      <c r="G154" s="593"/>
      <c r="H154" s="593"/>
    </row>
    <row r="155" spans="2:8">
      <c r="B155" s="593"/>
      <c r="C155" s="593"/>
      <c r="D155" s="593"/>
      <c r="E155" s="593"/>
      <c r="F155" s="593"/>
      <c r="G155" s="593"/>
      <c r="H155" s="593"/>
    </row>
    <row r="156" spans="2:8">
      <c r="B156" s="593"/>
      <c r="C156" s="593"/>
      <c r="D156" s="593"/>
      <c r="E156" s="593"/>
      <c r="F156" s="593"/>
      <c r="G156" s="593"/>
      <c r="H156" s="593"/>
    </row>
    <row r="157" spans="2:8">
      <c r="B157" s="593"/>
      <c r="C157" s="593"/>
      <c r="D157" s="593"/>
      <c r="E157" s="593"/>
      <c r="F157" s="593"/>
      <c r="G157" s="593"/>
      <c r="H157" s="593"/>
    </row>
    <row r="158" spans="2:8">
      <c r="B158" s="593"/>
      <c r="C158" s="593"/>
      <c r="D158" s="593"/>
      <c r="E158" s="593"/>
      <c r="F158" s="593"/>
      <c r="G158" s="593"/>
      <c r="H158" s="593"/>
    </row>
    <row r="159" spans="2:8">
      <c r="B159" s="593"/>
      <c r="C159" s="593"/>
      <c r="D159" s="593"/>
      <c r="E159" s="593"/>
      <c r="F159" s="593"/>
      <c r="G159" s="593"/>
      <c r="H159" s="593"/>
    </row>
    <row r="160" spans="2:8">
      <c r="B160" s="593"/>
      <c r="C160" s="593"/>
      <c r="D160" s="593"/>
      <c r="E160" s="593"/>
      <c r="F160" s="593"/>
      <c r="G160" s="593"/>
      <c r="H160" s="593"/>
    </row>
    <row r="161" spans="2:8">
      <c r="B161" s="593"/>
      <c r="C161" s="593"/>
      <c r="D161" s="593"/>
      <c r="E161" s="593"/>
      <c r="F161" s="593"/>
      <c r="G161" s="593"/>
      <c r="H161" s="593"/>
    </row>
    <row r="162" spans="2:8">
      <c r="B162" s="593"/>
      <c r="C162" s="593"/>
      <c r="D162" s="593"/>
      <c r="E162" s="593"/>
      <c r="F162" s="593"/>
      <c r="G162" s="593"/>
      <c r="H162" s="593"/>
    </row>
    <row r="163" spans="2:8">
      <c r="B163" s="593"/>
      <c r="C163" s="593"/>
      <c r="D163" s="593"/>
      <c r="E163" s="593"/>
      <c r="F163" s="593"/>
      <c r="G163" s="593"/>
      <c r="H163" s="593"/>
    </row>
    <row r="164" spans="2:8">
      <c r="B164" s="593"/>
      <c r="C164" s="593"/>
      <c r="D164" s="593"/>
      <c r="E164" s="593"/>
      <c r="F164" s="593"/>
      <c r="G164" s="593"/>
      <c r="H164" s="593"/>
    </row>
    <row r="165" spans="2:8">
      <c r="B165" s="593"/>
      <c r="C165" s="593"/>
      <c r="D165" s="593"/>
      <c r="E165" s="593"/>
      <c r="F165" s="593"/>
      <c r="G165" s="593"/>
      <c r="H165" s="593"/>
    </row>
    <row r="166" spans="2:8">
      <c r="B166" s="593"/>
      <c r="C166" s="593"/>
      <c r="D166" s="593"/>
      <c r="E166" s="593"/>
      <c r="F166" s="593"/>
      <c r="G166" s="593"/>
      <c r="H166" s="593"/>
    </row>
    <row r="167" spans="2:8">
      <c r="B167" s="593"/>
      <c r="C167" s="593"/>
      <c r="D167" s="593"/>
      <c r="E167" s="593"/>
      <c r="F167" s="593"/>
      <c r="G167" s="593"/>
      <c r="H167" s="593"/>
    </row>
    <row r="168" spans="2:8">
      <c r="B168" s="593"/>
      <c r="C168" s="593"/>
      <c r="D168" s="593"/>
      <c r="E168" s="593"/>
      <c r="F168" s="593"/>
      <c r="G168" s="593"/>
      <c r="H168" s="593"/>
    </row>
    <row r="169" spans="2:8">
      <c r="B169" s="593"/>
      <c r="C169" s="593"/>
      <c r="D169" s="593"/>
      <c r="E169" s="593"/>
      <c r="F169" s="593"/>
      <c r="G169" s="593"/>
      <c r="H169" s="593"/>
    </row>
    <row r="170" spans="2:8">
      <c r="B170" s="593"/>
      <c r="C170" s="593"/>
      <c r="D170" s="593"/>
      <c r="E170" s="593"/>
      <c r="F170" s="593"/>
      <c r="G170" s="593"/>
      <c r="H170" s="593"/>
    </row>
    <row r="171" spans="2:8">
      <c r="B171" s="593"/>
      <c r="C171" s="593"/>
      <c r="D171" s="593"/>
      <c r="E171" s="593"/>
      <c r="F171" s="593"/>
      <c r="G171" s="593"/>
      <c r="H171" s="593"/>
    </row>
    <row r="172" spans="2:8">
      <c r="B172" s="593"/>
      <c r="C172" s="593"/>
      <c r="D172" s="593"/>
      <c r="E172" s="593"/>
      <c r="F172" s="593"/>
      <c r="G172" s="593"/>
      <c r="H172" s="593"/>
    </row>
    <row r="173" spans="2:8">
      <c r="B173" s="593"/>
      <c r="C173" s="593"/>
      <c r="D173" s="593"/>
      <c r="E173" s="593"/>
      <c r="F173" s="593"/>
      <c r="G173" s="593"/>
      <c r="H173" s="593"/>
    </row>
    <row r="174" spans="2:8">
      <c r="B174" s="593"/>
      <c r="C174" s="593"/>
      <c r="D174" s="593"/>
      <c r="E174" s="593"/>
      <c r="F174" s="593"/>
      <c r="G174" s="593"/>
      <c r="H174" s="593"/>
    </row>
    <row r="175" spans="2:8">
      <c r="B175" s="593"/>
      <c r="C175" s="593"/>
      <c r="D175" s="593"/>
      <c r="E175" s="593"/>
      <c r="F175" s="593"/>
      <c r="G175" s="593"/>
      <c r="H175" s="593"/>
    </row>
    <row r="176" spans="2:8">
      <c r="B176" s="593"/>
      <c r="C176" s="593"/>
      <c r="D176" s="593"/>
      <c r="E176" s="593"/>
      <c r="F176" s="593"/>
      <c r="G176" s="593"/>
      <c r="H176" s="593"/>
    </row>
    <row r="177" spans="2:8">
      <c r="B177" s="593"/>
      <c r="C177" s="593"/>
      <c r="D177" s="593"/>
      <c r="E177" s="593"/>
      <c r="F177" s="593"/>
      <c r="G177" s="593"/>
      <c r="H177" s="593"/>
    </row>
    <row r="178" spans="2:8">
      <c r="B178" s="593"/>
      <c r="C178" s="593"/>
      <c r="D178" s="593"/>
      <c r="E178" s="593"/>
      <c r="F178" s="593"/>
      <c r="G178" s="593"/>
      <c r="H178" s="593"/>
    </row>
    <row r="179" spans="2:8">
      <c r="B179" s="593"/>
      <c r="C179" s="593"/>
      <c r="D179" s="593"/>
      <c r="E179" s="593"/>
      <c r="F179" s="593"/>
      <c r="G179" s="593"/>
      <c r="H179" s="593"/>
    </row>
    <row r="180" spans="2:8">
      <c r="B180" s="593"/>
      <c r="C180" s="593"/>
      <c r="D180" s="593"/>
      <c r="E180" s="593"/>
      <c r="F180" s="593"/>
      <c r="G180" s="593"/>
      <c r="H180" s="593"/>
    </row>
    <row r="181" spans="2:8">
      <c r="B181" s="593"/>
      <c r="C181" s="593"/>
      <c r="D181" s="593"/>
      <c r="E181" s="593"/>
      <c r="F181" s="593"/>
      <c r="G181" s="593"/>
      <c r="H181" s="593"/>
    </row>
    <row r="182" spans="2:8">
      <c r="B182" s="593"/>
      <c r="C182" s="593"/>
      <c r="D182" s="593"/>
      <c r="E182" s="593"/>
      <c r="F182" s="593"/>
      <c r="G182" s="593"/>
      <c r="H182" s="593"/>
    </row>
    <row r="183" spans="2:8">
      <c r="B183" s="593"/>
      <c r="C183" s="593"/>
      <c r="D183" s="593"/>
      <c r="E183" s="593"/>
      <c r="F183" s="593"/>
      <c r="G183" s="593"/>
      <c r="H183" s="593"/>
    </row>
    <row r="184" spans="2:8">
      <c r="B184" s="593"/>
      <c r="C184" s="593"/>
      <c r="D184" s="593"/>
      <c r="E184" s="593"/>
      <c r="F184" s="593"/>
      <c r="G184" s="593"/>
      <c r="H184" s="593"/>
    </row>
    <row r="185" spans="2:8">
      <c r="B185" s="593"/>
      <c r="C185" s="593"/>
      <c r="D185" s="593"/>
      <c r="E185" s="593"/>
      <c r="F185" s="593"/>
      <c r="G185" s="593"/>
      <c r="H185" s="593"/>
    </row>
    <row r="186" spans="2:8">
      <c r="B186" s="593"/>
      <c r="C186" s="593"/>
      <c r="D186" s="593"/>
      <c r="E186" s="593"/>
      <c r="F186" s="593"/>
      <c r="G186" s="593"/>
      <c r="H186" s="593"/>
    </row>
    <row r="187" spans="2:8">
      <c r="B187" s="593"/>
      <c r="C187" s="593"/>
      <c r="D187" s="593"/>
      <c r="E187" s="593"/>
      <c r="F187" s="593"/>
      <c r="G187" s="593"/>
      <c r="H187" s="593"/>
    </row>
    <row r="188" spans="2:8">
      <c r="B188" s="593"/>
      <c r="C188" s="593"/>
      <c r="D188" s="593"/>
      <c r="E188" s="593"/>
      <c r="F188" s="593"/>
      <c r="G188" s="593"/>
      <c r="H188" s="593"/>
    </row>
    <row r="189" spans="2:8">
      <c r="B189" s="593"/>
      <c r="C189" s="593"/>
      <c r="D189" s="593"/>
      <c r="E189" s="593"/>
      <c r="F189" s="593"/>
      <c r="G189" s="593"/>
      <c r="H189" s="593"/>
    </row>
    <row r="190" spans="2:8">
      <c r="B190" s="593"/>
      <c r="C190" s="593"/>
      <c r="D190" s="593"/>
      <c r="E190" s="593"/>
      <c r="F190" s="593"/>
      <c r="G190" s="593"/>
      <c r="H190" s="593"/>
    </row>
    <row r="191" spans="2:8">
      <c r="B191" s="593"/>
      <c r="C191" s="593"/>
      <c r="D191" s="593"/>
      <c r="E191" s="593"/>
      <c r="F191" s="593"/>
      <c r="G191" s="593"/>
      <c r="H191" s="593"/>
    </row>
    <row r="192" spans="2:8">
      <c r="B192" s="593"/>
      <c r="C192" s="593"/>
      <c r="D192" s="593"/>
      <c r="E192" s="593"/>
      <c r="F192" s="593"/>
      <c r="G192" s="593"/>
      <c r="H192" s="593"/>
    </row>
    <row r="193" spans="2:8">
      <c r="B193" s="593"/>
      <c r="C193" s="593"/>
      <c r="D193" s="593"/>
      <c r="E193" s="593"/>
      <c r="F193" s="593"/>
      <c r="G193" s="593"/>
      <c r="H193" s="593"/>
    </row>
    <row r="194" spans="2:8">
      <c r="B194" s="593"/>
      <c r="C194" s="593"/>
      <c r="D194" s="593"/>
      <c r="E194" s="593"/>
      <c r="F194" s="593"/>
      <c r="G194" s="593"/>
      <c r="H194" s="593"/>
    </row>
    <row r="195" spans="2:8">
      <c r="B195" s="593"/>
      <c r="C195" s="593"/>
      <c r="D195" s="593"/>
      <c r="E195" s="593"/>
      <c r="F195" s="593"/>
      <c r="G195" s="593"/>
      <c r="H195" s="593"/>
    </row>
    <row r="196" spans="2:8">
      <c r="B196" s="593"/>
      <c r="C196" s="593"/>
      <c r="D196" s="593"/>
      <c r="E196" s="593"/>
      <c r="F196" s="593"/>
      <c r="G196" s="593"/>
      <c r="H196" s="593"/>
    </row>
    <row r="197" spans="2:8">
      <c r="B197" s="593"/>
      <c r="C197" s="593"/>
      <c r="D197" s="593"/>
      <c r="E197" s="593"/>
      <c r="F197" s="593"/>
      <c r="G197" s="593"/>
      <c r="H197" s="593"/>
    </row>
    <row r="198" spans="2:8">
      <c r="B198" s="593"/>
      <c r="C198" s="593"/>
      <c r="D198" s="593"/>
      <c r="E198" s="593"/>
      <c r="F198" s="593"/>
      <c r="G198" s="593"/>
      <c r="H198" s="593"/>
    </row>
    <row r="199" spans="2:8">
      <c r="B199" s="593"/>
      <c r="C199" s="593"/>
      <c r="D199" s="593"/>
      <c r="E199" s="593"/>
      <c r="F199" s="593"/>
      <c r="G199" s="593"/>
      <c r="H199" s="593"/>
    </row>
    <row r="200" spans="2:8">
      <c r="B200" s="593"/>
      <c r="C200" s="593"/>
      <c r="D200" s="593"/>
      <c r="E200" s="593"/>
      <c r="F200" s="593"/>
      <c r="G200" s="593"/>
      <c r="H200" s="593"/>
    </row>
    <row r="201" spans="2:8">
      <c r="B201" s="593"/>
      <c r="C201" s="593"/>
      <c r="D201" s="593"/>
      <c r="E201" s="593"/>
      <c r="F201" s="593"/>
      <c r="G201" s="593"/>
      <c r="H201" s="593"/>
    </row>
    <row r="202" spans="2:8">
      <c r="B202" s="593"/>
      <c r="C202" s="593"/>
      <c r="D202" s="593"/>
      <c r="E202" s="593"/>
      <c r="F202" s="593"/>
      <c r="G202" s="593"/>
      <c r="H202" s="593"/>
    </row>
    <row r="203" spans="2:8">
      <c r="B203" s="593"/>
      <c r="C203" s="593"/>
      <c r="D203" s="593"/>
      <c r="E203" s="593"/>
      <c r="F203" s="593"/>
      <c r="G203" s="593"/>
      <c r="H203" s="593"/>
    </row>
    <row r="204" spans="2:8">
      <c r="B204" s="593"/>
      <c r="C204" s="593"/>
      <c r="D204" s="593"/>
      <c r="E204" s="593"/>
      <c r="F204" s="593"/>
      <c r="G204" s="593"/>
      <c r="H204" s="593"/>
    </row>
    <row r="205" spans="2:8">
      <c r="B205" s="593"/>
      <c r="C205" s="593"/>
      <c r="D205" s="593"/>
      <c r="E205" s="593"/>
      <c r="F205" s="593"/>
      <c r="G205" s="593"/>
      <c r="H205" s="593"/>
    </row>
    <row r="206" spans="2:8">
      <c r="B206" s="593"/>
      <c r="C206" s="593"/>
      <c r="D206" s="593"/>
      <c r="E206" s="593"/>
      <c r="F206" s="593"/>
      <c r="G206" s="593"/>
      <c r="H206" s="593"/>
    </row>
    <row r="207" spans="2:8">
      <c r="B207" s="593"/>
      <c r="C207" s="593"/>
      <c r="D207" s="593"/>
      <c r="E207" s="593"/>
      <c r="F207" s="593"/>
      <c r="G207" s="593"/>
      <c r="H207" s="593"/>
    </row>
    <row r="208" spans="2:8">
      <c r="B208" s="593"/>
      <c r="C208" s="593"/>
      <c r="D208" s="593"/>
      <c r="E208" s="593"/>
      <c r="F208" s="593"/>
      <c r="G208" s="593"/>
      <c r="H208" s="593"/>
    </row>
    <row r="209" spans="2:8">
      <c r="B209" s="593"/>
      <c r="C209" s="593"/>
      <c r="D209" s="593"/>
      <c r="E209" s="593"/>
      <c r="F209" s="593"/>
      <c r="G209" s="593"/>
      <c r="H209" s="593"/>
    </row>
    <row r="210" spans="2:8">
      <c r="B210" s="593"/>
      <c r="C210" s="593"/>
      <c r="D210" s="593"/>
      <c r="E210" s="593"/>
      <c r="F210" s="593"/>
      <c r="G210" s="593"/>
      <c r="H210" s="593"/>
    </row>
    <row r="211" spans="2:8">
      <c r="B211" s="593"/>
      <c r="C211" s="593"/>
      <c r="D211" s="593"/>
      <c r="E211" s="593"/>
      <c r="F211" s="593"/>
      <c r="G211" s="593"/>
      <c r="H211" s="593"/>
    </row>
    <row r="212" spans="2:8">
      <c r="B212" s="593"/>
      <c r="C212" s="593"/>
      <c r="D212" s="593"/>
      <c r="E212" s="593"/>
      <c r="F212" s="593"/>
      <c r="G212" s="593"/>
      <c r="H212" s="593"/>
    </row>
    <row r="213" spans="2:8">
      <c r="B213" s="593"/>
      <c r="C213" s="593"/>
      <c r="D213" s="593"/>
      <c r="E213" s="593"/>
      <c r="F213" s="593"/>
      <c r="G213" s="593"/>
      <c r="H213" s="593"/>
    </row>
    <row r="214" spans="2:8">
      <c r="B214" s="593"/>
      <c r="C214" s="593"/>
      <c r="D214" s="593"/>
      <c r="E214" s="593"/>
      <c r="F214" s="593"/>
      <c r="G214" s="593"/>
      <c r="H214" s="593"/>
    </row>
    <row r="215" spans="2:8">
      <c r="B215" s="593"/>
      <c r="C215" s="593"/>
      <c r="D215" s="593"/>
      <c r="E215" s="593"/>
      <c r="F215" s="593"/>
      <c r="G215" s="593"/>
      <c r="H215" s="593"/>
    </row>
    <row r="216" spans="2:8">
      <c r="B216" s="593"/>
      <c r="C216" s="593"/>
      <c r="D216" s="593"/>
      <c r="E216" s="593"/>
      <c r="F216" s="593"/>
      <c r="G216" s="593"/>
      <c r="H216" s="593"/>
    </row>
    <row r="217" spans="2:8">
      <c r="B217" s="593"/>
      <c r="C217" s="593"/>
      <c r="D217" s="593"/>
      <c r="E217" s="593"/>
      <c r="F217" s="593"/>
      <c r="G217" s="593"/>
      <c r="H217" s="593"/>
    </row>
    <row r="218" spans="2:8">
      <c r="B218" s="593"/>
      <c r="C218" s="593"/>
      <c r="D218" s="593"/>
      <c r="E218" s="593"/>
      <c r="F218" s="593"/>
      <c r="G218" s="593"/>
      <c r="H218" s="593"/>
    </row>
    <row r="219" spans="2:8">
      <c r="C219" s="593"/>
      <c r="D219" s="593"/>
      <c r="E219" s="593"/>
      <c r="F219" s="593"/>
      <c r="G219" s="593"/>
      <c r="H219" s="593"/>
    </row>
    <row r="220" spans="2:8">
      <c r="C220" s="593"/>
      <c r="D220" s="593"/>
      <c r="E220" s="593"/>
      <c r="F220" s="593"/>
      <c r="G220" s="593"/>
      <c r="H220" s="593"/>
    </row>
    <row r="221" spans="2:8">
      <c r="C221" s="593"/>
      <c r="D221" s="593"/>
      <c r="E221" s="593"/>
      <c r="F221" s="593"/>
      <c r="G221" s="593"/>
      <c r="H221" s="593"/>
    </row>
    <row r="222" spans="2:8">
      <c r="C222" s="593"/>
      <c r="D222" s="593"/>
      <c r="E222" s="593"/>
      <c r="F222" s="593"/>
      <c r="G222" s="593"/>
      <c r="H222" s="593"/>
    </row>
    <row r="223" spans="2:8">
      <c r="C223" s="593"/>
      <c r="D223" s="593"/>
      <c r="E223" s="593"/>
      <c r="F223" s="593"/>
      <c r="G223" s="593"/>
      <c r="H223" s="593"/>
    </row>
    <row r="224" spans="2:8">
      <c r="C224" s="593"/>
      <c r="D224" s="593"/>
      <c r="F224" s="593"/>
      <c r="G224" s="593"/>
      <c r="H224" s="593"/>
    </row>
    <row r="225" spans="3:8">
      <c r="C225" s="593"/>
      <c r="D225" s="593"/>
      <c r="F225" s="593"/>
      <c r="G225" s="593"/>
      <c r="H225" s="593"/>
    </row>
    <row r="226" spans="3:8">
      <c r="C226" s="593"/>
      <c r="D226" s="593"/>
    </row>
    <row r="227" spans="3:8">
      <c r="C227" s="593"/>
      <c r="D227" s="593"/>
    </row>
    <row r="228" spans="3:8">
      <c r="C228" s="593"/>
      <c r="D228" s="593"/>
    </row>
  </sheetData>
  <mergeCells count="10">
    <mergeCell ref="B6:H6"/>
    <mergeCell ref="B9:H9"/>
    <mergeCell ref="B10:H10"/>
    <mergeCell ref="B12:B13"/>
    <mergeCell ref="F12:F13"/>
    <mergeCell ref="A97:H97"/>
    <mergeCell ref="A98:H98"/>
    <mergeCell ref="A99:H99"/>
    <mergeCell ref="G89:H89"/>
    <mergeCell ref="G90:H9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pageSetUpPr fitToPage="1"/>
  </sheetPr>
  <dimension ref="A3:F96"/>
  <sheetViews>
    <sheetView showGridLines="0" topLeftCell="A67" zoomScaleNormal="100" workbookViewId="0">
      <selection activeCell="B86" sqref="B86"/>
    </sheetView>
  </sheetViews>
  <sheetFormatPr baseColWidth="10" defaultColWidth="11.42578125" defaultRowHeight="15"/>
  <cols>
    <col min="1" max="1" width="4.5703125" style="672" customWidth="1"/>
    <col min="2" max="2" width="83.7109375" style="673" customWidth="1"/>
    <col min="3" max="3" width="25.7109375" style="735" customWidth="1"/>
    <col min="4" max="4" width="27.140625" style="673" customWidth="1"/>
    <col min="5" max="5" width="13.42578125" style="673" bestFit="1" customWidth="1"/>
    <col min="6" max="6" width="12.85546875" style="673" bestFit="1" customWidth="1"/>
    <col min="7" max="16384" width="11.42578125" style="673"/>
  </cols>
  <sheetData>
    <row r="3" spans="1:5">
      <c r="B3" s="1132"/>
      <c r="C3" s="1132"/>
      <c r="D3" s="1132"/>
    </row>
    <row r="4" spans="1:5">
      <c r="B4" s="674"/>
      <c r="C4" s="675"/>
      <c r="D4" s="676"/>
    </row>
    <row r="5" spans="1:5">
      <c r="B5" s="674"/>
      <c r="C5" s="675"/>
      <c r="D5" s="676"/>
    </row>
    <row r="6" spans="1:5" ht="34.5" customHeight="1">
      <c r="A6" s="677"/>
      <c r="B6" s="1135" t="s">
        <v>1296</v>
      </c>
      <c r="C6" s="1135"/>
      <c r="D6" s="1135"/>
    </row>
    <row r="7" spans="1:5">
      <c r="B7" s="1136" t="s">
        <v>1016</v>
      </c>
      <c r="C7" s="1136"/>
      <c r="D7" s="1136"/>
    </row>
    <row r="8" spans="1:5" ht="15.75" thickBot="1">
      <c r="C8" s="679">
        <v>44926</v>
      </c>
      <c r="D8" s="680">
        <v>44561</v>
      </c>
    </row>
    <row r="9" spans="1:5" s="683" customFormat="1">
      <c r="A9" s="681"/>
      <c r="B9" s="1133"/>
      <c r="C9" s="682" t="s">
        <v>1325</v>
      </c>
      <c r="D9" s="682" t="s">
        <v>1325</v>
      </c>
    </row>
    <row r="10" spans="1:5" ht="15.75" thickBot="1">
      <c r="B10" s="1134"/>
      <c r="C10" s="684" t="s">
        <v>717</v>
      </c>
      <c r="D10" s="684" t="s">
        <v>718</v>
      </c>
    </row>
    <row r="11" spans="1:5">
      <c r="B11" s="685" t="s">
        <v>719</v>
      </c>
      <c r="C11" s="686"/>
      <c r="D11" s="687"/>
    </row>
    <row r="12" spans="1:5">
      <c r="B12" s="688" t="s">
        <v>720</v>
      </c>
      <c r="C12" s="689"/>
      <c r="D12" s="690"/>
    </row>
    <row r="13" spans="1:5">
      <c r="B13" s="691" t="s">
        <v>1121</v>
      </c>
      <c r="C13" s="689">
        <v>0</v>
      </c>
      <c r="D13" s="690">
        <v>0</v>
      </c>
      <c r="E13" s="678"/>
    </row>
    <row r="14" spans="1:5" ht="15" customHeight="1">
      <c r="B14" s="691" t="s">
        <v>1122</v>
      </c>
      <c r="C14" s="689">
        <v>5773747</v>
      </c>
      <c r="D14" s="689">
        <v>10057454</v>
      </c>
      <c r="E14" s="678"/>
    </row>
    <row r="15" spans="1:5" ht="15" customHeight="1">
      <c r="B15" s="691"/>
      <c r="C15" s="689"/>
      <c r="D15" s="689"/>
      <c r="E15" s="692"/>
    </row>
    <row r="16" spans="1:5" ht="15" customHeight="1">
      <c r="B16" s="688" t="s">
        <v>721</v>
      </c>
      <c r="C16" s="693"/>
      <c r="D16" s="693"/>
    </row>
    <row r="17" spans="1:6">
      <c r="B17" s="691" t="s">
        <v>1123</v>
      </c>
      <c r="C17" s="694"/>
      <c r="D17" s="694">
        <v>0</v>
      </c>
    </row>
    <row r="18" spans="1:6">
      <c r="B18" s="691" t="s">
        <v>1124</v>
      </c>
      <c r="C18" s="694">
        <v>2343643982</v>
      </c>
      <c r="D18" s="694">
        <v>1185861250</v>
      </c>
    </row>
    <row r="19" spans="1:6">
      <c r="B19" s="691"/>
      <c r="C19" s="694"/>
      <c r="D19" s="694"/>
    </row>
    <row r="20" spans="1:6">
      <c r="B20" s="688" t="s">
        <v>1125</v>
      </c>
      <c r="C20" s="694"/>
      <c r="D20" s="694"/>
    </row>
    <row r="21" spans="1:6">
      <c r="B21" s="691" t="s">
        <v>1126</v>
      </c>
      <c r="C21" s="694"/>
      <c r="D21" s="694">
        <v>0</v>
      </c>
    </row>
    <row r="22" spans="1:6">
      <c r="B22" s="691" t="s">
        <v>1127</v>
      </c>
      <c r="C22" s="694"/>
      <c r="D22" s="694">
        <v>0</v>
      </c>
    </row>
    <row r="23" spans="1:6">
      <c r="B23" s="691"/>
      <c r="C23" s="693"/>
      <c r="D23" s="693"/>
    </row>
    <row r="24" spans="1:6" s="696" customFormat="1">
      <c r="A24" s="695"/>
      <c r="B24" s="691" t="s">
        <v>1128</v>
      </c>
      <c r="C24" s="694">
        <v>110546150</v>
      </c>
      <c r="D24" s="694">
        <v>53413941</v>
      </c>
      <c r="F24" s="678"/>
    </row>
    <row r="25" spans="1:6">
      <c r="B25" s="691" t="s">
        <v>1289</v>
      </c>
      <c r="C25" s="694">
        <v>74758840</v>
      </c>
      <c r="D25" s="694">
        <v>19718321</v>
      </c>
      <c r="F25" s="678"/>
    </row>
    <row r="26" spans="1:6">
      <c r="B26" s="691" t="s">
        <v>1129</v>
      </c>
      <c r="C26" s="694">
        <v>650802255</v>
      </c>
      <c r="D26" s="694">
        <v>2313881703</v>
      </c>
      <c r="F26" s="678"/>
    </row>
    <row r="27" spans="1:6">
      <c r="B27" s="691" t="s">
        <v>965</v>
      </c>
      <c r="C27" s="694">
        <v>0</v>
      </c>
      <c r="D27" s="697">
        <v>0</v>
      </c>
      <c r="F27" s="678"/>
    </row>
    <row r="28" spans="1:6">
      <c r="B28" s="691" t="s">
        <v>1130</v>
      </c>
      <c r="C28" s="698">
        <v>0</v>
      </c>
      <c r="D28" s="697">
        <v>0</v>
      </c>
      <c r="F28" s="678"/>
    </row>
    <row r="29" spans="1:6">
      <c r="B29" s="691" t="s">
        <v>1131</v>
      </c>
      <c r="C29" s="698">
        <v>0</v>
      </c>
      <c r="D29" s="697">
        <v>0</v>
      </c>
      <c r="F29" s="678"/>
    </row>
    <row r="30" spans="1:6">
      <c r="B30" s="691" t="s">
        <v>1132</v>
      </c>
      <c r="C30" s="694">
        <v>1885348528</v>
      </c>
      <c r="D30" s="697">
        <v>0</v>
      </c>
      <c r="F30" s="678"/>
    </row>
    <row r="31" spans="1:6">
      <c r="B31" s="691" t="s">
        <v>1133</v>
      </c>
      <c r="C31" s="694">
        <v>0</v>
      </c>
      <c r="D31" s="697">
        <v>0</v>
      </c>
    </row>
    <row r="32" spans="1:6">
      <c r="B32" s="691"/>
      <c r="C32" s="699"/>
      <c r="D32" s="697"/>
    </row>
    <row r="33" spans="1:4">
      <c r="B33" s="691" t="s">
        <v>722</v>
      </c>
      <c r="C33" s="694">
        <v>0</v>
      </c>
      <c r="D33" s="697">
        <v>0</v>
      </c>
    </row>
    <row r="34" spans="1:4">
      <c r="B34" s="691"/>
      <c r="C34" s="693"/>
      <c r="D34" s="697"/>
    </row>
    <row r="35" spans="1:4" s="683" customFormat="1">
      <c r="A35" s="681"/>
      <c r="B35" s="700" t="s">
        <v>1134</v>
      </c>
      <c r="C35" s="701">
        <f>SUM(C11:C33)</f>
        <v>5070873502</v>
      </c>
      <c r="D35" s="702">
        <f>SUM(D11:D33)</f>
        <v>3582932669</v>
      </c>
    </row>
    <row r="36" spans="1:4">
      <c r="B36" s="700" t="s">
        <v>723</v>
      </c>
      <c r="C36" s="703"/>
      <c r="D36" s="704"/>
    </row>
    <row r="37" spans="1:4">
      <c r="A37" s="681"/>
      <c r="B37" s="691" t="s">
        <v>726</v>
      </c>
      <c r="C37" s="689">
        <v>2596068209</v>
      </c>
      <c r="D37" s="704">
        <v>1872703272</v>
      </c>
    </row>
    <row r="38" spans="1:4">
      <c r="A38" s="681"/>
      <c r="B38" s="691" t="s">
        <v>1135</v>
      </c>
      <c r="C38" s="689">
        <v>2641530</v>
      </c>
      <c r="D38" s="704">
        <v>2530200</v>
      </c>
    </row>
    <row r="39" spans="1:4">
      <c r="B39" s="691" t="s">
        <v>727</v>
      </c>
      <c r="C39" s="689">
        <f>+'OTROS GASTOS OP, COM Y ADM'!C16</f>
        <v>86318118</v>
      </c>
      <c r="D39" s="704">
        <v>87563397</v>
      </c>
    </row>
    <row r="40" spans="1:4" s="683" customFormat="1">
      <c r="A40" s="681"/>
      <c r="B40" s="700" t="s">
        <v>728</v>
      </c>
      <c r="C40" s="705">
        <f>+C35-C36-C37-C38-C39</f>
        <v>2385845645</v>
      </c>
      <c r="D40" s="705">
        <f>+D35-D36-D37-D38-D39</f>
        <v>1620135800</v>
      </c>
    </row>
    <row r="41" spans="1:4" s="683" customFormat="1">
      <c r="A41" s="681"/>
      <c r="B41" s="700"/>
      <c r="C41" s="701"/>
      <c r="D41" s="706"/>
    </row>
    <row r="42" spans="1:4" s="683" customFormat="1">
      <c r="A42" s="681"/>
      <c r="B42" s="700" t="s">
        <v>1136</v>
      </c>
      <c r="C42" s="707"/>
      <c r="D42" s="704"/>
    </row>
    <row r="43" spans="1:4">
      <c r="B43" s="691" t="s">
        <v>729</v>
      </c>
      <c r="C43" s="689">
        <v>4166666</v>
      </c>
      <c r="D43" s="704">
        <v>0</v>
      </c>
    </row>
    <row r="44" spans="1:4">
      <c r="B44" s="691" t="s">
        <v>730</v>
      </c>
      <c r="C44" s="689">
        <v>0</v>
      </c>
      <c r="D44" s="704">
        <v>0</v>
      </c>
    </row>
    <row r="45" spans="1:4">
      <c r="B45" s="691" t="s">
        <v>1137</v>
      </c>
      <c r="C45" s="689">
        <f>+'OTROS GASTOS OP, COM Y ADM'!C19</f>
        <v>17141732</v>
      </c>
      <c r="D45" s="704">
        <v>26600995</v>
      </c>
    </row>
    <row r="46" spans="1:4">
      <c r="B46" s="691"/>
      <c r="C46" s="707">
        <f>+C43+C45</f>
        <v>21308398</v>
      </c>
      <c r="D46" s="706">
        <f>+D45</f>
        <v>26600995</v>
      </c>
    </row>
    <row r="47" spans="1:4" s="683" customFormat="1" ht="15" customHeight="1">
      <c r="A47" s="681"/>
      <c r="B47" s="700" t="s">
        <v>1138</v>
      </c>
      <c r="C47" s="708"/>
      <c r="D47" s="706"/>
    </row>
    <row r="48" spans="1:4" ht="15.75" customHeight="1">
      <c r="B48" s="691" t="s">
        <v>900</v>
      </c>
      <c r="C48" s="689">
        <v>447278837</v>
      </c>
      <c r="D48" s="690">
        <v>450277144</v>
      </c>
    </row>
    <row r="49" spans="1:4" ht="15" customHeight="1">
      <c r="B49" s="691" t="s">
        <v>1139</v>
      </c>
      <c r="C49" s="689">
        <v>58702629</v>
      </c>
      <c r="D49" s="690">
        <v>44323136</v>
      </c>
    </row>
    <row r="50" spans="1:4" ht="15.75" customHeight="1">
      <c r="B50" s="691" t="s">
        <v>1140</v>
      </c>
      <c r="C50" s="689">
        <v>9641819</v>
      </c>
      <c r="D50" s="690">
        <v>12206544</v>
      </c>
    </row>
    <row r="51" spans="1:4" ht="15" customHeight="1">
      <c r="B51" s="691" t="s">
        <v>901</v>
      </c>
      <c r="C51" s="689">
        <v>131231308</v>
      </c>
      <c r="D51" s="690">
        <v>136289145</v>
      </c>
    </row>
    <row r="52" spans="1:4" ht="15.75" customHeight="1">
      <c r="B52" s="691" t="s">
        <v>613</v>
      </c>
      <c r="C52" s="689">
        <v>50851319</v>
      </c>
      <c r="D52" s="690">
        <v>59769174</v>
      </c>
    </row>
    <row r="53" spans="1:4">
      <c r="B53" s="691" t="s">
        <v>595</v>
      </c>
      <c r="C53" s="689">
        <v>2645862</v>
      </c>
      <c r="D53" s="690">
        <v>667570</v>
      </c>
    </row>
    <row r="54" spans="1:4">
      <c r="B54" s="691" t="s">
        <v>902</v>
      </c>
      <c r="C54" s="689">
        <v>386953</v>
      </c>
      <c r="D54" s="690">
        <v>0</v>
      </c>
    </row>
    <row r="55" spans="1:4">
      <c r="B55" s="691" t="s">
        <v>652</v>
      </c>
      <c r="C55" s="689">
        <v>8928598</v>
      </c>
      <c r="D55" s="690">
        <v>8192500</v>
      </c>
    </row>
    <row r="56" spans="1:4">
      <c r="B56" s="691" t="s">
        <v>1141</v>
      </c>
      <c r="C56" s="689">
        <f>+'OTROS GASTOS OP, COM Y ADM'!C41</f>
        <v>215470658</v>
      </c>
      <c r="D56" s="690">
        <v>170642782</v>
      </c>
    </row>
    <row r="57" spans="1:4">
      <c r="B57" s="691"/>
      <c r="C57" s="707">
        <f>SUM(C48:C56)</f>
        <v>925137983</v>
      </c>
      <c r="D57" s="706">
        <f>SUM(D48:D56)</f>
        <v>882367995</v>
      </c>
    </row>
    <row r="58" spans="1:4" s="683" customFormat="1">
      <c r="A58" s="681"/>
      <c r="B58" s="700" t="s">
        <v>731</v>
      </c>
      <c r="C58" s="705">
        <f>+C40-C46-C57</f>
        <v>1439399264</v>
      </c>
      <c r="D58" s="709">
        <f>+D40-D46-D57</f>
        <v>711166810</v>
      </c>
    </row>
    <row r="59" spans="1:4" s="683" customFormat="1">
      <c r="A59" s="681"/>
      <c r="B59" s="700"/>
      <c r="C59" s="707"/>
      <c r="D59" s="706"/>
    </row>
    <row r="60" spans="1:4" s="683" customFormat="1">
      <c r="A60" s="681"/>
      <c r="B60" s="700" t="s">
        <v>724</v>
      </c>
      <c r="C60" s="708"/>
      <c r="D60" s="706"/>
    </row>
    <row r="61" spans="1:4" s="683" customFormat="1">
      <c r="A61" s="681"/>
      <c r="B61" s="700"/>
      <c r="C61" s="708"/>
      <c r="D61" s="706"/>
    </row>
    <row r="62" spans="1:4">
      <c r="B62" s="691" t="s">
        <v>551</v>
      </c>
      <c r="C62" s="689">
        <v>1604698</v>
      </c>
      <c r="D62" s="704">
        <v>47088544</v>
      </c>
    </row>
    <row r="63" spans="1:4">
      <c r="B63" s="691" t="s">
        <v>859</v>
      </c>
      <c r="C63" s="710">
        <v>5637330</v>
      </c>
      <c r="D63" s="711">
        <v>43453763</v>
      </c>
    </row>
    <row r="64" spans="1:4">
      <c r="B64" s="691"/>
      <c r="C64" s="710"/>
      <c r="D64" s="711"/>
    </row>
    <row r="65" spans="2:4">
      <c r="B65" s="700" t="s">
        <v>937</v>
      </c>
      <c r="C65" s="712"/>
      <c r="D65" s="711"/>
    </row>
    <row r="66" spans="2:4">
      <c r="B66" s="685" t="s">
        <v>936</v>
      </c>
      <c r="C66" s="712"/>
      <c r="D66" s="711"/>
    </row>
    <row r="67" spans="2:4">
      <c r="B67" s="713" t="s">
        <v>732</v>
      </c>
      <c r="C67" s="689">
        <f>29969059+141591666</f>
        <v>171560725</v>
      </c>
      <c r="D67" s="689">
        <v>76329712</v>
      </c>
    </row>
    <row r="68" spans="2:4">
      <c r="B68" s="691" t="s">
        <v>733</v>
      </c>
      <c r="C68" s="714">
        <v>2670329279</v>
      </c>
      <c r="D68" s="714">
        <v>-392240040</v>
      </c>
    </row>
    <row r="69" spans="2:4">
      <c r="B69" s="715"/>
      <c r="C69" s="716"/>
      <c r="D69" s="717"/>
    </row>
    <row r="70" spans="2:4">
      <c r="B70" s="685" t="s">
        <v>725</v>
      </c>
      <c r="C70" s="718"/>
      <c r="D70" s="719"/>
    </row>
    <row r="71" spans="2:4">
      <c r="B71" s="691" t="s">
        <v>734</v>
      </c>
      <c r="C71" s="714"/>
      <c r="D71" s="720">
        <v>0</v>
      </c>
    </row>
    <row r="72" spans="2:4">
      <c r="B72" s="691" t="s">
        <v>733</v>
      </c>
      <c r="C72" s="714">
        <v>-2436164760</v>
      </c>
      <c r="D72" s="720">
        <v>345473616</v>
      </c>
    </row>
    <row r="73" spans="2:4">
      <c r="B73" s="691"/>
      <c r="C73" s="714"/>
      <c r="D73" s="720"/>
    </row>
    <row r="74" spans="2:4">
      <c r="B74" s="700" t="s">
        <v>735</v>
      </c>
      <c r="C74" s="714">
        <v>0</v>
      </c>
      <c r="D74" s="704">
        <v>0</v>
      </c>
    </row>
    <row r="75" spans="2:4">
      <c r="B75" s="691" t="s">
        <v>949</v>
      </c>
      <c r="C75" s="714">
        <v>0</v>
      </c>
      <c r="D75" s="704">
        <v>0</v>
      </c>
    </row>
    <row r="76" spans="2:4">
      <c r="B76" s="691" t="s">
        <v>736</v>
      </c>
      <c r="C76" s="714">
        <v>0</v>
      </c>
      <c r="D76" s="704">
        <v>0</v>
      </c>
    </row>
    <row r="77" spans="2:4">
      <c r="B77" s="691"/>
      <c r="C77" s="721"/>
      <c r="D77" s="704"/>
    </row>
    <row r="78" spans="2:4">
      <c r="B78" s="700" t="s">
        <v>737</v>
      </c>
      <c r="C78" s="721"/>
      <c r="D78" s="704"/>
    </row>
    <row r="79" spans="2:4">
      <c r="B79" s="691" t="s">
        <v>668</v>
      </c>
      <c r="C79" s="714">
        <v>0</v>
      </c>
      <c r="D79" s="704">
        <v>0</v>
      </c>
    </row>
    <row r="80" spans="2:4">
      <c r="B80" s="691" t="s">
        <v>346</v>
      </c>
      <c r="C80" s="714">
        <v>0</v>
      </c>
      <c r="D80" s="704">
        <v>0</v>
      </c>
    </row>
    <row r="81" spans="1:4">
      <c r="B81" s="691"/>
      <c r="C81" s="721"/>
      <c r="D81" s="704"/>
    </row>
    <row r="82" spans="1:4" s="683" customFormat="1">
      <c r="A82" s="681"/>
      <c r="B82" s="700" t="s">
        <v>950</v>
      </c>
      <c r="C82" s="705">
        <f>+C58+C62-C63+C67+C68-C71+C72+C75-C76</f>
        <v>1841091876</v>
      </c>
      <c r="D82" s="722">
        <f>+D58+D62-D63+D67+D68-D71+D72+D75-D76</f>
        <v>744364879</v>
      </c>
    </row>
    <row r="83" spans="1:4">
      <c r="B83" s="700" t="s">
        <v>244</v>
      </c>
      <c r="C83" s="689">
        <v>184571841</v>
      </c>
      <c r="D83" s="704">
        <v>74567168</v>
      </c>
    </row>
    <row r="84" spans="1:4" ht="15.75" thickBot="1">
      <c r="B84" s="723" t="s">
        <v>612</v>
      </c>
      <c r="C84" s="710">
        <v>82826002</v>
      </c>
      <c r="D84" s="711">
        <v>33489886</v>
      </c>
    </row>
    <row r="85" spans="1:4" ht="15.75" thickBot="1">
      <c r="B85" s="724" t="s">
        <v>633</v>
      </c>
      <c r="C85" s="725">
        <f>+C82-C83-C84</f>
        <v>1573694033</v>
      </c>
      <c r="D85" s="726">
        <f>+D82-D83-D84</f>
        <v>636307825</v>
      </c>
    </row>
    <row r="86" spans="1:4" s="731" customFormat="1">
      <c r="A86" s="727"/>
      <c r="B86" s="728"/>
      <c r="C86" s="729"/>
      <c r="D86" s="730"/>
    </row>
    <row r="87" spans="1:4">
      <c r="B87" s="646" t="s">
        <v>1159</v>
      </c>
      <c r="C87" s="732"/>
    </row>
    <row r="88" spans="1:4">
      <c r="C88" s="732"/>
    </row>
    <row r="89" spans="1:4">
      <c r="C89" s="733"/>
    </row>
    <row r="90" spans="1:4">
      <c r="C90" s="734"/>
    </row>
    <row r="94" spans="1:4">
      <c r="B94" s="1124" t="s">
        <v>1043</v>
      </c>
      <c r="C94" s="1124"/>
      <c r="D94" s="1124"/>
    </row>
    <row r="95" spans="1:4">
      <c r="B95" s="1124" t="s">
        <v>1117</v>
      </c>
      <c r="C95" s="1124"/>
      <c r="D95" s="1124"/>
    </row>
    <row r="96" spans="1:4">
      <c r="B96" s="1124" t="s">
        <v>1014</v>
      </c>
      <c r="C96" s="1124"/>
      <c r="D96" s="1124"/>
    </row>
  </sheetData>
  <sortState ref="B65:B73">
    <sortCondition ref="B65"/>
  </sortState>
  <mergeCells count="7">
    <mergeCell ref="B94:D94"/>
    <mergeCell ref="B95:D95"/>
    <mergeCell ref="B96:D96"/>
    <mergeCell ref="B3:D3"/>
    <mergeCell ref="B9:B10"/>
    <mergeCell ref="B6:D6"/>
    <mergeCell ref="B7:D7"/>
  </mergeCells>
  <phoneticPr fontId="42" type="noConversion"/>
  <pageMargins left="0.70866141732283472" right="0.39370078740157483" top="1.0236220472440944" bottom="0.59055118110236227" header="0.51181102362204722" footer="0.51181102362204722"/>
  <pageSetup paperSize="9" scale="45"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0C0"/>
    <pageSetUpPr fitToPage="1"/>
  </sheetPr>
  <dimension ref="B7:G46"/>
  <sheetViews>
    <sheetView showGridLines="0" zoomScale="80" zoomScaleNormal="80" workbookViewId="0">
      <selection activeCell="B10" sqref="B10:G37"/>
    </sheetView>
  </sheetViews>
  <sheetFormatPr baseColWidth="10" defaultColWidth="11.42578125" defaultRowHeight="15"/>
  <cols>
    <col min="1" max="1" width="4.28515625" style="736" customWidth="1"/>
    <col min="2" max="2" width="11.42578125" style="736"/>
    <col min="3" max="3" width="17.5703125" style="736" customWidth="1"/>
    <col min="4" max="4" width="15.7109375" style="736" customWidth="1"/>
    <col min="5" max="5" width="51" style="736" customWidth="1"/>
    <col min="6" max="6" width="24.28515625" style="443" customWidth="1"/>
    <col min="7" max="7" width="29.28515625" style="736" customWidth="1"/>
    <col min="8" max="16384" width="11.42578125" style="736"/>
  </cols>
  <sheetData>
    <row r="7" spans="2:7" ht="24" customHeight="1">
      <c r="B7" s="1141" t="s">
        <v>941</v>
      </c>
      <c r="C7" s="1141"/>
      <c r="D7" s="1141"/>
      <c r="E7" s="1141"/>
      <c r="F7" s="1141"/>
      <c r="G7" s="1141"/>
    </row>
    <row r="8" spans="2:7" ht="24" customHeight="1">
      <c r="B8" s="1141" t="s">
        <v>1297</v>
      </c>
      <c r="C8" s="1141"/>
      <c r="D8" s="1141"/>
      <c r="E8" s="1141"/>
      <c r="F8" s="1141"/>
      <c r="G8" s="1141"/>
    </row>
    <row r="9" spans="2:7">
      <c r="B9" s="1137" t="s">
        <v>1016</v>
      </c>
      <c r="C9" s="1137"/>
      <c r="D9" s="1137"/>
      <c r="E9" s="1137"/>
      <c r="F9" s="1137"/>
      <c r="G9" s="1137"/>
    </row>
    <row r="10" spans="2:7" ht="15.75" thickBot="1">
      <c r="B10" s="737"/>
      <c r="C10" s="737"/>
      <c r="D10" s="737"/>
      <c r="E10" s="737"/>
      <c r="F10" s="738">
        <v>44926</v>
      </c>
      <c r="G10" s="738">
        <v>44561</v>
      </c>
    </row>
    <row r="11" spans="2:7">
      <c r="B11" s="739"/>
      <c r="C11" s="740"/>
      <c r="D11" s="740"/>
      <c r="E11" s="741"/>
      <c r="F11" s="742" t="s">
        <v>1309</v>
      </c>
      <c r="G11" s="743" t="s">
        <v>944</v>
      </c>
    </row>
    <row r="12" spans="2:7" ht="15.75" thickBot="1">
      <c r="B12" s="744"/>
      <c r="C12" s="745"/>
      <c r="D12" s="745"/>
      <c r="E12" s="746"/>
      <c r="F12" s="747">
        <v>2022</v>
      </c>
      <c r="G12" s="748">
        <v>2021</v>
      </c>
    </row>
    <row r="13" spans="2:7" ht="21.95" customHeight="1">
      <c r="B13" s="749" t="s">
        <v>924</v>
      </c>
      <c r="C13" s="750"/>
      <c r="D13" s="750"/>
      <c r="E13" s="750"/>
      <c r="F13" s="751"/>
      <c r="G13" s="752"/>
    </row>
    <row r="14" spans="2:7" ht="21.95" customHeight="1">
      <c r="B14" s="753" t="s">
        <v>909</v>
      </c>
      <c r="C14" s="754"/>
      <c r="D14" s="754"/>
      <c r="E14" s="754"/>
      <c r="F14" s="755">
        <v>5361272625</v>
      </c>
      <c r="G14" s="756">
        <v>3702050272</v>
      </c>
    </row>
    <row r="15" spans="2:7" ht="21.95" customHeight="1">
      <c r="B15" s="753" t="s">
        <v>910</v>
      </c>
      <c r="C15" s="754"/>
      <c r="D15" s="754"/>
      <c r="E15" s="754"/>
      <c r="F15" s="755">
        <v>40006392963</v>
      </c>
      <c r="G15" s="756">
        <v>3219407757</v>
      </c>
    </row>
    <row r="16" spans="2:7" ht="21.95" customHeight="1">
      <c r="B16" s="753" t="s">
        <v>911</v>
      </c>
      <c r="C16" s="754"/>
      <c r="D16" s="754"/>
      <c r="E16" s="754"/>
      <c r="F16" s="755">
        <v>0</v>
      </c>
      <c r="G16" s="756">
        <v>0</v>
      </c>
    </row>
    <row r="17" spans="2:7" ht="21.95" customHeight="1">
      <c r="B17" s="753" t="s">
        <v>912</v>
      </c>
      <c r="C17" s="754"/>
      <c r="D17" s="754"/>
      <c r="E17" s="754"/>
      <c r="F17" s="755">
        <v>-281992854</v>
      </c>
      <c r="G17" s="756">
        <v>-223907727</v>
      </c>
    </row>
    <row r="18" spans="2:7" ht="21.95" customHeight="1">
      <c r="B18" s="753" t="s">
        <v>913</v>
      </c>
      <c r="C18" s="754"/>
      <c r="D18" s="754"/>
      <c r="E18" s="754"/>
      <c r="F18" s="755">
        <v>-669717701.34500003</v>
      </c>
      <c r="G18" s="756">
        <v>-731505632</v>
      </c>
    </row>
    <row r="19" spans="2:7" ht="21.95" customHeight="1">
      <c r="B19" s="753" t="s">
        <v>914</v>
      </c>
      <c r="C19" s="754"/>
      <c r="D19" s="754"/>
      <c r="E19" s="754"/>
      <c r="F19" s="755">
        <v>-98984308</v>
      </c>
      <c r="G19" s="756">
        <v>-58206820</v>
      </c>
    </row>
    <row r="20" spans="2:7" ht="35.25" customHeight="1">
      <c r="B20" s="1138" t="s">
        <v>925</v>
      </c>
      <c r="C20" s="1139"/>
      <c r="D20" s="1139"/>
      <c r="E20" s="1140"/>
      <c r="F20" s="757">
        <f>SUM(F14:F19)</f>
        <v>44316970724.654999</v>
      </c>
      <c r="G20" s="758">
        <f>SUM(G14:G19)</f>
        <v>5907837850</v>
      </c>
    </row>
    <row r="21" spans="2:7">
      <c r="B21" s="759" t="s">
        <v>926</v>
      </c>
      <c r="C21" s="754"/>
      <c r="D21" s="754"/>
      <c r="E21" s="754"/>
      <c r="F21" s="760"/>
      <c r="G21" s="761"/>
    </row>
    <row r="22" spans="2:7" ht="21.6" customHeight="1">
      <c r="B22" s="753" t="s">
        <v>915</v>
      </c>
      <c r="C22" s="754"/>
      <c r="D22" s="754"/>
      <c r="E22" s="754"/>
      <c r="F22" s="760">
        <v>-87095891</v>
      </c>
      <c r="G22" s="761">
        <v>808097407</v>
      </c>
    </row>
    <row r="23" spans="2:7" ht="21.6" customHeight="1">
      <c r="B23" s="753" t="s">
        <v>916</v>
      </c>
      <c r="C23" s="754"/>
      <c r="D23" s="754"/>
      <c r="E23" s="754"/>
      <c r="F23" s="760">
        <v>-2502471091</v>
      </c>
      <c r="G23" s="761">
        <v>-1905719813</v>
      </c>
    </row>
    <row r="24" spans="2:7" ht="21.6" customHeight="1">
      <c r="B24" s="753" t="s">
        <v>917</v>
      </c>
      <c r="C24" s="754"/>
      <c r="D24" s="754"/>
      <c r="E24" s="754"/>
      <c r="F24" s="755">
        <v>-11636364</v>
      </c>
      <c r="G24" s="756">
        <v>-32936817</v>
      </c>
    </row>
    <row r="25" spans="2:7" ht="21.95" customHeight="1">
      <c r="B25" s="762" t="s">
        <v>927</v>
      </c>
      <c r="C25" s="763"/>
      <c r="D25" s="763"/>
      <c r="E25" s="764"/>
      <c r="F25" s="757">
        <f>SUM(F22:F24)</f>
        <v>-2601203346</v>
      </c>
      <c r="G25" s="758">
        <f>SUM(G22:G24)</f>
        <v>-1130559223</v>
      </c>
    </row>
    <row r="26" spans="2:7" ht="21.95" customHeight="1">
      <c r="B26" s="759" t="s">
        <v>928</v>
      </c>
      <c r="C26" s="754"/>
      <c r="D26" s="754"/>
      <c r="E26" s="754"/>
      <c r="F26" s="760"/>
      <c r="G26" s="761"/>
    </row>
    <row r="27" spans="2:7" ht="21.95" customHeight="1">
      <c r="B27" s="765" t="s">
        <v>918</v>
      </c>
      <c r="C27" s="766"/>
      <c r="D27" s="766"/>
      <c r="E27" s="766"/>
      <c r="F27" s="755">
        <v>0</v>
      </c>
      <c r="G27" s="756">
        <v>825974514</v>
      </c>
    </row>
    <row r="28" spans="2:7" ht="21.95" customHeight="1">
      <c r="B28" s="765" t="s">
        <v>919</v>
      </c>
      <c r="C28" s="766"/>
      <c r="D28" s="766"/>
      <c r="E28" s="766"/>
      <c r="F28" s="755">
        <v>0</v>
      </c>
      <c r="G28" s="756">
        <v>0</v>
      </c>
    </row>
    <row r="29" spans="2:7" ht="21.95" customHeight="1">
      <c r="B29" s="765" t="s">
        <v>920</v>
      </c>
      <c r="C29" s="754"/>
      <c r="D29" s="754"/>
      <c r="E29" s="754"/>
      <c r="F29" s="755">
        <v>0</v>
      </c>
      <c r="G29" s="756">
        <v>0</v>
      </c>
    </row>
    <row r="30" spans="2:7" ht="21.95" customHeight="1">
      <c r="B30" s="765" t="s">
        <v>921</v>
      </c>
      <c r="C30" s="754"/>
      <c r="D30" s="754"/>
      <c r="E30" s="754"/>
      <c r="F30" s="755">
        <v>1857454855</v>
      </c>
      <c r="G30" s="756">
        <v>-13130252</v>
      </c>
    </row>
    <row r="31" spans="2:7" ht="21.95" customHeight="1">
      <c r="B31" s="762" t="s">
        <v>929</v>
      </c>
      <c r="C31" s="763"/>
      <c r="D31" s="763"/>
      <c r="E31" s="763"/>
      <c r="F31" s="757">
        <f>SUM(F27:F30)</f>
        <v>1857454855</v>
      </c>
      <c r="G31" s="758">
        <f>SUM(G27:G30)</f>
        <v>812844262</v>
      </c>
    </row>
    <row r="32" spans="2:7" s="771" customFormat="1" ht="21.95" customHeight="1">
      <c r="B32" s="762" t="s">
        <v>930</v>
      </c>
      <c r="C32" s="767"/>
      <c r="D32" s="767"/>
      <c r="E32" s="768"/>
      <c r="F32" s="769">
        <v>234164519</v>
      </c>
      <c r="G32" s="770">
        <v>-46766424</v>
      </c>
    </row>
    <row r="33" spans="2:7" ht="21.95" customHeight="1">
      <c r="B33" s="765" t="s">
        <v>922</v>
      </c>
      <c r="C33" s="754"/>
      <c r="D33" s="754"/>
      <c r="E33" s="754"/>
      <c r="F33" s="755">
        <f>+F20+F25+F31+F32</f>
        <v>43807386752.654999</v>
      </c>
      <c r="G33" s="756">
        <f>+G20+G25+G31+G32</f>
        <v>5543356465</v>
      </c>
    </row>
    <row r="34" spans="2:7" ht="21.95" customHeight="1" thickBot="1">
      <c r="B34" s="765" t="s">
        <v>923</v>
      </c>
      <c r="C34" s="754"/>
      <c r="D34" s="754"/>
      <c r="E34" s="754"/>
      <c r="F34" s="755">
        <v>14856168319</v>
      </c>
      <c r="G34" s="756">
        <v>9312811854</v>
      </c>
    </row>
    <row r="35" spans="2:7" ht="31.5" customHeight="1" thickBot="1">
      <c r="B35" s="1088" t="s">
        <v>931</v>
      </c>
      <c r="C35" s="1089"/>
      <c r="D35" s="1089"/>
      <c r="E35" s="1089"/>
      <c r="F35" s="1090">
        <f>SUM(F33:F34)</f>
        <v>58663555071.654999</v>
      </c>
      <c r="G35" s="1090">
        <f>SUM(G33:G34)</f>
        <v>14856168319</v>
      </c>
    </row>
    <row r="36" spans="2:7" ht="31.5" customHeight="1">
      <c r="B36" s="772"/>
      <c r="C36" s="766"/>
      <c r="D36" s="766"/>
      <c r="E36" s="766"/>
      <c r="F36" s="773"/>
      <c r="G36" s="773"/>
    </row>
    <row r="37" spans="2:7">
      <c r="B37" s="737"/>
      <c r="C37" s="646" t="s">
        <v>1159</v>
      </c>
      <c r="D37" s="737"/>
      <c r="E37" s="737"/>
      <c r="F37" s="774"/>
      <c r="G37" s="774"/>
    </row>
    <row r="38" spans="2:7">
      <c r="B38" s="737"/>
      <c r="C38" s="737"/>
      <c r="D38" s="737"/>
      <c r="E38" s="737"/>
      <c r="F38" s="775"/>
      <c r="G38" s="775"/>
    </row>
    <row r="39" spans="2:7">
      <c r="F39" s="736"/>
      <c r="G39" s="737"/>
    </row>
    <row r="40" spans="2:7">
      <c r="F40" s="736"/>
      <c r="G40" s="737"/>
    </row>
    <row r="41" spans="2:7">
      <c r="F41" s="736"/>
      <c r="G41" s="737"/>
    </row>
    <row r="42" spans="2:7">
      <c r="F42" s="736"/>
      <c r="G42" s="737"/>
    </row>
    <row r="43" spans="2:7">
      <c r="F43" s="736"/>
      <c r="G43" s="737"/>
    </row>
    <row r="44" spans="2:7">
      <c r="B44" s="1124" t="s">
        <v>1043</v>
      </c>
      <c r="C44" s="1124"/>
      <c r="D44" s="1124"/>
      <c r="E44" s="1124"/>
      <c r="F44" s="1124"/>
      <c r="G44" s="1124"/>
    </row>
    <row r="45" spans="2:7">
      <c r="B45" s="1124" t="s">
        <v>1117</v>
      </c>
      <c r="C45" s="1124"/>
      <c r="D45" s="1124"/>
      <c r="E45" s="1124"/>
      <c r="F45" s="1124"/>
      <c r="G45" s="1124"/>
    </row>
    <row r="46" spans="2:7">
      <c r="B46" s="1124" t="s">
        <v>1014</v>
      </c>
      <c r="C46" s="1124"/>
      <c r="D46" s="1124"/>
      <c r="E46" s="1124"/>
      <c r="F46" s="1124"/>
      <c r="G46" s="1124"/>
    </row>
  </sheetData>
  <mergeCells count="7">
    <mergeCell ref="B46:G46"/>
    <mergeCell ref="B9:G9"/>
    <mergeCell ref="B20:E20"/>
    <mergeCell ref="B7:G7"/>
    <mergeCell ref="B8:G8"/>
    <mergeCell ref="B44:G44"/>
    <mergeCell ref="B45:G45"/>
  </mergeCells>
  <phoneticPr fontId="22" type="noConversion"/>
  <pageMargins left="0.70866141732283472" right="0.39370078740157483" top="1.0236220472440944" bottom="0.59055118110236227" header="0.51181102362204722" footer="0.51181102362204722"/>
  <pageSetup paperSize="9" scale="62" orientation="portrait" r:id="rId1"/>
  <ignoredErrors>
    <ignoredError sqref="G35"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O40"/>
  <sheetViews>
    <sheetView showGridLines="0" topLeftCell="A7" zoomScale="70" zoomScaleNormal="70" workbookViewId="0">
      <selection activeCell="A21" sqref="A13:L27"/>
    </sheetView>
  </sheetViews>
  <sheetFormatPr baseColWidth="10" defaultColWidth="11.42578125" defaultRowHeight="15"/>
  <cols>
    <col min="1" max="1" width="47.28515625" style="412" bestFit="1" customWidth="1"/>
    <col min="2" max="2" width="18.140625" style="412" bestFit="1" customWidth="1"/>
    <col min="3" max="3" width="20.5703125" style="412" bestFit="1" customWidth="1"/>
    <col min="4" max="4" width="21.28515625" style="412" bestFit="1" customWidth="1"/>
    <col min="5" max="5" width="17.140625" style="412" bestFit="1" customWidth="1"/>
    <col min="6" max="6" width="21.28515625" style="412" bestFit="1" customWidth="1"/>
    <col min="7" max="7" width="20.7109375" style="412" bestFit="1" customWidth="1"/>
    <col min="8" max="8" width="17.140625" style="412" bestFit="1" customWidth="1"/>
    <col min="9" max="9" width="20.7109375" style="412" bestFit="1" customWidth="1"/>
    <col min="10" max="10" width="22.42578125" style="412" bestFit="1" customWidth="1"/>
    <col min="11" max="12" width="21" style="412" bestFit="1" customWidth="1"/>
    <col min="13" max="13" width="12.5703125" style="412" bestFit="1" customWidth="1"/>
    <col min="14" max="14" width="14" style="412" bestFit="1" customWidth="1"/>
    <col min="15" max="16384" width="11.42578125" style="412"/>
  </cols>
  <sheetData>
    <row r="4" spans="1:12">
      <c r="A4" s="1146"/>
      <c r="B4" s="1146"/>
      <c r="C4" s="1146"/>
      <c r="D4" s="1146"/>
      <c r="E4" s="1146"/>
      <c r="F4" s="1146"/>
      <c r="G4" s="1146"/>
      <c r="H4" s="1146"/>
      <c r="I4" s="1146"/>
      <c r="J4" s="1146"/>
      <c r="K4" s="776"/>
      <c r="L4" s="776"/>
    </row>
    <row r="5" spans="1:12">
      <c r="A5" s="777"/>
      <c r="B5" s="777"/>
      <c r="C5" s="777"/>
      <c r="D5" s="777"/>
      <c r="E5" s="777"/>
      <c r="F5" s="777"/>
      <c r="G5" s="777"/>
      <c r="H5" s="777"/>
      <c r="I5" s="777"/>
      <c r="J5" s="777"/>
      <c r="K5" s="776"/>
      <c r="L5" s="776"/>
    </row>
    <row r="6" spans="1:12">
      <c r="A6" s="777"/>
      <c r="B6" s="777"/>
      <c r="C6" s="777"/>
      <c r="D6" s="777"/>
      <c r="E6" s="777"/>
      <c r="F6" s="777"/>
      <c r="G6" s="777"/>
      <c r="H6" s="777"/>
      <c r="I6" s="777"/>
      <c r="J6" s="777"/>
      <c r="K6" s="776"/>
      <c r="L6" s="776"/>
    </row>
    <row r="7" spans="1:12">
      <c r="A7" s="777"/>
      <c r="B7" s="777"/>
      <c r="C7" s="777"/>
      <c r="D7" s="777"/>
      <c r="E7" s="777"/>
      <c r="F7" s="777"/>
      <c r="G7" s="777"/>
      <c r="H7" s="777"/>
      <c r="I7" s="777"/>
      <c r="J7" s="777"/>
      <c r="K7" s="776"/>
      <c r="L7" s="776"/>
    </row>
    <row r="8" spans="1:12">
      <c r="A8" s="777"/>
      <c r="B8" s="777"/>
      <c r="C8" s="777"/>
      <c r="D8" s="777"/>
      <c r="E8" s="777"/>
      <c r="F8" s="777"/>
      <c r="G8" s="777"/>
      <c r="H8" s="777"/>
      <c r="I8" s="777"/>
      <c r="J8" s="777"/>
      <c r="K8" s="776"/>
      <c r="L8" s="776"/>
    </row>
    <row r="9" spans="1:12">
      <c r="A9" s="1150" t="s">
        <v>942</v>
      </c>
      <c r="B9" s="1150"/>
      <c r="C9" s="1150"/>
      <c r="D9" s="1150"/>
      <c r="E9" s="1150"/>
      <c r="F9" s="1150"/>
      <c r="G9" s="1150"/>
      <c r="H9" s="1150"/>
      <c r="I9" s="1150"/>
      <c r="J9" s="1150"/>
      <c r="K9" s="1150"/>
      <c r="L9" s="1150"/>
    </row>
    <row r="10" spans="1:12">
      <c r="A10" s="1150" t="s">
        <v>1297</v>
      </c>
      <c r="B10" s="1150"/>
      <c r="C10" s="1150"/>
      <c r="D10" s="1150"/>
      <c r="E10" s="1150"/>
      <c r="F10" s="1150"/>
      <c r="G10" s="1150"/>
      <c r="H10" s="1150"/>
      <c r="I10" s="1150"/>
      <c r="J10" s="1150"/>
      <c r="K10" s="1150"/>
      <c r="L10" s="1150"/>
    </row>
    <row r="11" spans="1:12">
      <c r="A11" s="1151" t="s">
        <v>1015</v>
      </c>
      <c r="B11" s="1151"/>
      <c r="C11" s="1151"/>
      <c r="D11" s="1151"/>
      <c r="E11" s="1151"/>
      <c r="F11" s="1151"/>
      <c r="G11" s="1151"/>
      <c r="H11" s="1151"/>
      <c r="I11" s="1151"/>
      <c r="J11" s="1151"/>
      <c r="K11" s="1151"/>
      <c r="L11" s="1151"/>
    </row>
    <row r="12" spans="1:12" ht="15.75" thickBot="1">
      <c r="A12" s="776"/>
      <c r="B12" s="778"/>
      <c r="C12" s="778"/>
      <c r="D12" s="778"/>
      <c r="E12" s="778"/>
      <c r="F12" s="778"/>
      <c r="G12" s="778"/>
      <c r="H12" s="778"/>
      <c r="I12" s="778"/>
      <c r="J12" s="778"/>
      <c r="K12" s="778"/>
      <c r="L12" s="778"/>
    </row>
    <row r="13" spans="1:12" ht="15" customHeight="1">
      <c r="A13" s="1147" t="s">
        <v>342</v>
      </c>
      <c r="B13" s="1156" t="s">
        <v>129</v>
      </c>
      <c r="C13" s="1142"/>
      <c r="D13" s="1157"/>
      <c r="E13" s="1156" t="s">
        <v>741</v>
      </c>
      <c r="F13" s="1142"/>
      <c r="G13" s="1142"/>
      <c r="H13" s="1157"/>
      <c r="I13" s="1156" t="s">
        <v>745</v>
      </c>
      <c r="J13" s="1142"/>
      <c r="K13" s="1142" t="s">
        <v>128</v>
      </c>
      <c r="L13" s="1143"/>
    </row>
    <row r="14" spans="1:12" ht="15" customHeight="1">
      <c r="A14" s="1148"/>
      <c r="B14" s="1158"/>
      <c r="C14" s="1144"/>
      <c r="D14" s="1159"/>
      <c r="E14" s="1158"/>
      <c r="F14" s="1144"/>
      <c r="G14" s="1144"/>
      <c r="H14" s="1159"/>
      <c r="I14" s="1158"/>
      <c r="J14" s="1144"/>
      <c r="K14" s="1144"/>
      <c r="L14" s="1145"/>
    </row>
    <row r="15" spans="1:12">
      <c r="A15" s="1149"/>
      <c r="B15" s="779" t="s">
        <v>738</v>
      </c>
      <c r="C15" s="779" t="s">
        <v>752</v>
      </c>
      <c r="D15" s="779" t="s">
        <v>740</v>
      </c>
      <c r="E15" s="1152" t="s">
        <v>742</v>
      </c>
      <c r="F15" s="1153" t="s">
        <v>743</v>
      </c>
      <c r="G15" s="1154" t="s">
        <v>53</v>
      </c>
      <c r="H15" s="1155" t="s">
        <v>744</v>
      </c>
      <c r="I15" s="1160" t="s">
        <v>746</v>
      </c>
      <c r="J15" s="1160" t="s">
        <v>747</v>
      </c>
      <c r="K15" s="780" t="s">
        <v>533</v>
      </c>
      <c r="L15" s="781" t="s">
        <v>533</v>
      </c>
    </row>
    <row r="16" spans="1:12">
      <c r="A16" s="1149"/>
      <c r="B16" s="779"/>
      <c r="C16" s="779" t="s">
        <v>739</v>
      </c>
      <c r="D16" s="779"/>
      <c r="E16" s="1152"/>
      <c r="F16" s="1153"/>
      <c r="G16" s="1154"/>
      <c r="H16" s="1155"/>
      <c r="I16" s="1161"/>
      <c r="J16" s="1161"/>
      <c r="K16" s="780" t="s">
        <v>717</v>
      </c>
      <c r="L16" s="781" t="s">
        <v>718</v>
      </c>
    </row>
    <row r="17" spans="1:15" ht="24" customHeight="1">
      <c r="A17" s="782" t="s">
        <v>932</v>
      </c>
      <c r="B17" s="783">
        <v>0</v>
      </c>
      <c r="C17" s="783">
        <v>0</v>
      </c>
      <c r="D17" s="783">
        <v>2970000000</v>
      </c>
      <c r="E17" s="783">
        <v>87793879</v>
      </c>
      <c r="F17" s="783">
        <v>0</v>
      </c>
      <c r="G17" s="783">
        <v>765431553</v>
      </c>
      <c r="H17" s="783">
        <v>21824713</v>
      </c>
      <c r="I17" s="783">
        <v>0</v>
      </c>
      <c r="J17" s="783">
        <v>636307825</v>
      </c>
      <c r="K17" s="783">
        <f>SUM(B17:J17)</f>
        <v>4481357970</v>
      </c>
      <c r="L17" s="784">
        <v>3299585745</v>
      </c>
    </row>
    <row r="18" spans="1:15" ht="24" customHeight="1">
      <c r="A18" s="782" t="s">
        <v>748</v>
      </c>
      <c r="B18" s="783">
        <v>0</v>
      </c>
      <c r="C18" s="785">
        <v>0</v>
      </c>
      <c r="D18" s="785">
        <v>0</v>
      </c>
      <c r="E18" s="783">
        <v>82826002</v>
      </c>
      <c r="F18" s="783">
        <v>636307825</v>
      </c>
      <c r="G18" s="783">
        <v>102000000</v>
      </c>
      <c r="H18" s="783">
        <v>0</v>
      </c>
      <c r="I18" s="783">
        <v>-636307825</v>
      </c>
      <c r="J18" s="783">
        <v>0</v>
      </c>
      <c r="K18" s="783">
        <f t="shared" ref="K18:K23" si="0">SUM(B18:J18)</f>
        <v>184826002</v>
      </c>
      <c r="L18" s="784">
        <v>496464400</v>
      </c>
      <c r="M18" s="786"/>
    </row>
    <row r="19" spans="1:15" ht="24" customHeight="1">
      <c r="A19" s="787" t="s">
        <v>948</v>
      </c>
      <c r="B19" s="785">
        <v>0</v>
      </c>
      <c r="C19" s="785">
        <v>0</v>
      </c>
      <c r="D19" s="785">
        <v>0</v>
      </c>
      <c r="E19" s="785">
        <v>0</v>
      </c>
      <c r="F19" s="785">
        <v>0</v>
      </c>
      <c r="G19" s="785">
        <v>0</v>
      </c>
      <c r="H19" s="785">
        <v>0</v>
      </c>
      <c r="I19" s="785">
        <v>0</v>
      </c>
      <c r="J19" s="785">
        <v>0</v>
      </c>
      <c r="K19" s="783">
        <f t="shared" si="0"/>
        <v>0</v>
      </c>
      <c r="L19" s="788">
        <v>0</v>
      </c>
    </row>
    <row r="20" spans="1:15" ht="24" customHeight="1">
      <c r="A20" s="787" t="s">
        <v>749</v>
      </c>
      <c r="B20" s="785">
        <v>0</v>
      </c>
      <c r="C20" s="785">
        <v>0</v>
      </c>
      <c r="D20" s="785">
        <v>0</v>
      </c>
      <c r="E20" s="785">
        <v>0</v>
      </c>
      <c r="F20" s="785">
        <v>0</v>
      </c>
      <c r="G20" s="785">
        <v>0</v>
      </c>
      <c r="H20" s="785">
        <v>0</v>
      </c>
      <c r="I20" s="789">
        <v>0</v>
      </c>
      <c r="J20" s="785">
        <v>0</v>
      </c>
      <c r="K20" s="783">
        <f t="shared" si="0"/>
        <v>0</v>
      </c>
      <c r="L20" s="788">
        <v>0</v>
      </c>
    </row>
    <row r="21" spans="1:15" ht="24" customHeight="1">
      <c r="A21" s="787" t="s">
        <v>1344</v>
      </c>
      <c r="B21" s="785">
        <v>0</v>
      </c>
      <c r="C21" s="785">
        <v>0</v>
      </c>
      <c r="D21" s="785">
        <v>0</v>
      </c>
      <c r="E21" s="785">
        <v>0</v>
      </c>
      <c r="F21" s="785">
        <v>0</v>
      </c>
      <c r="G21" s="785">
        <v>0</v>
      </c>
      <c r="H21" s="785">
        <v>0</v>
      </c>
      <c r="I21" s="785">
        <v>0</v>
      </c>
      <c r="J21" s="785">
        <v>0</v>
      </c>
      <c r="K21" s="783">
        <f t="shared" si="0"/>
        <v>0</v>
      </c>
      <c r="L21" s="788">
        <v>49000000</v>
      </c>
    </row>
    <row r="22" spans="1:15" ht="24" customHeight="1">
      <c r="A22" s="787" t="s">
        <v>1036</v>
      </c>
      <c r="B22" s="785">
        <v>0</v>
      </c>
      <c r="C22" s="785">
        <v>0</v>
      </c>
      <c r="D22" s="785">
        <v>0</v>
      </c>
      <c r="E22" s="785">
        <v>0</v>
      </c>
      <c r="F22" s="785">
        <v>0</v>
      </c>
      <c r="G22" s="785">
        <v>0</v>
      </c>
      <c r="H22" s="785">
        <v>0</v>
      </c>
      <c r="I22" s="783">
        <v>636307825</v>
      </c>
      <c r="J22" s="783">
        <v>-636307825</v>
      </c>
      <c r="K22" s="783">
        <f t="shared" si="0"/>
        <v>0</v>
      </c>
      <c r="L22" s="788">
        <v>0</v>
      </c>
    </row>
    <row r="23" spans="1:15" ht="24" customHeight="1">
      <c r="A23" s="782" t="s">
        <v>633</v>
      </c>
      <c r="B23" s="783">
        <v>0</v>
      </c>
      <c r="C23" s="783">
        <v>0</v>
      </c>
      <c r="D23" s="783">
        <v>0</v>
      </c>
      <c r="E23" s="783">
        <v>0</v>
      </c>
      <c r="F23" s="783">
        <v>0</v>
      </c>
      <c r="G23" s="783">
        <v>0</v>
      </c>
      <c r="H23" s="783">
        <v>0</v>
      </c>
      <c r="I23" s="783">
        <v>0</v>
      </c>
      <c r="J23" s="785">
        <v>1573694033</v>
      </c>
      <c r="K23" s="783">
        <f t="shared" si="0"/>
        <v>1573694033</v>
      </c>
      <c r="L23" s="784">
        <v>636307825</v>
      </c>
    </row>
    <row r="24" spans="1:15" ht="24" customHeight="1">
      <c r="A24" s="790" t="s">
        <v>750</v>
      </c>
      <c r="B24" s="791">
        <v>0</v>
      </c>
      <c r="C24" s="791">
        <f t="shared" ref="C24:K24" si="1">SUM(C17:C23)</f>
        <v>0</v>
      </c>
      <c r="D24" s="791">
        <f t="shared" si="1"/>
        <v>2970000000</v>
      </c>
      <c r="E24" s="791">
        <f t="shared" si="1"/>
        <v>170619881</v>
      </c>
      <c r="F24" s="791">
        <f t="shared" si="1"/>
        <v>636307825</v>
      </c>
      <c r="G24" s="791">
        <f t="shared" si="1"/>
        <v>867431553</v>
      </c>
      <c r="H24" s="791">
        <f t="shared" si="1"/>
        <v>21824713</v>
      </c>
      <c r="I24" s="791">
        <f t="shared" si="1"/>
        <v>0</v>
      </c>
      <c r="J24" s="791">
        <f t="shared" si="1"/>
        <v>1573694033</v>
      </c>
      <c r="K24" s="791">
        <f t="shared" si="1"/>
        <v>6239878005</v>
      </c>
      <c r="L24" s="792">
        <v>0</v>
      </c>
      <c r="N24" s="786"/>
      <c r="O24" s="786"/>
    </row>
    <row r="25" spans="1:15" ht="24" customHeight="1" thickBot="1">
      <c r="A25" s="793" t="s">
        <v>751</v>
      </c>
      <c r="B25" s="794">
        <v>0</v>
      </c>
      <c r="C25" s="795">
        <v>0</v>
      </c>
      <c r="D25" s="795">
        <v>2970000000</v>
      </c>
      <c r="E25" s="794">
        <v>87793879</v>
      </c>
      <c r="F25" s="794">
        <v>0</v>
      </c>
      <c r="G25" s="794">
        <v>765431553</v>
      </c>
      <c r="H25" s="794">
        <v>21824713</v>
      </c>
      <c r="I25" s="794">
        <v>0</v>
      </c>
      <c r="J25" s="794">
        <v>636307825</v>
      </c>
      <c r="K25" s="794">
        <v>0</v>
      </c>
      <c r="L25" s="796">
        <v>4481357970</v>
      </c>
      <c r="M25" s="797"/>
      <c r="N25" s="786"/>
      <c r="O25" s="786"/>
    </row>
    <row r="26" spans="1:15">
      <c r="A26" s="798"/>
      <c r="B26" s="799"/>
      <c r="C26" s="799"/>
      <c r="D26" s="799"/>
      <c r="E26" s="799"/>
      <c r="F26" s="799"/>
      <c r="G26" s="799"/>
      <c r="H26" s="799"/>
      <c r="I26" s="799"/>
      <c r="J26" s="799"/>
      <c r="K26" s="665"/>
      <c r="L26" s="665"/>
    </row>
    <row r="27" spans="1:15">
      <c r="A27" s="646" t="s">
        <v>1159</v>
      </c>
      <c r="B27" s="778"/>
      <c r="C27" s="800"/>
      <c r="D27" s="801"/>
      <c r="E27" s="778"/>
      <c r="F27" s="778"/>
      <c r="G27" s="778"/>
      <c r="H27" s="778"/>
      <c r="I27" s="778"/>
      <c r="J27" s="778"/>
      <c r="K27" s="778"/>
      <c r="L27" s="778"/>
    </row>
    <row r="28" spans="1:15" s="421" customFormat="1" ht="24" customHeight="1">
      <c r="J28" s="802"/>
    </row>
    <row r="29" spans="1:15">
      <c r="A29" s="778"/>
      <c r="B29" s="778"/>
      <c r="C29" s="778"/>
      <c r="D29" s="803"/>
      <c r="E29" s="778"/>
      <c r="F29" s="778"/>
      <c r="G29" s="778"/>
      <c r="H29" s="778"/>
      <c r="I29" s="778"/>
      <c r="J29" s="778"/>
      <c r="K29" s="803"/>
      <c r="L29" s="778"/>
    </row>
    <row r="30" spans="1:15">
      <c r="A30" s="778"/>
      <c r="B30" s="778"/>
      <c r="C30" s="778"/>
      <c r="D30" s="803"/>
      <c r="E30" s="778"/>
      <c r="F30" s="778"/>
      <c r="G30" s="778"/>
      <c r="H30" s="778"/>
      <c r="I30" s="778"/>
      <c r="J30" s="778"/>
      <c r="K30" s="778"/>
      <c r="L30" s="778"/>
    </row>
    <row r="31" spans="1:15">
      <c r="A31" s="778"/>
      <c r="B31" s="778"/>
      <c r="C31" s="778"/>
      <c r="D31" s="778"/>
      <c r="E31" s="778"/>
      <c r="F31" s="778"/>
      <c r="G31" s="778"/>
      <c r="H31" s="778"/>
      <c r="I31" s="778"/>
      <c r="J31" s="778"/>
      <c r="K31" s="778"/>
      <c r="L31" s="778"/>
    </row>
    <row r="32" spans="1:15">
      <c r="A32" s="778"/>
      <c r="B32" s="778"/>
      <c r="C32" s="778"/>
      <c r="D32" s="778"/>
      <c r="E32" s="778"/>
      <c r="F32" s="778"/>
      <c r="G32" s="778"/>
      <c r="H32" s="778"/>
      <c r="I32" s="778"/>
      <c r="J32" s="778"/>
      <c r="K32" s="778"/>
      <c r="L32" s="778"/>
    </row>
    <row r="33" spans="1:12">
      <c r="A33" s="778"/>
      <c r="B33" s="778"/>
      <c r="C33" s="778"/>
      <c r="D33" s="778"/>
      <c r="E33" s="778"/>
      <c r="F33" s="778"/>
      <c r="G33" s="778"/>
      <c r="H33" s="778"/>
      <c r="I33" s="778"/>
      <c r="J33" s="778"/>
      <c r="K33" s="778"/>
      <c r="L33" s="778"/>
    </row>
    <row r="34" spans="1:12">
      <c r="A34" s="778"/>
      <c r="B34" s="778"/>
      <c r="C34" s="778"/>
      <c r="D34" s="778"/>
      <c r="E34" s="778"/>
      <c r="F34" s="778"/>
      <c r="G34" s="778"/>
      <c r="H34" s="778"/>
      <c r="I34" s="778"/>
      <c r="J34" s="778"/>
      <c r="K34" s="778"/>
      <c r="L34" s="778"/>
    </row>
    <row r="35" spans="1:12" ht="15" customHeight="1">
      <c r="A35" s="1124" t="s">
        <v>1043</v>
      </c>
      <c r="B35" s="1124"/>
      <c r="C35" s="1124"/>
      <c r="D35" s="1124"/>
      <c r="E35" s="1124"/>
      <c r="F35" s="1124"/>
      <c r="G35" s="1124"/>
      <c r="H35" s="1124"/>
      <c r="I35" s="1124"/>
      <c r="J35" s="1124"/>
      <c r="K35" s="1124"/>
      <c r="L35" s="1124"/>
    </row>
    <row r="36" spans="1:12" ht="15" customHeight="1">
      <c r="A36" s="1124" t="s">
        <v>1117</v>
      </c>
      <c r="B36" s="1124"/>
      <c r="C36" s="1124"/>
      <c r="D36" s="1124"/>
      <c r="E36" s="1124"/>
      <c r="F36" s="1124"/>
      <c r="G36" s="1124"/>
      <c r="H36" s="1124"/>
      <c r="I36" s="1124"/>
      <c r="J36" s="1124"/>
      <c r="K36" s="1124"/>
      <c r="L36" s="1124"/>
    </row>
    <row r="37" spans="1:12">
      <c r="A37" s="1124" t="s">
        <v>1014</v>
      </c>
      <c r="B37" s="1124"/>
      <c r="C37" s="1124"/>
      <c r="D37" s="1124"/>
      <c r="E37" s="1124"/>
      <c r="F37" s="1124"/>
      <c r="G37" s="1124"/>
      <c r="H37" s="1124"/>
      <c r="I37" s="1124"/>
      <c r="J37" s="1124"/>
      <c r="K37" s="1124"/>
      <c r="L37" s="1124"/>
    </row>
    <row r="40" spans="1:12">
      <c r="A40" s="778"/>
      <c r="B40" s="778"/>
      <c r="C40" s="778"/>
      <c r="D40" s="778"/>
      <c r="E40" s="778"/>
      <c r="F40" s="778"/>
      <c r="G40" s="778"/>
      <c r="H40" s="778"/>
      <c r="I40" s="778"/>
      <c r="J40" s="778"/>
      <c r="K40" s="778"/>
      <c r="L40" s="778"/>
    </row>
  </sheetData>
  <mergeCells count="18">
    <mergeCell ref="I15:I16"/>
    <mergeCell ref="J15:J16"/>
    <mergeCell ref="A35:L35"/>
    <mergeCell ref="A36:L36"/>
    <mergeCell ref="A37:L37"/>
    <mergeCell ref="K13:L14"/>
    <mergeCell ref="A4:J4"/>
    <mergeCell ref="A13:A16"/>
    <mergeCell ref="A9:L9"/>
    <mergeCell ref="A10:L10"/>
    <mergeCell ref="A11:L11"/>
    <mergeCell ref="E15:E16"/>
    <mergeCell ref="F15:F16"/>
    <mergeCell ref="G15:G16"/>
    <mergeCell ref="H15:H16"/>
    <mergeCell ref="B13:D14"/>
    <mergeCell ref="E13:H14"/>
    <mergeCell ref="I13:J14"/>
  </mergeCell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R202"/>
  <sheetViews>
    <sheetView topLeftCell="A26" zoomScale="70" zoomScaleNormal="70" workbookViewId="0">
      <selection activeCell="B41" sqref="B41"/>
    </sheetView>
  </sheetViews>
  <sheetFormatPr baseColWidth="10" defaultRowHeight="15"/>
  <cols>
    <col min="1" max="1" width="1.28515625" style="412" customWidth="1"/>
    <col min="2" max="17" width="11.42578125" style="412"/>
    <col min="18" max="18" width="13.85546875" style="412" customWidth="1"/>
    <col min="19" max="16384" width="11.42578125" style="412"/>
  </cols>
  <sheetData>
    <row r="10" spans="2:16">
      <c r="B10" s="804" t="s">
        <v>1306</v>
      </c>
    </row>
    <row r="12" spans="2:16">
      <c r="B12" s="514" t="s">
        <v>1056</v>
      </c>
    </row>
    <row r="13" spans="2:16">
      <c r="B13" s="412" t="s">
        <v>1318</v>
      </c>
    </row>
    <row r="15" spans="2:16">
      <c r="B15" s="514" t="s">
        <v>1057</v>
      </c>
    </row>
    <row r="16" spans="2:16">
      <c r="B16" s="805" t="s">
        <v>1058</v>
      </c>
      <c r="C16" s="805"/>
      <c r="D16" s="805"/>
      <c r="E16" s="805"/>
      <c r="F16" s="805"/>
      <c r="G16" s="805"/>
      <c r="H16" s="805"/>
      <c r="I16" s="805"/>
      <c r="J16" s="805"/>
      <c r="K16" s="805"/>
      <c r="L16" s="805"/>
      <c r="M16" s="805"/>
      <c r="N16" s="805"/>
      <c r="O16" s="805"/>
      <c r="P16" s="805"/>
    </row>
    <row r="17" spans="2:13">
      <c r="B17" s="412" t="s">
        <v>1173</v>
      </c>
    </row>
    <row r="18" spans="2:13">
      <c r="B18" s="412" t="s">
        <v>1059</v>
      </c>
    </row>
    <row r="20" spans="2:13">
      <c r="B20" s="412" t="s">
        <v>1046</v>
      </c>
    </row>
    <row r="21" spans="2:13">
      <c r="B21" s="412" t="s">
        <v>1047</v>
      </c>
    </row>
    <row r="22" spans="2:13">
      <c r="B22" s="409" t="s">
        <v>1048</v>
      </c>
      <c r="C22" s="409"/>
      <c r="D22" s="409"/>
      <c r="E22" s="409"/>
      <c r="F22" s="409"/>
      <c r="G22" s="409"/>
      <c r="H22" s="409"/>
      <c r="I22" s="409"/>
      <c r="J22" s="409"/>
      <c r="K22" s="409"/>
      <c r="L22" s="409"/>
      <c r="M22" s="409"/>
    </row>
    <row r="23" spans="2:13">
      <c r="B23" s="412" t="s">
        <v>1049</v>
      </c>
    </row>
    <row r="24" spans="2:13">
      <c r="B24" s="412" t="s">
        <v>1050</v>
      </c>
    </row>
    <row r="25" spans="2:13">
      <c r="B25" s="412" t="s">
        <v>1051</v>
      </c>
    </row>
    <row r="26" spans="2:13">
      <c r="B26" s="412" t="s">
        <v>1052</v>
      </c>
    </row>
    <row r="27" spans="2:13">
      <c r="B27" s="412" t="s">
        <v>1053</v>
      </c>
    </row>
    <row r="28" spans="2:13">
      <c r="B28" s="412" t="s">
        <v>1054</v>
      </c>
    </row>
    <row r="29" spans="2:13">
      <c r="B29" s="412" t="s">
        <v>1055</v>
      </c>
    </row>
    <row r="30" spans="2:13">
      <c r="B30" s="412" t="s">
        <v>1078</v>
      </c>
    </row>
    <row r="31" spans="2:13">
      <c r="B31" s="412" t="s">
        <v>1079</v>
      </c>
    </row>
    <row r="32" spans="2:13">
      <c r="B32" s="412" t="s">
        <v>1080</v>
      </c>
    </row>
    <row r="33" spans="2:7">
      <c r="B33" s="412" t="s">
        <v>1081</v>
      </c>
    </row>
    <row r="34" spans="2:7">
      <c r="B34" s="412" t="s">
        <v>1082</v>
      </c>
    </row>
    <row r="35" spans="2:7">
      <c r="B35" s="412" t="s">
        <v>1083</v>
      </c>
    </row>
    <row r="36" spans="2:7">
      <c r="B36" s="412" t="s">
        <v>1169</v>
      </c>
    </row>
    <row r="37" spans="2:7">
      <c r="B37" s="412" t="s">
        <v>1170</v>
      </c>
    </row>
    <row r="38" spans="2:7">
      <c r="B38" s="412" t="s">
        <v>1182</v>
      </c>
    </row>
    <row r="40" spans="2:7">
      <c r="B40" s="514" t="s">
        <v>1060</v>
      </c>
      <c r="C40" s="514" t="s">
        <v>1061</v>
      </c>
      <c r="D40" s="514"/>
      <c r="E40" s="514"/>
    </row>
    <row r="41" spans="2:7">
      <c r="B41" s="412" t="s">
        <v>1171</v>
      </c>
    </row>
    <row r="42" spans="2:7">
      <c r="B42" s="412" t="s">
        <v>1172</v>
      </c>
    </row>
    <row r="43" spans="2:7">
      <c r="B43" s="514" t="s">
        <v>1089</v>
      </c>
      <c r="C43" s="514"/>
      <c r="D43" s="514"/>
      <c r="E43" s="514"/>
      <c r="F43" s="514"/>
      <c r="G43" s="514"/>
    </row>
    <row r="44" spans="2:7">
      <c r="B44" s="514" t="s">
        <v>1062</v>
      </c>
      <c r="C44" s="514" t="s">
        <v>1063</v>
      </c>
      <c r="D44" s="514"/>
      <c r="E44" s="514"/>
      <c r="F44" s="514"/>
      <c r="G44" s="514"/>
    </row>
    <row r="46" spans="2:7">
      <c r="B46" s="412" t="s">
        <v>1317</v>
      </c>
    </row>
    <row r="47" spans="2:7">
      <c r="B47" s="412" t="s">
        <v>1090</v>
      </c>
    </row>
    <row r="48" spans="2:7">
      <c r="B48" s="412" t="s">
        <v>1298</v>
      </c>
    </row>
    <row r="50" spans="2:18">
      <c r="B50" s="514" t="s">
        <v>1064</v>
      </c>
      <c r="C50" s="514" t="s">
        <v>1065</v>
      </c>
      <c r="D50" s="514"/>
    </row>
    <row r="51" spans="2:18">
      <c r="B51" s="409" t="s">
        <v>1084</v>
      </c>
    </row>
    <row r="52" spans="2:18">
      <c r="B52" s="412" t="s">
        <v>1085</v>
      </c>
    </row>
    <row r="53" spans="2:18">
      <c r="B53" s="412" t="s">
        <v>1086</v>
      </c>
    </row>
    <row r="55" spans="2:18">
      <c r="B55" s="806" t="s">
        <v>1087</v>
      </c>
      <c r="C55" s="514" t="s">
        <v>1088</v>
      </c>
      <c r="D55" s="514"/>
    </row>
    <row r="56" spans="2:18">
      <c r="B56" s="412" t="s">
        <v>1066</v>
      </c>
    </row>
    <row r="58" spans="2:18">
      <c r="B58" s="806" t="s">
        <v>1067</v>
      </c>
      <c r="C58" s="514" t="s">
        <v>1068</v>
      </c>
      <c r="D58" s="514"/>
    </row>
    <row r="59" spans="2:18">
      <c r="B59" s="1162" t="s">
        <v>1246</v>
      </c>
      <c r="C59" s="1162"/>
      <c r="D59" s="1162"/>
      <c r="E59" s="1162"/>
      <c r="F59" s="1162"/>
      <c r="G59" s="1162"/>
      <c r="H59" s="1162"/>
      <c r="I59" s="1162"/>
      <c r="J59" s="1162"/>
      <c r="K59" s="1162"/>
      <c r="L59" s="1162"/>
      <c r="M59" s="1162"/>
      <c r="N59" s="1162"/>
      <c r="O59" s="1162"/>
      <c r="P59" s="1162"/>
      <c r="Q59" s="1162"/>
      <c r="R59" s="1162"/>
    </row>
    <row r="60" spans="2:18" ht="29.25" customHeight="1">
      <c r="B60" s="1163" t="s">
        <v>1247</v>
      </c>
      <c r="C60" s="1162"/>
      <c r="D60" s="1162"/>
      <c r="E60" s="1162"/>
      <c r="F60" s="1162"/>
      <c r="G60" s="1162"/>
      <c r="H60" s="1162"/>
      <c r="I60" s="1162"/>
      <c r="J60" s="1162"/>
      <c r="K60" s="1162"/>
      <c r="L60" s="1162"/>
      <c r="M60" s="1162"/>
      <c r="N60" s="1162"/>
      <c r="O60" s="1162"/>
      <c r="P60" s="1162"/>
      <c r="Q60" s="1162"/>
      <c r="R60" s="1162"/>
    </row>
    <row r="61" spans="2:18" ht="18.75" customHeight="1">
      <c r="B61" s="1164" t="s">
        <v>1249</v>
      </c>
      <c r="C61" s="1164"/>
      <c r="D61" s="1164"/>
      <c r="E61" s="1164"/>
      <c r="F61" s="1164"/>
      <c r="G61" s="1164"/>
      <c r="H61" s="1164"/>
      <c r="I61" s="1164"/>
      <c r="J61" s="1164"/>
      <c r="K61" s="1164"/>
      <c r="L61" s="1164"/>
      <c r="M61" s="1164"/>
      <c r="N61" s="1164"/>
      <c r="O61" s="1164"/>
      <c r="P61" s="1164"/>
      <c r="Q61" s="1164"/>
      <c r="R61" s="1164"/>
    </row>
    <row r="62" spans="2:18">
      <c r="B62" s="412" t="s">
        <v>1248</v>
      </c>
    </row>
    <row r="65" spans="2:4">
      <c r="B65" s="806" t="s">
        <v>1069</v>
      </c>
      <c r="C65" s="514" t="s">
        <v>1070</v>
      </c>
      <c r="D65" s="514"/>
    </row>
    <row r="66" spans="2:4">
      <c r="B66" s="412" t="s">
        <v>1071</v>
      </c>
    </row>
    <row r="68" spans="2:4">
      <c r="B68" s="514" t="s">
        <v>1072</v>
      </c>
      <c r="C68" s="514" t="s">
        <v>1073</v>
      </c>
      <c r="D68" s="514"/>
    </row>
    <row r="69" spans="2:4">
      <c r="B69" s="412" t="s">
        <v>1074</v>
      </c>
    </row>
    <row r="71" spans="2:4">
      <c r="B71" s="514" t="s">
        <v>1075</v>
      </c>
      <c r="C71" s="514" t="s">
        <v>1076</v>
      </c>
      <c r="D71" s="514"/>
    </row>
    <row r="72" spans="2:4">
      <c r="B72" s="412" t="s">
        <v>1077</v>
      </c>
    </row>
    <row r="75" spans="2:4">
      <c r="B75" s="806"/>
    </row>
    <row r="78" spans="2:4">
      <c r="B78" s="514"/>
    </row>
    <row r="155" spans="2:13">
      <c r="B155" s="440"/>
      <c r="C155" s="440"/>
      <c r="D155" s="440"/>
      <c r="E155" s="440"/>
      <c r="F155" s="440"/>
      <c r="G155" s="440"/>
      <c r="H155" s="440"/>
      <c r="I155" s="440"/>
      <c r="J155" s="440"/>
      <c r="K155" s="440"/>
      <c r="L155" s="440"/>
      <c r="M155" s="440"/>
    </row>
    <row r="156" spans="2:13">
      <c r="B156" s="440"/>
      <c r="C156" s="440"/>
      <c r="D156" s="440"/>
      <c r="E156" s="440"/>
      <c r="F156" s="440"/>
      <c r="G156" s="440"/>
      <c r="H156" s="440"/>
      <c r="I156" s="440"/>
      <c r="J156" s="440"/>
      <c r="K156" s="440"/>
      <c r="L156" s="440"/>
      <c r="M156" s="440"/>
    </row>
    <row r="157" spans="2:13">
      <c r="B157" s="440"/>
      <c r="C157" s="440"/>
      <c r="D157" s="440"/>
      <c r="E157" s="440"/>
      <c r="F157" s="440"/>
      <c r="G157" s="440"/>
      <c r="H157" s="440"/>
      <c r="I157" s="440"/>
      <c r="J157" s="440"/>
      <c r="K157" s="440"/>
      <c r="L157" s="440"/>
      <c r="M157" s="440"/>
    </row>
    <row r="200" spans="2:9">
      <c r="B200" s="1116" t="s">
        <v>867</v>
      </c>
      <c r="C200" s="1116"/>
      <c r="D200" s="1116"/>
      <c r="E200" s="1116"/>
      <c r="F200" s="1116"/>
      <c r="G200" s="1116"/>
      <c r="H200" s="1116"/>
      <c r="I200" s="1116"/>
    </row>
    <row r="201" spans="2:9">
      <c r="B201" s="1116" t="s">
        <v>237</v>
      </c>
      <c r="C201" s="1116"/>
      <c r="D201" s="1116"/>
      <c r="E201" s="1116"/>
      <c r="F201" s="1116"/>
      <c r="G201" s="1116"/>
      <c r="H201" s="1116"/>
      <c r="I201" s="1116"/>
    </row>
    <row r="202" spans="2:9">
      <c r="B202" s="1116" t="s">
        <v>1014</v>
      </c>
      <c r="C202" s="1116"/>
      <c r="D202" s="1116"/>
      <c r="E202" s="1116"/>
      <c r="F202" s="1116"/>
      <c r="G202" s="1116"/>
      <c r="H202" s="1116"/>
      <c r="I202" s="1116"/>
    </row>
  </sheetData>
  <mergeCells count="6">
    <mergeCell ref="B200:I200"/>
    <mergeCell ref="B201:I201"/>
    <mergeCell ref="B202:I202"/>
    <mergeCell ref="B59:R59"/>
    <mergeCell ref="B60:R60"/>
    <mergeCell ref="B61:R6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5"/>
  <sheetViews>
    <sheetView zoomScale="75" zoomScaleNormal="75" workbookViewId="0">
      <selection activeCell="A20" sqref="A20"/>
    </sheetView>
  </sheetViews>
  <sheetFormatPr baseColWidth="10" defaultColWidth="11.42578125" defaultRowHeight="12.75"/>
  <cols>
    <col min="1" max="1" width="8" style="22" customWidth="1"/>
    <col min="2" max="2" width="37.28515625" style="22" customWidth="1"/>
    <col min="3" max="3" width="23.5703125" style="22" customWidth="1"/>
    <col min="4" max="4" width="23.85546875" style="22" customWidth="1"/>
    <col min="5" max="5" width="22" style="22" customWidth="1"/>
    <col min="6" max="6" width="19.85546875" style="22" customWidth="1"/>
    <col min="7" max="7" width="20.85546875" style="22" customWidth="1"/>
    <col min="8" max="8" width="21.28515625" style="22" customWidth="1"/>
    <col min="9" max="16384" width="11.42578125" style="22"/>
  </cols>
  <sheetData>
    <row r="1" spans="1:6" ht="18.75" customHeight="1">
      <c r="A1" s="1168" t="s">
        <v>239</v>
      </c>
      <c r="B1" s="1168"/>
      <c r="C1" s="1168"/>
      <c r="D1" s="1168"/>
      <c r="E1" s="1168"/>
      <c r="F1" s="23"/>
    </row>
    <row r="2" spans="1:6" ht="18.75" customHeight="1">
      <c r="A2" s="1168" t="s">
        <v>240</v>
      </c>
      <c r="B2" s="1168"/>
      <c r="C2" s="1168"/>
      <c r="D2" s="1168"/>
      <c r="E2" s="1168"/>
      <c r="F2" s="23"/>
    </row>
    <row r="3" spans="1:6" ht="18.75" customHeight="1">
      <c r="A3" s="1169" t="s">
        <v>250</v>
      </c>
      <c r="B3" s="1169"/>
      <c r="C3" s="1169"/>
      <c r="D3" s="1169"/>
      <c r="E3" s="1169"/>
      <c r="F3" s="23"/>
    </row>
    <row r="4" spans="1:6" ht="18.75" customHeight="1">
      <c r="B4" s="24"/>
      <c r="C4" s="25"/>
      <c r="D4" s="25"/>
    </row>
    <row r="5" spans="1:6" ht="18.75" customHeight="1">
      <c r="A5" s="1166" t="s">
        <v>242</v>
      </c>
      <c r="B5" s="1166"/>
      <c r="C5" s="1166"/>
      <c r="D5" s="1166"/>
      <c r="E5" s="1166"/>
    </row>
    <row r="6" spans="1:6" ht="18.75" customHeight="1">
      <c r="A6" s="1166" t="s">
        <v>243</v>
      </c>
      <c r="B6" s="1166"/>
      <c r="C6" s="1166"/>
      <c r="D6" s="1166"/>
      <c r="E6" s="1166"/>
    </row>
    <row r="7" spans="1:6" ht="18.75" customHeight="1">
      <c r="B7" s="1166" t="s">
        <v>245</v>
      </c>
      <c r="C7" s="1166"/>
      <c r="D7" s="1166"/>
      <c r="E7" s="1166"/>
    </row>
    <row r="8" spans="1:6">
      <c r="A8" s="26"/>
      <c r="B8" s="27"/>
      <c r="C8" s="28"/>
      <c r="D8" s="28"/>
      <c r="E8" s="29"/>
    </row>
    <row r="9" spans="1:6" ht="15.95" customHeight="1">
      <c r="A9" s="30" t="s">
        <v>251</v>
      </c>
      <c r="B9" s="31"/>
      <c r="C9" s="32"/>
      <c r="D9" s="32"/>
      <c r="E9" s="33"/>
    </row>
    <row r="10" spans="1:6" ht="15.95" customHeight="1">
      <c r="A10" s="30" t="s">
        <v>252</v>
      </c>
      <c r="B10" s="31"/>
      <c r="C10" s="32"/>
      <c r="D10" s="34">
        <v>39447</v>
      </c>
      <c r="E10" s="35">
        <v>39082</v>
      </c>
    </row>
    <row r="11" spans="1:6" ht="15.95" customHeight="1">
      <c r="A11" s="30"/>
      <c r="B11" s="31"/>
      <c r="C11" s="32"/>
      <c r="D11" s="36"/>
      <c r="E11" s="29"/>
    </row>
    <row r="12" spans="1:6" ht="15.95" customHeight="1">
      <c r="A12" s="30"/>
      <c r="B12" s="37" t="s">
        <v>253</v>
      </c>
      <c r="C12" s="32"/>
      <c r="D12" s="38">
        <v>-398943038</v>
      </c>
      <c r="E12" s="38">
        <v>-95196156</v>
      </c>
    </row>
    <row r="13" spans="1:6" ht="15.95" customHeight="1">
      <c r="A13" s="39" t="s">
        <v>254</v>
      </c>
      <c r="B13" s="37" t="s">
        <v>255</v>
      </c>
      <c r="C13" s="32"/>
      <c r="D13" s="40"/>
      <c r="E13" s="40"/>
    </row>
    <row r="14" spans="1:6" ht="15.95" customHeight="1">
      <c r="A14" s="30"/>
      <c r="B14" s="31" t="s">
        <v>256</v>
      </c>
      <c r="C14" s="32"/>
      <c r="D14" s="40">
        <f>EGRESOS!$E$45</f>
        <v>0</v>
      </c>
      <c r="E14" s="40">
        <v>962742793</v>
      </c>
    </row>
    <row r="15" spans="1:6" ht="15.95" customHeight="1">
      <c r="A15" s="30"/>
      <c r="B15" s="41" t="s">
        <v>257</v>
      </c>
      <c r="C15" s="32"/>
      <c r="D15" s="40">
        <f>389493090+963890673+317766952</f>
        <v>1671150715</v>
      </c>
      <c r="E15" s="40">
        <v>963893483</v>
      </c>
    </row>
    <row r="16" spans="1:6" ht="15.95" customHeight="1">
      <c r="A16" s="39" t="s">
        <v>258</v>
      </c>
      <c r="B16" s="41" t="s">
        <v>259</v>
      </c>
      <c r="C16" s="32"/>
      <c r="D16" s="42">
        <f>-1719596950+3163718206-D15-D14</f>
        <v>-227029459</v>
      </c>
      <c r="E16" s="42">
        <v>-1214878757</v>
      </c>
    </row>
    <row r="17" spans="1:5" ht="15.95" customHeight="1">
      <c r="A17" s="39" t="s">
        <v>260</v>
      </c>
      <c r="B17" s="31"/>
      <c r="C17" s="32"/>
      <c r="D17" s="43">
        <f>SUM(D12:D16)</f>
        <v>1045178218</v>
      </c>
      <c r="E17" s="43">
        <f>SUM(E12:E16)</f>
        <v>616561363</v>
      </c>
    </row>
    <row r="18" spans="1:5" ht="15.95" customHeight="1">
      <c r="A18" s="30"/>
      <c r="B18" s="31"/>
      <c r="C18" s="32"/>
      <c r="D18" s="40"/>
      <c r="E18" s="40"/>
    </row>
    <row r="19" spans="1:5" ht="15.95" customHeight="1">
      <c r="A19" s="39" t="s">
        <v>261</v>
      </c>
      <c r="B19" s="31"/>
      <c r="C19" s="32"/>
      <c r="D19" s="40"/>
      <c r="E19" s="40"/>
    </row>
    <row r="20" spans="1:5" ht="15.95" customHeight="1">
      <c r="A20" s="30"/>
      <c r="B20" s="31" t="s">
        <v>262</v>
      </c>
      <c r="C20" s="32"/>
      <c r="D20" s="44">
        <v>1551176615</v>
      </c>
      <c r="E20" s="44">
        <v>-255213742</v>
      </c>
    </row>
    <row r="21" spans="1:5" ht="15.95" customHeight="1">
      <c r="A21" s="30"/>
      <c r="B21" s="31" t="s">
        <v>263</v>
      </c>
      <c r="C21" s="32"/>
      <c r="D21" s="44">
        <f>499446968+642008455+20253784-67632736-32560026</f>
        <v>1061516445</v>
      </c>
      <c r="E21" s="44">
        <f>487201438-786250327+251636227+399323937</f>
        <v>351911275</v>
      </c>
    </row>
    <row r="22" spans="1:5" ht="15.95" customHeight="1">
      <c r="A22" s="30"/>
      <c r="B22" s="41" t="s">
        <v>264</v>
      </c>
      <c r="C22" s="32"/>
      <c r="D22" s="44">
        <v>-362027853</v>
      </c>
      <c r="E22" s="44">
        <v>762371871</v>
      </c>
    </row>
    <row r="23" spans="1:5" ht="15.95" customHeight="1">
      <c r="A23" s="30"/>
      <c r="B23" s="41" t="s">
        <v>265</v>
      </c>
      <c r="C23" s="32"/>
      <c r="D23" s="45">
        <v>0</v>
      </c>
      <c r="E23" s="45">
        <v>0</v>
      </c>
    </row>
    <row r="24" spans="1:5" ht="15.95" customHeight="1">
      <c r="A24" s="30"/>
      <c r="B24" s="41" t="s">
        <v>266</v>
      </c>
      <c r="C24" s="32"/>
      <c r="D24" s="46">
        <v>-882732802</v>
      </c>
      <c r="E24" s="46">
        <f>-6391778+830325621+16831811</f>
        <v>840765654</v>
      </c>
    </row>
    <row r="25" spans="1:5" ht="15.95" customHeight="1">
      <c r="A25" s="30"/>
      <c r="B25" s="41" t="s">
        <v>267</v>
      </c>
      <c r="C25" s="32"/>
      <c r="D25" s="47">
        <v>0</v>
      </c>
      <c r="E25" s="47">
        <v>0</v>
      </c>
    </row>
    <row r="26" spans="1:5" ht="15.95" customHeight="1">
      <c r="A26" s="39" t="s">
        <v>268</v>
      </c>
      <c r="B26" s="31"/>
      <c r="C26" s="32"/>
      <c r="D26" s="44"/>
      <c r="E26" s="44"/>
    </row>
    <row r="27" spans="1:5" ht="15.95" customHeight="1">
      <c r="A27" s="39" t="s">
        <v>269</v>
      </c>
      <c r="B27" s="31"/>
      <c r="C27" s="32"/>
      <c r="D27" s="48">
        <f>SUM(D20:D25)</f>
        <v>1367932405</v>
      </c>
      <c r="E27" s="48">
        <f>SUM(E20:E25)</f>
        <v>1699835058</v>
      </c>
    </row>
    <row r="28" spans="1:5" ht="15.95" customHeight="1">
      <c r="A28" s="30"/>
      <c r="B28" s="31"/>
      <c r="C28" s="32"/>
      <c r="D28" s="40"/>
      <c r="E28" s="40"/>
    </row>
    <row r="29" spans="1:5" ht="15.95" customHeight="1">
      <c r="A29" s="39" t="s">
        <v>270</v>
      </c>
      <c r="B29" s="31"/>
      <c r="C29" s="32"/>
      <c r="D29" s="44"/>
      <c r="E29" s="44"/>
    </row>
    <row r="30" spans="1:5" ht="15.95" customHeight="1">
      <c r="A30" s="30"/>
      <c r="B30" s="31" t="s">
        <v>271</v>
      </c>
      <c r="C30" s="32"/>
      <c r="D30" s="44">
        <f>-515967018-215817121-2089668-39865751</f>
        <v>-773739558</v>
      </c>
      <c r="E30" s="44">
        <f>-1217067691-209710028-8109024-123152008-14341871+86275037</f>
        <v>-1486105585</v>
      </c>
    </row>
    <row r="31" spans="1:5" ht="15.95" customHeight="1">
      <c r="A31" s="30"/>
      <c r="B31" s="31" t="s">
        <v>272</v>
      </c>
      <c r="C31" s="32"/>
      <c r="D31" s="44">
        <v>3008412</v>
      </c>
      <c r="E31" s="44">
        <v>7546083</v>
      </c>
    </row>
    <row r="32" spans="1:5" ht="15.95" customHeight="1">
      <c r="A32" s="30"/>
      <c r="B32" s="31" t="s">
        <v>273</v>
      </c>
      <c r="C32" s="32"/>
      <c r="D32" s="49">
        <v>0</v>
      </c>
      <c r="E32" s="49">
        <v>0</v>
      </c>
    </row>
    <row r="33" spans="1:5" ht="15.95" customHeight="1">
      <c r="A33" s="39" t="s">
        <v>268</v>
      </c>
      <c r="B33" s="31"/>
      <c r="C33" s="32"/>
      <c r="D33" s="44"/>
      <c r="E33" s="44"/>
    </row>
    <row r="34" spans="1:5" ht="15.95" customHeight="1">
      <c r="A34" s="39" t="s">
        <v>274</v>
      </c>
      <c r="B34" s="31"/>
      <c r="C34" s="32"/>
      <c r="D34" s="48">
        <f>SUM(D30:D32)</f>
        <v>-770731146</v>
      </c>
      <c r="E34" s="48">
        <f>SUM(E30:E32)</f>
        <v>-1478559502</v>
      </c>
    </row>
    <row r="35" spans="1:5" ht="15.95" customHeight="1">
      <c r="A35" s="30"/>
      <c r="B35" s="31"/>
      <c r="C35" s="32"/>
      <c r="D35" s="44"/>
      <c r="E35" s="44"/>
    </row>
    <row r="36" spans="1:5" ht="15.95" customHeight="1">
      <c r="A36" s="39" t="s">
        <v>275</v>
      </c>
      <c r="B36" s="31"/>
      <c r="C36" s="32"/>
      <c r="D36" s="44"/>
      <c r="E36" s="44"/>
    </row>
    <row r="37" spans="1:5" ht="15.95" customHeight="1">
      <c r="A37" s="39"/>
      <c r="B37" s="31" t="s">
        <v>276</v>
      </c>
      <c r="C37" s="32"/>
      <c r="D37" s="50">
        <v>231066315</v>
      </c>
      <c r="E37" s="63">
        <v>220000000</v>
      </c>
    </row>
    <row r="38" spans="1:5" ht="15.95" customHeight="1">
      <c r="A38" s="30"/>
      <c r="B38" s="31" t="s">
        <v>277</v>
      </c>
      <c r="C38" s="32"/>
      <c r="D38" s="51">
        <v>-7671567</v>
      </c>
      <c r="E38" s="51">
        <v>-28964137</v>
      </c>
    </row>
    <row r="39" spans="1:5" ht="15.95" customHeight="1">
      <c r="A39" s="39" t="s">
        <v>268</v>
      </c>
      <c r="B39" s="31"/>
      <c r="C39" s="32"/>
      <c r="D39" s="44"/>
      <c r="E39" s="44"/>
    </row>
    <row r="40" spans="1:5" ht="15.95" customHeight="1">
      <c r="A40" s="39" t="s">
        <v>278</v>
      </c>
      <c r="B40" s="31"/>
      <c r="C40" s="32"/>
      <c r="D40" s="48">
        <f>SUM(D37:D38)</f>
        <v>223394748</v>
      </c>
      <c r="E40" s="48">
        <f>SUM(E37:E38)</f>
        <v>191035863</v>
      </c>
    </row>
    <row r="41" spans="1:5" ht="15.95" customHeight="1">
      <c r="A41" s="39"/>
      <c r="B41" s="31"/>
      <c r="C41" s="32"/>
      <c r="D41" s="44"/>
      <c r="E41" s="52"/>
    </row>
    <row r="42" spans="1:5" ht="15.95" customHeight="1">
      <c r="A42" s="39"/>
      <c r="B42" s="31"/>
      <c r="C42" s="32"/>
      <c r="D42" s="44"/>
      <c r="E42" s="52"/>
    </row>
    <row r="43" spans="1:5" ht="15.95" customHeight="1">
      <c r="A43" s="39" t="s">
        <v>279</v>
      </c>
      <c r="B43" s="31"/>
      <c r="C43" s="32"/>
      <c r="D43" s="53">
        <f>D17+D27+D34+D40</f>
        <v>1865774225</v>
      </c>
      <c r="E43" s="54">
        <f>E17+E27+E34+E40</f>
        <v>1028872782</v>
      </c>
    </row>
    <row r="44" spans="1:5" ht="15.95" customHeight="1">
      <c r="A44" s="39" t="s">
        <v>280</v>
      </c>
      <c r="B44" s="31"/>
      <c r="C44" s="32"/>
      <c r="D44" s="48">
        <v>1188149970</v>
      </c>
      <c r="E44" s="48">
        <v>159277188</v>
      </c>
    </row>
    <row r="45" spans="1:5" ht="15.95" customHeight="1">
      <c r="A45" s="39"/>
      <c r="B45" s="31"/>
      <c r="C45" s="32"/>
      <c r="D45" s="44"/>
      <c r="E45" s="52"/>
    </row>
    <row r="46" spans="1:5" ht="15.95" customHeight="1">
      <c r="A46" s="39" t="s">
        <v>281</v>
      </c>
      <c r="B46" s="31"/>
      <c r="C46" s="32"/>
      <c r="D46" s="55">
        <f>SUM(D43:D44)</f>
        <v>3053924195</v>
      </c>
      <c r="E46" s="56">
        <f>SUM(E43:E44)</f>
        <v>1188149970</v>
      </c>
    </row>
    <row r="47" spans="1:5">
      <c r="A47" s="57"/>
      <c r="B47" s="58"/>
      <c r="C47" s="59"/>
      <c r="D47" s="59"/>
      <c r="E47" s="60"/>
    </row>
    <row r="48" spans="1:5">
      <c r="A48" s="61"/>
      <c r="B48" s="31"/>
      <c r="C48" s="32"/>
      <c r="D48" s="32"/>
      <c r="E48" s="31"/>
    </row>
    <row r="49" spans="1:5">
      <c r="A49" s="61"/>
      <c r="B49" s="31"/>
      <c r="C49" s="32"/>
      <c r="D49" s="32"/>
      <c r="E49" s="31"/>
    </row>
    <row r="50" spans="1:5">
      <c r="B50" s="31"/>
      <c r="C50" s="32"/>
      <c r="D50" s="32"/>
      <c r="E50" s="31"/>
    </row>
    <row r="51" spans="1:5">
      <c r="B51" s="31"/>
      <c r="C51" s="32"/>
      <c r="D51" s="32"/>
      <c r="E51" s="31"/>
    </row>
    <row r="52" spans="1:5">
      <c r="A52" s="1165" t="s">
        <v>282</v>
      </c>
      <c r="B52" s="1165"/>
      <c r="C52" s="1167" t="s">
        <v>233</v>
      </c>
      <c r="D52" s="1167"/>
      <c r="E52" s="25" t="s">
        <v>234</v>
      </c>
    </row>
    <row r="53" spans="1:5">
      <c r="A53" s="1165" t="s">
        <v>235</v>
      </c>
      <c r="B53" s="1165"/>
      <c r="C53" s="1167" t="s">
        <v>236</v>
      </c>
      <c r="D53" s="1167"/>
      <c r="E53" s="25" t="s">
        <v>237</v>
      </c>
    </row>
    <row r="54" spans="1:5">
      <c r="A54" s="1165" t="s">
        <v>238</v>
      </c>
      <c r="B54" s="1165"/>
      <c r="C54" s="1165"/>
      <c r="D54" s="1165"/>
    </row>
    <row r="55" spans="1:5">
      <c r="B55" s="62"/>
      <c r="C55" s="23"/>
      <c r="D55" s="23"/>
    </row>
  </sheetData>
  <mergeCells count="12">
    <mergeCell ref="A1:E1"/>
    <mergeCell ref="A2:E2"/>
    <mergeCell ref="A3:E3"/>
    <mergeCell ref="A5:E5"/>
    <mergeCell ref="A6:E6"/>
    <mergeCell ref="A54:B54"/>
    <mergeCell ref="C54:D54"/>
    <mergeCell ref="B7:E7"/>
    <mergeCell ref="A52:B52"/>
    <mergeCell ref="C52:D52"/>
    <mergeCell ref="A53:B53"/>
    <mergeCell ref="C53:D53"/>
  </mergeCells>
  <phoneticPr fontId="22" type="noConversion"/>
  <printOptions horizontalCentered="1"/>
  <pageMargins left="0.25972222222222224" right="0.19652777777777777" top="0.8" bottom="0.77986111111111112" header="0.51180555555555562" footer="0.51180555555555562"/>
  <pageSetup paperSize="9" scale="8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L29"/>
  <sheetViews>
    <sheetView topLeftCell="A7" zoomScaleNormal="100" workbookViewId="0">
      <selection activeCell="F21" sqref="F21"/>
    </sheetView>
  </sheetViews>
  <sheetFormatPr baseColWidth="10" defaultRowHeight="15"/>
  <cols>
    <col min="1" max="1" width="11.42578125" style="412"/>
    <col min="2" max="2" width="27" style="412" bestFit="1" customWidth="1"/>
    <col min="3" max="3" width="19.42578125" style="412" customWidth="1"/>
    <col min="4" max="4" width="21.85546875" style="412" customWidth="1"/>
    <col min="5" max="5" width="21.28515625" style="412" customWidth="1"/>
    <col min="6" max="16384" width="11.42578125" style="412"/>
  </cols>
  <sheetData>
    <row r="8" spans="2:12">
      <c r="B8" s="804" t="s">
        <v>998</v>
      </c>
    </row>
    <row r="9" spans="2:12">
      <c r="B9" s="551"/>
    </row>
    <row r="10" spans="2:12">
      <c r="B10" s="807" t="s">
        <v>1319</v>
      </c>
    </row>
    <row r="12" spans="2:12" ht="81" customHeight="1">
      <c r="B12" s="1170" t="s">
        <v>1299</v>
      </c>
      <c r="C12" s="1170"/>
      <c r="D12" s="1170"/>
      <c r="E12" s="1170"/>
    </row>
    <row r="14" spans="2:12" ht="15.75" thickBot="1">
      <c r="C14" s="797">
        <v>44926</v>
      </c>
      <c r="D14" s="797">
        <v>44561</v>
      </c>
    </row>
    <row r="15" spans="2:12" ht="15.75" thickBot="1">
      <c r="B15" s="808"/>
      <c r="C15" s="809" t="s">
        <v>1300</v>
      </c>
      <c r="D15" s="809" t="s">
        <v>1022</v>
      </c>
      <c r="F15" s="778"/>
      <c r="G15" s="778"/>
      <c r="H15" s="778"/>
      <c r="I15" s="778"/>
      <c r="J15" s="778"/>
      <c r="K15" s="778"/>
      <c r="L15" s="778"/>
    </row>
    <row r="16" spans="2:12" ht="15.75" thickBot="1">
      <c r="B16" s="415" t="s">
        <v>903</v>
      </c>
      <c r="C16" s="810">
        <v>7322.9</v>
      </c>
      <c r="D16" s="810">
        <v>6870.81</v>
      </c>
      <c r="F16" s="778"/>
      <c r="G16" s="778"/>
      <c r="H16" s="778"/>
      <c r="I16" s="778"/>
      <c r="J16" s="778"/>
      <c r="K16" s="778"/>
      <c r="L16" s="778"/>
    </row>
    <row r="17" spans="2:12" ht="15.75" thickBot="1">
      <c r="B17" s="415" t="s">
        <v>904</v>
      </c>
      <c r="C17" s="810">
        <v>7339.62</v>
      </c>
      <c r="D17" s="810">
        <v>6887.4</v>
      </c>
      <c r="F17" s="778"/>
      <c r="G17" s="778"/>
      <c r="H17" s="778"/>
      <c r="I17" s="778"/>
      <c r="J17" s="778"/>
      <c r="K17" s="778"/>
      <c r="L17" s="778"/>
    </row>
    <row r="24" spans="2:12">
      <c r="E24" s="553"/>
    </row>
    <row r="25" spans="2:12">
      <c r="E25" s="553"/>
    </row>
    <row r="26" spans="2:12">
      <c r="E26" s="553"/>
    </row>
    <row r="27" spans="2:12">
      <c r="B27" s="553" t="s">
        <v>1043</v>
      </c>
      <c r="C27" s="553"/>
      <c r="D27" s="553"/>
      <c r="F27" s="440"/>
      <c r="G27" s="440"/>
      <c r="H27" s="440"/>
      <c r="I27" s="440"/>
      <c r="J27" s="440"/>
    </row>
    <row r="28" spans="2:12">
      <c r="B28" s="553" t="s">
        <v>1117</v>
      </c>
      <c r="C28" s="553"/>
      <c r="D28" s="553"/>
      <c r="F28" s="440"/>
      <c r="G28" s="440"/>
      <c r="H28" s="440"/>
      <c r="I28" s="440"/>
      <c r="J28" s="440"/>
    </row>
    <row r="29" spans="2:12">
      <c r="B29" s="553" t="s">
        <v>1014</v>
      </c>
      <c r="C29" s="553"/>
      <c r="D29" s="553"/>
      <c r="F29" s="440"/>
      <c r="G29" s="440"/>
      <c r="H29" s="440"/>
      <c r="I29" s="440"/>
      <c r="J29" s="440"/>
    </row>
  </sheetData>
  <mergeCells count="1">
    <mergeCell ref="B12:E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3"/>
  <sheetViews>
    <sheetView showGridLines="0" topLeftCell="D19" zoomScaleNormal="100" workbookViewId="0">
      <selection activeCell="I133" sqref="I133"/>
    </sheetView>
  </sheetViews>
  <sheetFormatPr baseColWidth="10" defaultColWidth="11.42578125" defaultRowHeight="14.25"/>
  <cols>
    <col min="1" max="1" width="1.7109375" style="239" customWidth="1"/>
    <col min="2" max="2" width="0.85546875" style="148" customWidth="1"/>
    <col min="3" max="3" width="25.7109375" style="237" customWidth="1"/>
    <col min="4" max="4" width="50.28515625" style="238" bestFit="1" customWidth="1"/>
    <col min="5" max="5" width="25.7109375" style="148" hidden="1" customWidth="1"/>
    <col min="6" max="6" width="8.85546875" style="148" hidden="1" customWidth="1"/>
    <col min="7" max="7" width="25.28515625" style="148" bestFit="1" customWidth="1"/>
    <col min="8" max="8" width="10.5703125" style="148" bestFit="1" customWidth="1"/>
    <col min="9" max="9" width="19.5703125" style="179" customWidth="1"/>
    <col min="10" max="10" width="9.85546875" style="179" customWidth="1"/>
    <col min="11" max="11" width="6.42578125" style="148" customWidth="1"/>
    <col min="12" max="12" width="28.140625" style="148" bestFit="1" customWidth="1"/>
    <col min="13" max="13" width="20.140625" style="148" bestFit="1" customWidth="1"/>
    <col min="14" max="15" width="1.7109375" style="148" customWidth="1"/>
    <col min="16" max="16" width="16.28515625" style="148" customWidth="1"/>
    <col min="17" max="17" width="15.28515625" style="240" bestFit="1" customWidth="1"/>
    <col min="18" max="16384" width="11.42578125" style="148"/>
  </cols>
  <sheetData>
    <row r="1" spans="1:17" s="134" customFormat="1" ht="15">
      <c r="A1" s="239"/>
      <c r="B1" s="148"/>
      <c r="C1" s="132"/>
      <c r="D1" s="132"/>
      <c r="E1" s="132"/>
      <c r="F1" s="132"/>
      <c r="G1" s="132"/>
      <c r="H1" s="132"/>
      <c r="I1" s="258"/>
      <c r="J1" s="258"/>
      <c r="K1" s="132"/>
      <c r="L1" s="132"/>
      <c r="M1" s="133" t="s">
        <v>389</v>
      </c>
      <c r="N1" s="132"/>
      <c r="O1" s="239"/>
      <c r="Q1" s="135"/>
    </row>
    <row r="2" spans="1:17" s="134" customFormat="1" ht="5.25" customHeight="1">
      <c r="A2" s="239"/>
      <c r="B2" s="148"/>
      <c r="D2" s="148"/>
      <c r="E2" s="148"/>
      <c r="F2" s="148"/>
      <c r="G2" s="148"/>
      <c r="H2" s="148"/>
      <c r="I2" s="179"/>
      <c r="J2" s="179"/>
      <c r="K2" s="148"/>
      <c r="L2" s="148"/>
      <c r="M2" s="148"/>
      <c r="N2" s="148"/>
      <c r="O2" s="239"/>
      <c r="Q2" s="135"/>
    </row>
    <row r="3" spans="1:17" s="134" customFormat="1" ht="2.25" customHeight="1">
      <c r="A3" s="239"/>
      <c r="B3" s="148"/>
      <c r="C3" s="132"/>
      <c r="D3" s="132"/>
      <c r="E3" s="132"/>
      <c r="F3" s="132"/>
      <c r="G3" s="132"/>
      <c r="H3" s="132"/>
      <c r="I3" s="258"/>
      <c r="J3" s="258"/>
      <c r="K3" s="132"/>
      <c r="L3" s="132"/>
      <c r="M3" s="132"/>
      <c r="N3" s="132"/>
      <c r="O3" s="239"/>
      <c r="Q3" s="135"/>
    </row>
    <row r="4" spans="1:17" s="134" customFormat="1" ht="15">
      <c r="A4" s="239"/>
      <c r="B4" s="148"/>
      <c r="C4" s="136"/>
      <c r="D4" s="157"/>
      <c r="E4" s="259"/>
      <c r="F4" s="259"/>
      <c r="G4" s="259"/>
      <c r="H4" s="259"/>
      <c r="I4" s="259"/>
      <c r="J4" s="259"/>
      <c r="K4" s="259"/>
      <c r="L4" s="157"/>
      <c r="M4" s="139"/>
      <c r="N4" s="148"/>
      <c r="O4" s="239"/>
      <c r="Q4" s="135"/>
    </row>
    <row r="5" spans="1:17" s="134" customFormat="1" ht="15">
      <c r="A5" s="239"/>
      <c r="B5" s="148"/>
      <c r="C5" s="140" t="s">
        <v>390</v>
      </c>
      <c r="D5" s="157"/>
      <c r="E5" s="259"/>
      <c r="F5" s="259"/>
      <c r="G5" s="259"/>
      <c r="H5" s="259"/>
      <c r="I5" s="259"/>
      <c r="J5" s="259"/>
      <c r="K5" s="259"/>
      <c r="L5" s="157"/>
      <c r="M5" s="139"/>
      <c r="N5" s="148"/>
      <c r="O5" s="239"/>
      <c r="Q5" s="135"/>
    </row>
    <row r="6" spans="1:17" s="134" customFormat="1" ht="15">
      <c r="A6" s="239"/>
      <c r="B6" s="148"/>
      <c r="C6" s="136"/>
      <c r="D6" s="157"/>
      <c r="E6" s="259"/>
      <c r="F6" s="259"/>
      <c r="G6" s="259"/>
      <c r="H6" s="259"/>
      <c r="I6" s="259"/>
      <c r="J6" s="259"/>
      <c r="K6" s="259"/>
      <c r="L6" s="157"/>
      <c r="M6" s="139"/>
      <c r="N6" s="148"/>
      <c r="O6" s="239"/>
      <c r="Q6" s="135"/>
    </row>
    <row r="7" spans="1:17" s="134" customFormat="1" ht="15.75" thickBot="1">
      <c r="A7" s="239"/>
      <c r="B7" s="148"/>
      <c r="C7" s="142"/>
      <c r="D7" s="159"/>
      <c r="E7" s="260"/>
      <c r="F7" s="260"/>
      <c r="G7" s="260"/>
      <c r="H7" s="260"/>
      <c r="I7" s="260"/>
      <c r="J7" s="260"/>
      <c r="K7" s="260"/>
      <c r="L7" s="159"/>
      <c r="M7" s="145"/>
      <c r="N7" s="148"/>
      <c r="O7" s="239"/>
      <c r="Q7" s="135"/>
    </row>
    <row r="8" spans="1:17" s="134" customFormat="1" ht="15">
      <c r="A8" s="239"/>
      <c r="B8" s="148"/>
      <c r="C8" s="136"/>
      <c r="D8" s="157"/>
      <c r="E8" s="259"/>
      <c r="F8" s="259"/>
      <c r="G8" s="259"/>
      <c r="H8" s="259"/>
      <c r="I8" s="259"/>
      <c r="J8" s="259"/>
      <c r="K8" s="259"/>
      <c r="L8" s="157"/>
      <c r="M8" s="139"/>
      <c r="N8" s="148"/>
      <c r="O8" s="239"/>
      <c r="Q8" s="135"/>
    </row>
    <row r="9" spans="1:17" s="134" customFormat="1" ht="15">
      <c r="A9" s="239"/>
      <c r="B9" s="148"/>
      <c r="C9" s="146" t="s">
        <v>532</v>
      </c>
      <c r="D9" s="147" t="str">
        <f>'Balance (2)'!D9</f>
        <v>Metal Dorado S.A.</v>
      </c>
      <c r="E9" s="148"/>
      <c r="F9" s="148"/>
      <c r="G9" s="148"/>
      <c r="H9" s="148"/>
      <c r="I9" s="179"/>
      <c r="J9" s="179"/>
      <c r="K9" s="148"/>
      <c r="L9" s="149" t="s">
        <v>393</v>
      </c>
      <c r="M9" s="261" t="s">
        <v>394</v>
      </c>
      <c r="N9" s="148"/>
      <c r="O9" s="239"/>
      <c r="Q9" s="135"/>
    </row>
    <row r="10" spans="1:17" s="134" customFormat="1" ht="15">
      <c r="A10" s="239"/>
      <c r="B10" s="148"/>
      <c r="C10" s="146" t="s">
        <v>533</v>
      </c>
      <c r="D10" s="151" t="s">
        <v>396</v>
      </c>
      <c r="E10" s="148"/>
      <c r="F10" s="148"/>
      <c r="G10" s="148"/>
      <c r="H10" s="148"/>
      <c r="I10" s="179"/>
      <c r="J10" s="179"/>
      <c r="K10" s="148"/>
      <c r="L10" s="262" t="s">
        <v>397</v>
      </c>
      <c r="M10" s="263">
        <v>41017</v>
      </c>
      <c r="N10" s="148"/>
      <c r="O10" s="239"/>
      <c r="Q10" s="135"/>
    </row>
    <row r="11" spans="1:17" s="134" customFormat="1" ht="15">
      <c r="A11" s="239"/>
      <c r="B11" s="148"/>
      <c r="C11" s="146" t="s">
        <v>534</v>
      </c>
      <c r="D11" s="151" t="s">
        <v>399</v>
      </c>
      <c r="E11" s="148"/>
      <c r="F11" s="148"/>
      <c r="G11" s="148"/>
      <c r="H11" s="148"/>
      <c r="I11" s="179"/>
      <c r="J11" s="179"/>
      <c r="K11" s="148"/>
      <c r="L11" s="262" t="s">
        <v>400</v>
      </c>
      <c r="M11" s="264"/>
      <c r="N11" s="148"/>
      <c r="O11" s="239"/>
      <c r="Q11" s="135"/>
    </row>
    <row r="12" spans="1:17" s="134" customFormat="1" ht="12.75" customHeight="1">
      <c r="A12" s="239"/>
      <c r="B12" s="148"/>
      <c r="C12" s="156"/>
      <c r="D12" s="148"/>
      <c r="E12" s="157"/>
      <c r="F12" s="157"/>
      <c r="G12" s="157"/>
      <c r="H12" s="157"/>
      <c r="I12" s="259"/>
      <c r="J12" s="259"/>
      <c r="K12" s="157"/>
      <c r="L12" s="157"/>
      <c r="M12" s="157"/>
      <c r="N12" s="148"/>
      <c r="O12" s="239"/>
      <c r="Q12" s="135"/>
    </row>
    <row r="13" spans="1:17" s="134" customFormat="1" ht="15.75" thickBot="1">
      <c r="A13" s="239"/>
      <c r="B13" s="148"/>
      <c r="C13" s="158" t="s">
        <v>401</v>
      </c>
      <c r="D13" s="159"/>
      <c r="E13" s="260"/>
      <c r="F13" s="260"/>
      <c r="G13" s="260"/>
      <c r="H13" s="260"/>
      <c r="I13" s="260"/>
      <c r="J13" s="260"/>
      <c r="K13" s="260"/>
      <c r="L13" s="159"/>
      <c r="M13" s="159"/>
      <c r="N13" s="148"/>
      <c r="O13" s="239"/>
      <c r="Q13" s="135"/>
    </row>
    <row r="14" spans="1:17" s="134" customFormat="1">
      <c r="A14" s="239"/>
      <c r="B14" s="148"/>
      <c r="C14" s="137"/>
      <c r="D14" s="157"/>
      <c r="E14" s="148"/>
      <c r="F14" s="148"/>
      <c r="G14" s="148"/>
      <c r="H14" s="148"/>
      <c r="I14" s="179"/>
      <c r="J14" s="179"/>
      <c r="K14" s="148"/>
      <c r="L14" s="157"/>
      <c r="M14" s="157"/>
      <c r="N14" s="148"/>
      <c r="O14" s="239"/>
      <c r="Q14" s="135"/>
    </row>
    <row r="15" spans="1:17" s="134" customFormat="1" ht="15">
      <c r="A15" s="239"/>
      <c r="B15" s="148"/>
      <c r="C15" s="166" t="s">
        <v>402</v>
      </c>
      <c r="D15" s="265">
        <f>+'Balance (2)'!I22</f>
        <v>33597584779</v>
      </c>
      <c r="E15" s="148"/>
      <c r="F15" s="148"/>
      <c r="G15" s="148"/>
      <c r="H15" s="148"/>
      <c r="I15" s="179"/>
      <c r="J15" s="179"/>
      <c r="K15" s="148"/>
      <c r="L15" s="266" t="s">
        <v>403</v>
      </c>
      <c r="M15" s="266"/>
      <c r="N15" s="148"/>
      <c r="O15" s="239"/>
      <c r="Q15" s="135"/>
    </row>
    <row r="16" spans="1:17" s="134" customFormat="1" ht="15">
      <c r="A16" s="239"/>
      <c r="B16" s="148"/>
      <c r="C16" s="166" t="s">
        <v>404</v>
      </c>
      <c r="D16" s="265">
        <f>+D15*1%</f>
        <v>335975847.79000002</v>
      </c>
      <c r="E16" s="148"/>
      <c r="F16" s="267"/>
      <c r="G16" s="267"/>
      <c r="H16" s="267"/>
      <c r="I16" s="268"/>
      <c r="J16" s="268"/>
      <c r="K16" s="267"/>
      <c r="L16" s="267" t="s">
        <v>535</v>
      </c>
      <c r="M16" s="269" t="s">
        <v>396</v>
      </c>
      <c r="N16" s="148"/>
      <c r="O16" s="239"/>
      <c r="Q16" s="135"/>
    </row>
    <row r="17" spans="1:17" s="134" customFormat="1" ht="15">
      <c r="A17" s="239"/>
      <c r="B17" s="148"/>
      <c r="C17" s="152" t="s">
        <v>406</v>
      </c>
      <c r="D17" s="265">
        <f>+D16*50%</f>
        <v>167987923.89500001</v>
      </c>
      <c r="E17" s="148"/>
      <c r="F17" s="267"/>
      <c r="G17" s="267"/>
      <c r="H17" s="267"/>
      <c r="I17" s="268"/>
      <c r="J17" s="268"/>
      <c r="K17" s="267"/>
      <c r="L17" s="267" t="s">
        <v>536</v>
      </c>
      <c r="M17" s="269">
        <v>41013</v>
      </c>
      <c r="N17" s="148"/>
      <c r="O17" s="239"/>
      <c r="Q17" s="135"/>
    </row>
    <row r="18" spans="1:17" s="134" customFormat="1" ht="15">
      <c r="A18" s="239"/>
      <c r="B18" s="148"/>
      <c r="C18" s="166" t="s">
        <v>408</v>
      </c>
      <c r="D18" s="265">
        <f>+D17*5%</f>
        <v>8399396.1947500017</v>
      </c>
      <c r="E18" s="148"/>
      <c r="F18" s="267"/>
      <c r="G18" s="267"/>
      <c r="H18" s="267"/>
      <c r="I18" s="268"/>
      <c r="J18" s="268"/>
      <c r="K18" s="267"/>
      <c r="L18" s="267" t="s">
        <v>537</v>
      </c>
      <c r="M18" s="269">
        <v>41016</v>
      </c>
      <c r="N18" s="148"/>
      <c r="O18" s="239"/>
      <c r="Q18" s="135"/>
    </row>
    <row r="19" spans="1:17" s="134" customFormat="1" ht="6.75" customHeight="1" thickBot="1">
      <c r="A19" s="239"/>
      <c r="B19" s="148"/>
      <c r="C19" s="167"/>
      <c r="D19" s="157"/>
      <c r="E19" s="148"/>
      <c r="F19" s="148"/>
      <c r="G19" s="148"/>
      <c r="H19" s="148"/>
      <c r="I19" s="179"/>
      <c r="J19" s="179"/>
      <c r="K19" s="148"/>
      <c r="L19" s="157"/>
      <c r="M19" s="157"/>
      <c r="N19" s="148"/>
      <c r="O19" s="239"/>
      <c r="Q19" s="135"/>
    </row>
    <row r="20" spans="1:17" s="174" customFormat="1" ht="30.75" thickBot="1">
      <c r="A20" s="239"/>
      <c r="B20" s="148"/>
      <c r="C20" s="168" t="s">
        <v>410</v>
      </c>
      <c r="D20" s="270" t="s">
        <v>411</v>
      </c>
      <c r="E20" s="271" t="s">
        <v>412</v>
      </c>
      <c r="F20" s="272" t="s">
        <v>413</v>
      </c>
      <c r="G20" s="271" t="s">
        <v>414</v>
      </c>
      <c r="H20" s="272" t="s">
        <v>413</v>
      </c>
      <c r="I20" s="271" t="s">
        <v>415</v>
      </c>
      <c r="J20" s="272" t="s">
        <v>413</v>
      </c>
      <c r="K20" s="273" t="s">
        <v>416</v>
      </c>
      <c r="L20" s="274" t="s">
        <v>417</v>
      </c>
      <c r="M20" s="275" t="s">
        <v>413</v>
      </c>
      <c r="N20" s="276"/>
      <c r="O20" s="277"/>
      <c r="Q20" s="175"/>
    </row>
    <row r="21" spans="1:17" s="179" customFormat="1" ht="4.5" customHeight="1" thickBot="1">
      <c r="A21" s="239"/>
      <c r="B21" s="148"/>
      <c r="C21" s="149"/>
      <c r="D21" s="176"/>
      <c r="E21" s="177"/>
      <c r="F21" s="177"/>
      <c r="G21" s="178"/>
      <c r="H21" s="177"/>
      <c r="I21" s="177"/>
      <c r="J21" s="177"/>
      <c r="K21" s="177"/>
      <c r="L21" s="177"/>
      <c r="O21" s="278"/>
      <c r="Q21" s="180"/>
    </row>
    <row r="22" spans="1:17" s="131" customFormat="1" ht="15">
      <c r="A22" s="239"/>
      <c r="B22" s="148"/>
      <c r="C22" s="279" t="s">
        <v>538</v>
      </c>
      <c r="D22" s="280" t="s">
        <v>196</v>
      </c>
      <c r="E22" s="281"/>
      <c r="F22" s="282" t="e">
        <f>+E22/$E$22</f>
        <v>#DIV/0!</v>
      </c>
      <c r="G22" s="281">
        <f>+G23+G32</f>
        <v>16592321778</v>
      </c>
      <c r="H22" s="283">
        <f>G22/G22</f>
        <v>1</v>
      </c>
      <c r="I22" s="281">
        <f>+I23+I32</f>
        <v>24572657587</v>
      </c>
      <c r="J22" s="283">
        <f>I22/I22</f>
        <v>1</v>
      </c>
      <c r="K22" s="284"/>
      <c r="L22" s="281">
        <f>+I22-G22</f>
        <v>7980335809</v>
      </c>
      <c r="M22" s="285">
        <f>L22/G22</f>
        <v>0.48096558852789628</v>
      </c>
      <c r="O22" s="130"/>
      <c r="Q22" s="187"/>
    </row>
    <row r="23" spans="1:17" s="131" customFormat="1" ht="15">
      <c r="A23" s="239"/>
      <c r="B23" s="148"/>
      <c r="C23" s="286" t="s">
        <v>539</v>
      </c>
      <c r="D23" s="287" t="s">
        <v>540</v>
      </c>
      <c r="E23" s="288"/>
      <c r="F23" s="289" t="e">
        <f>E23/E22</f>
        <v>#DIV/0!</v>
      </c>
      <c r="G23" s="288">
        <f>+G24+G27</f>
        <v>16407138338</v>
      </c>
      <c r="H23" s="290">
        <f t="shared" ref="H23:J35" si="0">G23/G$22</f>
        <v>0.98883920873294917</v>
      </c>
      <c r="I23" s="288">
        <f>+I24+I27</f>
        <v>24366156077</v>
      </c>
      <c r="J23" s="290">
        <f t="shared" si="0"/>
        <v>0.99159628911651587</v>
      </c>
      <c r="K23" s="291"/>
      <c r="L23" s="288">
        <f>+I23-G23</f>
        <v>7959017739</v>
      </c>
      <c r="M23" s="292">
        <f t="shared" ref="M23:M86" si="1">L23/G23</f>
        <v>0.48509481513704295</v>
      </c>
      <c r="O23" s="130"/>
      <c r="Q23" s="187"/>
    </row>
    <row r="24" spans="1:17" s="131" customFormat="1" ht="15">
      <c r="A24" s="239"/>
      <c r="B24" s="148"/>
      <c r="C24" s="286" t="s">
        <v>541</v>
      </c>
      <c r="D24" s="287" t="s">
        <v>542</v>
      </c>
      <c r="E24" s="293"/>
      <c r="F24" s="289" t="e">
        <f>E24/#REF!</f>
        <v>#REF!</v>
      </c>
      <c r="G24" s="293">
        <f>+G25</f>
        <v>16630904</v>
      </c>
      <c r="H24" s="290">
        <f t="shared" si="0"/>
        <v>1.0023253057960314E-3</v>
      </c>
      <c r="I24" s="293">
        <f>+I25</f>
        <v>11951961</v>
      </c>
      <c r="J24" s="290">
        <f t="shared" si="0"/>
        <v>4.8639268901557906E-4</v>
      </c>
      <c r="K24" s="291"/>
      <c r="L24" s="288">
        <f>+I24-G24</f>
        <v>-4678943</v>
      </c>
      <c r="M24" s="292">
        <f t="shared" si="1"/>
        <v>-0.28134026869495488</v>
      </c>
      <c r="O24" s="130"/>
      <c r="Q24" s="187"/>
    </row>
    <row r="25" spans="1:17" s="131" customFormat="1" ht="15">
      <c r="A25" s="239"/>
      <c r="B25" s="148"/>
      <c r="C25" s="294"/>
      <c r="D25" s="295" t="s">
        <v>543</v>
      </c>
      <c r="E25" s="296"/>
      <c r="F25" s="297" t="e">
        <f>E25/E$22</f>
        <v>#DIV/0!</v>
      </c>
      <c r="G25" s="296">
        <v>16630904</v>
      </c>
      <c r="H25" s="298">
        <f t="shared" si="0"/>
        <v>1.0023253057960314E-3</v>
      </c>
      <c r="I25" s="296">
        <v>11951961</v>
      </c>
      <c r="J25" s="298">
        <f t="shared" si="0"/>
        <v>4.8639268901557906E-4</v>
      </c>
      <c r="K25" s="299"/>
      <c r="L25" s="296">
        <f>+I25-G25</f>
        <v>-4678943</v>
      </c>
      <c r="M25" s="300">
        <f t="shared" si="1"/>
        <v>-0.28134026869495488</v>
      </c>
      <c r="O25" s="130"/>
      <c r="Q25" s="187"/>
    </row>
    <row r="26" spans="1:17" s="131" customFormat="1" ht="15">
      <c r="A26" s="239"/>
      <c r="B26" s="148"/>
      <c r="C26" s="294"/>
      <c r="D26" s="295"/>
      <c r="E26" s="296"/>
      <c r="F26" s="297" t="e">
        <f>E26/E$22</f>
        <v>#DIV/0!</v>
      </c>
      <c r="G26" s="296"/>
      <c r="H26" s="297"/>
      <c r="I26" s="296"/>
      <c r="J26" s="298"/>
      <c r="K26" s="299"/>
      <c r="L26" s="296"/>
      <c r="M26" s="300"/>
      <c r="O26" s="130"/>
      <c r="P26" s="301">
        <f>+I28+I24</f>
        <v>24366156077</v>
      </c>
      <c r="Q26" s="187"/>
    </row>
    <row r="27" spans="1:17" s="131" customFormat="1" ht="15">
      <c r="A27" s="239"/>
      <c r="B27" s="148"/>
      <c r="C27" s="294" t="s">
        <v>544</v>
      </c>
      <c r="D27" s="299" t="s">
        <v>545</v>
      </c>
      <c r="E27" s="296"/>
      <c r="F27" s="297" t="e">
        <f>E27/E$22</f>
        <v>#DIV/0!</v>
      </c>
      <c r="G27" s="293">
        <f>+G28</f>
        <v>16390507434</v>
      </c>
      <c r="H27" s="298">
        <f t="shared" si="0"/>
        <v>0.98783688342715315</v>
      </c>
      <c r="I27" s="293">
        <f>+I28</f>
        <v>24354204116</v>
      </c>
      <c r="J27" s="298">
        <f t="shared" si="0"/>
        <v>0.99110989642750036</v>
      </c>
      <c r="K27" s="291"/>
      <c r="L27" s="296">
        <f>+I27-G27</f>
        <v>7963696682</v>
      </c>
      <c r="M27" s="300">
        <f t="shared" si="1"/>
        <v>0.48587249138366123</v>
      </c>
      <c r="O27" s="130"/>
      <c r="Q27" s="187"/>
    </row>
    <row r="28" spans="1:17" s="131" customFormat="1" ht="15">
      <c r="A28" s="239"/>
      <c r="B28" s="148"/>
      <c r="C28" s="294" t="s">
        <v>546</v>
      </c>
      <c r="D28" s="299" t="s">
        <v>547</v>
      </c>
      <c r="E28" s="296"/>
      <c r="F28" s="297" t="e">
        <f>E28/E$22</f>
        <v>#DIV/0!</v>
      </c>
      <c r="G28" s="293">
        <f>+SUM(G29:G30)</f>
        <v>16390507434</v>
      </c>
      <c r="H28" s="290">
        <f t="shared" si="0"/>
        <v>0.98783688342715315</v>
      </c>
      <c r="I28" s="293">
        <f>+SUM(I29:I30)</f>
        <v>24354204116</v>
      </c>
      <c r="J28" s="298">
        <f t="shared" si="0"/>
        <v>0.99110989642750036</v>
      </c>
      <c r="K28" s="302"/>
      <c r="L28" s="296">
        <f>+I28-G28</f>
        <v>7963696682</v>
      </c>
      <c r="M28" s="300">
        <f t="shared" si="1"/>
        <v>0.48587249138366123</v>
      </c>
      <c r="O28" s="130"/>
      <c r="Q28" s="187"/>
    </row>
    <row r="29" spans="1:17" s="131" customFormat="1">
      <c r="A29" s="239"/>
      <c r="B29" s="148"/>
      <c r="C29" s="294"/>
      <c r="D29" s="295" t="s">
        <v>548</v>
      </c>
      <c r="E29" s="296"/>
      <c r="F29" s="297" t="e">
        <f>E29/E$22</f>
        <v>#DIV/0!</v>
      </c>
      <c r="G29" s="296">
        <v>10823672464</v>
      </c>
      <c r="H29" s="298">
        <f t="shared" si="0"/>
        <v>0.65233019277333837</v>
      </c>
      <c r="I29" s="296">
        <v>15245947376</v>
      </c>
      <c r="J29" s="298">
        <f t="shared" si="0"/>
        <v>0.62044356911829379</v>
      </c>
      <c r="K29" s="295"/>
      <c r="L29" s="296">
        <f>+I29-G29</f>
        <v>4422274912</v>
      </c>
      <c r="M29" s="300">
        <f t="shared" si="1"/>
        <v>0.40857434726602054</v>
      </c>
      <c r="O29" s="130"/>
      <c r="Q29" s="187"/>
    </row>
    <row r="30" spans="1:17" s="131" customFormat="1" ht="15">
      <c r="A30" s="239"/>
      <c r="B30" s="148"/>
      <c r="C30" s="303"/>
      <c r="D30" s="295" t="s">
        <v>549</v>
      </c>
      <c r="E30" s="293"/>
      <c r="F30" s="289" t="e">
        <f>E30/#REF!</f>
        <v>#REF!</v>
      </c>
      <c r="G30" s="296">
        <v>5566834970</v>
      </c>
      <c r="H30" s="298">
        <f t="shared" si="0"/>
        <v>0.33550669065381478</v>
      </c>
      <c r="I30" s="296">
        <v>9108256740</v>
      </c>
      <c r="J30" s="298">
        <f t="shared" si="0"/>
        <v>0.37066632730920657</v>
      </c>
      <c r="K30" s="302"/>
      <c r="L30" s="296">
        <f>+I30-G30</f>
        <v>3541421770</v>
      </c>
      <c r="M30" s="300">
        <f t="shared" si="1"/>
        <v>0.63616431762122094</v>
      </c>
      <c r="O30" s="130"/>
      <c r="Q30" s="187"/>
    </row>
    <row r="31" spans="1:17" s="131" customFormat="1" ht="15">
      <c r="A31" s="239"/>
      <c r="B31" s="148"/>
      <c r="C31" s="294"/>
      <c r="D31" s="295"/>
      <c r="E31" s="296"/>
      <c r="F31" s="297" t="e">
        <f>E31/E$22</f>
        <v>#DIV/0!</v>
      </c>
      <c r="G31" s="296"/>
      <c r="H31" s="297"/>
      <c r="I31" s="296"/>
      <c r="J31" s="298"/>
      <c r="K31" s="291"/>
      <c r="L31" s="296"/>
      <c r="M31" s="300"/>
      <c r="O31" s="304"/>
      <c r="Q31" s="187"/>
    </row>
    <row r="32" spans="1:17" s="131" customFormat="1" ht="15">
      <c r="A32" s="239"/>
      <c r="B32" s="148"/>
      <c r="C32" s="294" t="s">
        <v>550</v>
      </c>
      <c r="D32" s="299" t="s">
        <v>551</v>
      </c>
      <c r="E32" s="296"/>
      <c r="F32" s="297" t="e">
        <f>E32/E$22</f>
        <v>#DIV/0!</v>
      </c>
      <c r="G32" s="293">
        <f>+SUM(G33:G38)</f>
        <v>185183440</v>
      </c>
      <c r="H32" s="298">
        <f t="shared" si="0"/>
        <v>1.1160791267050848E-2</v>
      </c>
      <c r="I32" s="293">
        <f>+SUM(I33:I38)</f>
        <v>206501510</v>
      </c>
      <c r="J32" s="298">
        <f t="shared" si="0"/>
        <v>8.4037108834840984E-3</v>
      </c>
      <c r="K32" s="291"/>
      <c r="L32" s="296">
        <f>+I32-G32</f>
        <v>21318070</v>
      </c>
      <c r="M32" s="300">
        <f t="shared" si="1"/>
        <v>0.11511866287827896</v>
      </c>
      <c r="O32" s="305"/>
      <c r="Q32" s="187"/>
    </row>
    <row r="33" spans="1:17" s="131" customFormat="1" ht="15">
      <c r="A33" s="239"/>
      <c r="B33" s="148"/>
      <c r="C33" s="294"/>
      <c r="D33" s="295" t="s">
        <v>552</v>
      </c>
      <c r="E33" s="296"/>
      <c r="F33" s="297"/>
      <c r="G33" s="296">
        <v>28665568</v>
      </c>
      <c r="H33" s="298">
        <f t="shared" si="0"/>
        <v>1.7276405546816295E-3</v>
      </c>
      <c r="I33" s="296">
        <v>2386732</v>
      </c>
      <c r="J33" s="298"/>
      <c r="K33" s="291"/>
      <c r="L33" s="296"/>
      <c r="M33" s="300">
        <f t="shared" si="1"/>
        <v>0</v>
      </c>
      <c r="O33" s="305"/>
      <c r="Q33" s="187"/>
    </row>
    <row r="34" spans="1:17" s="131" customFormat="1" ht="15">
      <c r="A34" s="239"/>
      <c r="B34" s="148"/>
      <c r="C34" s="294"/>
      <c r="D34" s="295" t="s">
        <v>553</v>
      </c>
      <c r="E34" s="296"/>
      <c r="F34" s="297" t="e">
        <f>E34/E$22</f>
        <v>#DIV/0!</v>
      </c>
      <c r="G34" s="296">
        <v>36706781</v>
      </c>
      <c r="H34" s="298">
        <f t="shared" si="0"/>
        <v>2.2122751409432073E-3</v>
      </c>
      <c r="I34" s="296">
        <v>90957833</v>
      </c>
      <c r="J34" s="298">
        <f t="shared" si="0"/>
        <v>3.7015871269911252E-3</v>
      </c>
      <c r="K34" s="299"/>
      <c r="L34" s="296">
        <f>+I34-G34</f>
        <v>54251052</v>
      </c>
      <c r="M34" s="300">
        <f t="shared" si="1"/>
        <v>1.4779572199479982</v>
      </c>
      <c r="O34" s="130"/>
      <c r="Q34" s="187"/>
    </row>
    <row r="35" spans="1:17" s="131" customFormat="1" ht="15">
      <c r="A35" s="239"/>
      <c r="B35" s="148"/>
      <c r="C35" s="294"/>
      <c r="D35" s="295" t="s">
        <v>554</v>
      </c>
      <c r="E35" s="296"/>
      <c r="F35" s="297" t="e">
        <f>E35/E$22</f>
        <v>#DIV/0!</v>
      </c>
      <c r="G35" s="296">
        <v>71956484</v>
      </c>
      <c r="H35" s="298">
        <f t="shared" si="0"/>
        <v>4.3367338798484577E-3</v>
      </c>
      <c r="I35" s="296">
        <v>86360512</v>
      </c>
      <c r="J35" s="298">
        <f t="shared" si="0"/>
        <v>3.5144962116628545E-3</v>
      </c>
      <c r="K35" s="291"/>
      <c r="L35" s="296">
        <f>+I35-G35</f>
        <v>14404028</v>
      </c>
      <c r="M35" s="300">
        <f t="shared" si="1"/>
        <v>0.20017692915623839</v>
      </c>
      <c r="O35" s="130"/>
      <c r="Q35" s="187"/>
    </row>
    <row r="36" spans="1:17" s="131" customFormat="1">
      <c r="A36" s="239"/>
      <c r="B36" s="148"/>
      <c r="C36" s="294"/>
      <c r="D36" s="295" t="s">
        <v>555</v>
      </c>
      <c r="E36" s="296"/>
      <c r="F36" s="297" t="e">
        <f>E36/E$22</f>
        <v>#DIV/0!</v>
      </c>
      <c r="G36" s="296">
        <v>42532402</v>
      </c>
      <c r="H36" s="298">
        <f>G36/G$22</f>
        <v>2.5633785656444009E-3</v>
      </c>
      <c r="I36" s="296">
        <v>24303444</v>
      </c>
      <c r="J36" s="298">
        <f>I36/I$22</f>
        <v>9.8904418107618824E-4</v>
      </c>
      <c r="K36" s="295"/>
      <c r="L36" s="296">
        <f>+I36-G36</f>
        <v>-18228958</v>
      </c>
      <c r="M36" s="300">
        <f>L36/G36</f>
        <v>-0.42858990188233431</v>
      </c>
      <c r="O36" s="130"/>
      <c r="Q36" s="187"/>
    </row>
    <row r="37" spans="1:17" s="131" customFormat="1" ht="15">
      <c r="A37" s="239"/>
      <c r="B37" s="148"/>
      <c r="C37" s="303"/>
      <c r="D37" s="295" t="s">
        <v>556</v>
      </c>
      <c r="E37" s="288"/>
      <c r="F37" s="289" t="e">
        <f>E37/E$22</f>
        <v>#DIV/0!</v>
      </c>
      <c r="G37" s="288">
        <v>0</v>
      </c>
      <c r="H37" s="298">
        <f>G37/G$22</f>
        <v>0</v>
      </c>
      <c r="I37" s="306">
        <v>2492989</v>
      </c>
      <c r="J37" s="298">
        <f>I37/I$22</f>
        <v>1.0145378012832032E-4</v>
      </c>
      <c r="K37" s="302"/>
      <c r="L37" s="296">
        <f>+I37-G37</f>
        <v>2492989</v>
      </c>
      <c r="M37" s="300">
        <v>1</v>
      </c>
      <c r="O37" s="130"/>
      <c r="Q37" s="187"/>
    </row>
    <row r="38" spans="1:17" s="131" customFormat="1" ht="15">
      <c r="A38" s="239"/>
      <c r="B38" s="148"/>
      <c r="C38" s="303"/>
      <c r="D38" s="295" t="s">
        <v>557</v>
      </c>
      <c r="E38" s="293"/>
      <c r="F38" s="289"/>
      <c r="G38" s="296">
        <v>5322205</v>
      </c>
      <c r="H38" s="289"/>
      <c r="I38" s="296">
        <v>0</v>
      </c>
      <c r="J38" s="298">
        <f>I38/I$22</f>
        <v>0</v>
      </c>
      <c r="K38" s="302"/>
      <c r="L38" s="296">
        <f>+I38-G38</f>
        <v>-5322205</v>
      </c>
      <c r="M38" s="300">
        <f>L38/G38</f>
        <v>-1</v>
      </c>
      <c r="O38" s="130"/>
      <c r="Q38" s="187"/>
    </row>
    <row r="39" spans="1:17" s="131" customFormat="1" ht="15.75" thickBot="1">
      <c r="A39" s="239"/>
      <c r="B39" s="148"/>
      <c r="C39" s="307"/>
      <c r="D39" s="308"/>
      <c r="E39" s="309"/>
      <c r="F39" s="310"/>
      <c r="G39" s="309"/>
      <c r="H39" s="310"/>
      <c r="I39" s="311"/>
      <c r="J39" s="298"/>
      <c r="K39" s="312"/>
      <c r="L39" s="296"/>
      <c r="M39" s="300"/>
      <c r="O39" s="130"/>
      <c r="Q39" s="187"/>
    </row>
    <row r="40" spans="1:17" ht="15" thickBot="1">
      <c r="C40" s="313"/>
      <c r="D40" s="314"/>
      <c r="E40" s="315"/>
      <c r="F40" s="315"/>
      <c r="G40" s="315"/>
      <c r="H40" s="315"/>
      <c r="I40" s="316"/>
      <c r="J40" s="316"/>
      <c r="K40" s="315"/>
      <c r="L40" s="315"/>
      <c r="M40" s="315"/>
      <c r="N40" s="131"/>
      <c r="O40" s="239"/>
    </row>
    <row r="41" spans="1:17" s="131" customFormat="1" ht="12.75" customHeight="1">
      <c r="A41" s="239"/>
      <c r="B41" s="148"/>
      <c r="C41" s="317"/>
      <c r="D41" s="318"/>
      <c r="E41" s="227"/>
      <c r="F41" s="228"/>
      <c r="G41" s="227"/>
      <c r="H41" s="319"/>
      <c r="I41" s="320"/>
      <c r="J41" s="321"/>
      <c r="K41" s="229"/>
      <c r="L41" s="227"/>
      <c r="M41" s="322"/>
      <c r="O41" s="130"/>
      <c r="P41" s="323"/>
      <c r="Q41" s="187"/>
    </row>
    <row r="42" spans="1:17" s="131" customFormat="1" ht="12.75" customHeight="1">
      <c r="A42" s="239"/>
      <c r="B42" s="148"/>
      <c r="C42" s="324" t="s">
        <v>558</v>
      </c>
      <c r="D42" s="325" t="s">
        <v>140</v>
      </c>
      <c r="E42" s="199"/>
      <c r="F42" s="192" t="e">
        <f>E42/#REF!</f>
        <v>#REF!</v>
      </c>
      <c r="G42" s="293">
        <f>+G43</f>
        <v>14627696707</v>
      </c>
      <c r="H42" s="326">
        <f t="shared" ref="H42:H83" si="2">G42/G$22</f>
        <v>0.88159432433350438</v>
      </c>
      <c r="I42" s="190">
        <f>+I43</f>
        <v>20231887095</v>
      </c>
      <c r="J42" s="327">
        <f t="shared" ref="J42:J105" si="3">I42/I$22</f>
        <v>0.82334957150518162</v>
      </c>
      <c r="K42" s="216"/>
      <c r="L42" s="199">
        <f>+I42-G42</f>
        <v>5604190388</v>
      </c>
      <c r="M42" s="328">
        <f t="shared" si="1"/>
        <v>0.38312186123726144</v>
      </c>
      <c r="O42" s="329"/>
      <c r="Q42" s="187"/>
    </row>
    <row r="43" spans="1:17" s="131" customFormat="1" ht="12.75" customHeight="1">
      <c r="A43" s="239"/>
      <c r="B43" s="148"/>
      <c r="C43" s="324"/>
      <c r="D43" s="325" t="s">
        <v>559</v>
      </c>
      <c r="E43" s="199"/>
      <c r="F43" s="192"/>
      <c r="G43" s="293">
        <f>+G44+G48+G61+G85+G91+G110</f>
        <v>14627696707</v>
      </c>
      <c r="H43" s="326">
        <f t="shared" si="2"/>
        <v>0.88159432433350438</v>
      </c>
      <c r="I43" s="190">
        <f>+I44+I48+I61+I85+I91+I110</f>
        <v>20231887095</v>
      </c>
      <c r="J43" s="327"/>
      <c r="K43" s="216"/>
      <c r="L43" s="199">
        <f>+I43-G43</f>
        <v>5604190388</v>
      </c>
      <c r="M43" s="328">
        <f t="shared" si="1"/>
        <v>0.38312186123726144</v>
      </c>
      <c r="O43" s="329"/>
      <c r="Q43" s="187"/>
    </row>
    <row r="44" spans="1:17" s="131" customFormat="1" ht="12.75" customHeight="1">
      <c r="A44" s="239"/>
      <c r="B44" s="148"/>
      <c r="C44" s="324" t="s">
        <v>560</v>
      </c>
      <c r="D44" s="325" t="s">
        <v>561</v>
      </c>
      <c r="E44" s="199"/>
      <c r="F44" s="192" t="e">
        <f>E44/#REF!</f>
        <v>#REF!</v>
      </c>
      <c r="G44" s="190">
        <f>+SUM(G45:G46)</f>
        <v>6482242524</v>
      </c>
      <c r="H44" s="326">
        <f t="shared" si="2"/>
        <v>0.3906772428072664</v>
      </c>
      <c r="I44" s="190">
        <f>+SUM(I45:I46)</f>
        <v>8149471539</v>
      </c>
      <c r="J44" s="327">
        <f t="shared" si="3"/>
        <v>0.33164795098562816</v>
      </c>
      <c r="K44" s="325"/>
      <c r="L44" s="199">
        <f>+I44-G44</f>
        <v>1667229015</v>
      </c>
      <c r="M44" s="328">
        <f t="shared" si="1"/>
        <v>0.25719941961862952</v>
      </c>
      <c r="O44" s="329"/>
      <c r="Q44" s="187"/>
    </row>
    <row r="45" spans="1:17" s="131" customFormat="1" ht="12.75" customHeight="1">
      <c r="A45" s="239"/>
      <c r="B45" s="148"/>
      <c r="C45" s="324"/>
      <c r="D45" s="249" t="s">
        <v>562</v>
      </c>
      <c r="E45" s="199"/>
      <c r="F45" s="192"/>
      <c r="G45" s="199">
        <v>2992250</v>
      </c>
      <c r="H45" s="326">
        <f t="shared" si="2"/>
        <v>1.8033943893057015E-4</v>
      </c>
      <c r="I45" s="190"/>
      <c r="J45" s="327"/>
      <c r="K45" s="325"/>
      <c r="L45" s="232"/>
      <c r="M45" s="328">
        <f t="shared" si="1"/>
        <v>0</v>
      </c>
      <c r="O45" s="329"/>
      <c r="Q45" s="187"/>
    </row>
    <row r="46" spans="1:17" s="131" customFormat="1" ht="12.75" customHeight="1">
      <c r="A46" s="239"/>
      <c r="B46" s="148"/>
      <c r="C46" s="330"/>
      <c r="D46" s="249" t="s">
        <v>563</v>
      </c>
      <c r="E46" s="199"/>
      <c r="F46" s="192" t="e">
        <f>E46/#REF!</f>
        <v>#REF!</v>
      </c>
      <c r="G46" s="199">
        <v>6479250274</v>
      </c>
      <c r="H46" s="326">
        <f t="shared" si="2"/>
        <v>0.39049690336833581</v>
      </c>
      <c r="I46" s="199">
        <v>8149471539</v>
      </c>
      <c r="J46" s="327">
        <f t="shared" si="3"/>
        <v>0.33164795098562816</v>
      </c>
      <c r="K46" s="325"/>
      <c r="L46" s="199">
        <f>+I46-G46</f>
        <v>1670221265</v>
      </c>
      <c r="M46" s="328">
        <f t="shared" si="1"/>
        <v>0.25778001996655087</v>
      </c>
      <c r="O46" s="130"/>
      <c r="Q46" s="187"/>
    </row>
    <row r="47" spans="1:17" s="131" customFormat="1" ht="12.75" customHeight="1">
      <c r="A47" s="239"/>
      <c r="B47" s="148"/>
      <c r="C47" s="330"/>
      <c r="D47" s="249"/>
      <c r="E47" s="199"/>
      <c r="F47" s="192"/>
      <c r="G47" s="199"/>
      <c r="H47" s="331"/>
      <c r="I47" s="199"/>
      <c r="J47" s="327"/>
      <c r="K47" s="325"/>
      <c r="L47" s="232"/>
      <c r="M47" s="328"/>
      <c r="O47" s="329"/>
      <c r="Q47" s="187"/>
    </row>
    <row r="48" spans="1:17" s="131" customFormat="1" ht="12.75" customHeight="1">
      <c r="A48" s="239"/>
      <c r="B48" s="148"/>
      <c r="C48" s="324" t="s">
        <v>564</v>
      </c>
      <c r="D48" s="325" t="s">
        <v>565</v>
      </c>
      <c r="E48" s="199"/>
      <c r="F48" s="192" t="e">
        <f>E48/#REF!</f>
        <v>#REF!</v>
      </c>
      <c r="G48" s="190">
        <f>+SUM(G49:G59)</f>
        <v>3435210390</v>
      </c>
      <c r="H48" s="326">
        <f t="shared" si="2"/>
        <v>0.20703614816310972</v>
      </c>
      <c r="I48" s="190">
        <f>+SUM(I49:I59)</f>
        <v>4632070488</v>
      </c>
      <c r="J48" s="327">
        <f t="shared" si="3"/>
        <v>0.18850506794391528</v>
      </c>
      <c r="K48" s="325"/>
      <c r="L48" s="199">
        <f>+I48-G48</f>
        <v>1196860098</v>
      </c>
      <c r="M48" s="328">
        <f t="shared" si="1"/>
        <v>0.34840954763181187</v>
      </c>
      <c r="O48" s="130"/>
      <c r="P48" s="332"/>
      <c r="Q48" s="187"/>
    </row>
    <row r="49" spans="1:17" s="131" customFormat="1" ht="12.75" customHeight="1">
      <c r="A49" s="239"/>
      <c r="B49" s="148"/>
      <c r="C49" s="330"/>
      <c r="D49" s="249" t="s">
        <v>566</v>
      </c>
      <c r="E49" s="199"/>
      <c r="F49" s="192" t="e">
        <f>E49/#REF!</f>
        <v>#REF!</v>
      </c>
      <c r="G49" s="199">
        <v>746501237</v>
      </c>
      <c r="H49" s="326">
        <f t="shared" si="2"/>
        <v>4.4990764221424201E-2</v>
      </c>
      <c r="I49" s="199">
        <v>1145548718</v>
      </c>
      <c r="J49" s="327">
        <f t="shared" si="3"/>
        <v>4.6618836971302806E-2</v>
      </c>
      <c r="K49" s="230"/>
      <c r="L49" s="199">
        <f>+I49-G49</f>
        <v>399047481</v>
      </c>
      <c r="M49" s="328">
        <f t="shared" si="1"/>
        <v>0.53455702579096998</v>
      </c>
      <c r="O49" s="130"/>
      <c r="Q49" s="187"/>
    </row>
    <row r="50" spans="1:17" s="131" customFormat="1" ht="12.75" customHeight="1">
      <c r="A50" s="239"/>
      <c r="B50" s="148"/>
      <c r="C50" s="330"/>
      <c r="D50" s="333" t="s">
        <v>567</v>
      </c>
      <c r="E50" s="199"/>
      <c r="F50" s="192" t="e">
        <f>E50/#REF!</f>
        <v>#REF!</v>
      </c>
      <c r="G50" s="199">
        <v>195137774</v>
      </c>
      <c r="H50" s="326">
        <f t="shared" si="2"/>
        <v>1.1760727438322465E-2</v>
      </c>
      <c r="I50" s="199">
        <v>405430294</v>
      </c>
      <c r="J50" s="327">
        <f t="shared" si="3"/>
        <v>1.649924484417551E-2</v>
      </c>
      <c r="K50" s="216"/>
      <c r="L50" s="199">
        <f>+I50-G50</f>
        <v>210292520</v>
      </c>
      <c r="M50" s="328">
        <f t="shared" si="1"/>
        <v>1.077661775520715</v>
      </c>
      <c r="O50" s="334"/>
      <c r="P50" s="332"/>
      <c r="Q50" s="187"/>
    </row>
    <row r="51" spans="1:17" s="131" customFormat="1" ht="12.75" customHeight="1">
      <c r="A51" s="239"/>
      <c r="B51" s="148"/>
      <c r="C51" s="330"/>
      <c r="D51" s="249" t="s">
        <v>568</v>
      </c>
      <c r="E51" s="199"/>
      <c r="F51" s="192" t="e">
        <f>E51/#REF!</f>
        <v>#REF!</v>
      </c>
      <c r="G51" s="199">
        <v>27092468</v>
      </c>
      <c r="H51" s="326">
        <f t="shared" si="2"/>
        <v>1.6328316411945612E-3</v>
      </c>
      <c r="I51" s="199">
        <v>59617436</v>
      </c>
      <c r="J51" s="327">
        <f t="shared" si="3"/>
        <v>2.4261696476631897E-3</v>
      </c>
      <c r="K51" s="325"/>
      <c r="L51" s="199">
        <f t="shared" ref="L51:L59" si="4">+I51-G51</f>
        <v>32524968</v>
      </c>
      <c r="M51" s="328">
        <f t="shared" si="1"/>
        <v>1.2005169850159092</v>
      </c>
      <c r="O51" s="130"/>
      <c r="Q51" s="187"/>
    </row>
    <row r="52" spans="1:17" s="131" customFormat="1" ht="12.75" customHeight="1">
      <c r="A52" s="239"/>
      <c r="B52" s="148"/>
      <c r="C52" s="330"/>
      <c r="D52" s="249" t="s">
        <v>569</v>
      </c>
      <c r="E52" s="199"/>
      <c r="F52" s="192" t="e">
        <f>E52/#REF!</f>
        <v>#REF!</v>
      </c>
      <c r="G52" s="199">
        <v>20558505</v>
      </c>
      <c r="H52" s="326">
        <f t="shared" si="2"/>
        <v>1.2390372652523421E-3</v>
      </c>
      <c r="I52" s="199">
        <v>54778465</v>
      </c>
      <c r="J52" s="327">
        <f t="shared" si="3"/>
        <v>2.2292446311944778E-3</v>
      </c>
      <c r="K52" s="230"/>
      <c r="L52" s="199">
        <f t="shared" si="4"/>
        <v>34219960</v>
      </c>
      <c r="M52" s="328">
        <f t="shared" si="1"/>
        <v>1.6645159752618199</v>
      </c>
      <c r="O52" s="335"/>
      <c r="Q52" s="187"/>
    </row>
    <row r="53" spans="1:17" s="131" customFormat="1" ht="12.75" customHeight="1">
      <c r="A53" s="239"/>
      <c r="B53" s="148" t="s">
        <v>228</v>
      </c>
      <c r="C53" s="330"/>
      <c r="D53" s="249" t="s">
        <v>570</v>
      </c>
      <c r="E53" s="199"/>
      <c r="F53" s="192" t="e">
        <f>E53/#REF!</f>
        <v>#REF!</v>
      </c>
      <c r="G53" s="199">
        <v>1943369503</v>
      </c>
      <c r="H53" s="326">
        <f t="shared" si="2"/>
        <v>0.11712462722225782</v>
      </c>
      <c r="I53" s="199">
        <v>2209556575</v>
      </c>
      <c r="J53" s="327">
        <f t="shared" si="3"/>
        <v>8.9919316507667907E-2</v>
      </c>
      <c r="K53" s="230"/>
      <c r="L53" s="199">
        <f t="shared" si="4"/>
        <v>266187072</v>
      </c>
      <c r="M53" s="328">
        <f t="shared" si="1"/>
        <v>0.13697193024233642</v>
      </c>
      <c r="O53" s="329"/>
      <c r="Q53" s="187"/>
    </row>
    <row r="54" spans="1:17" s="131" customFormat="1" ht="12.75" customHeight="1">
      <c r="A54" s="239"/>
      <c r="B54" s="148"/>
      <c r="C54" s="330"/>
      <c r="D54" s="249" t="s">
        <v>571</v>
      </c>
      <c r="E54" s="199"/>
      <c r="F54" s="192"/>
      <c r="G54" s="199">
        <v>11517900</v>
      </c>
      <c r="H54" s="326">
        <f t="shared" si="2"/>
        <v>6.9417048163034967E-4</v>
      </c>
      <c r="I54" s="199">
        <v>29716047</v>
      </c>
      <c r="J54" s="327">
        <f>I54/I$22</f>
        <v>1.2093135182789946E-3</v>
      </c>
      <c r="K54" s="230"/>
      <c r="L54" s="199">
        <f t="shared" si="4"/>
        <v>18198147</v>
      </c>
      <c r="M54" s="328">
        <f t="shared" si="1"/>
        <v>1.5799882791133801</v>
      </c>
      <c r="O54" s="130"/>
      <c r="Q54" s="187"/>
    </row>
    <row r="55" spans="1:17" s="131" customFormat="1" ht="12.75" customHeight="1">
      <c r="A55" s="239"/>
      <c r="B55" s="148"/>
      <c r="C55" s="330"/>
      <c r="D55" s="249" t="s">
        <v>572</v>
      </c>
      <c r="E55" s="199"/>
      <c r="F55" s="192" t="e">
        <f>E55/#REF!</f>
        <v>#REF!</v>
      </c>
      <c r="G55" s="199">
        <v>6073229</v>
      </c>
      <c r="H55" s="326">
        <f t="shared" si="2"/>
        <v>3.6602647183787035E-4</v>
      </c>
      <c r="I55" s="199">
        <v>5637715</v>
      </c>
      <c r="J55" s="327">
        <f t="shared" si="3"/>
        <v>2.2943041386710224E-4</v>
      </c>
      <c r="K55" s="230"/>
      <c r="L55" s="199">
        <f t="shared" si="4"/>
        <v>-435514</v>
      </c>
      <c r="M55" s="328">
        <f t="shared" si="1"/>
        <v>-7.1710452545095865E-2</v>
      </c>
      <c r="O55" s="335"/>
      <c r="P55" s="323"/>
      <c r="Q55" s="187"/>
    </row>
    <row r="56" spans="1:17" s="131" customFormat="1" ht="12.75" customHeight="1">
      <c r="A56" s="239"/>
      <c r="B56" s="148"/>
      <c r="C56" s="330"/>
      <c r="D56" s="249" t="s">
        <v>573</v>
      </c>
      <c r="E56" s="199"/>
      <c r="F56" s="192" t="e">
        <f>E56/#REF!</f>
        <v>#REF!</v>
      </c>
      <c r="G56" s="199">
        <v>53315618</v>
      </c>
      <c r="H56" s="326">
        <f t="shared" si="2"/>
        <v>3.2132704942289601E-3</v>
      </c>
      <c r="I56" s="199">
        <v>74728412</v>
      </c>
      <c r="J56" s="327">
        <f t="shared" si="3"/>
        <v>3.0411204704018082E-3</v>
      </c>
      <c r="K56" s="216"/>
      <c r="L56" s="199">
        <f t="shared" si="4"/>
        <v>21412794</v>
      </c>
      <c r="M56" s="328">
        <f t="shared" si="1"/>
        <v>0.40162329169662819</v>
      </c>
      <c r="O56" s="130"/>
      <c r="Q56" s="187"/>
    </row>
    <row r="57" spans="1:17" s="131" customFormat="1" ht="12.75" customHeight="1">
      <c r="A57" s="239"/>
      <c r="B57" s="148"/>
      <c r="C57" s="330"/>
      <c r="D57" s="249" t="s">
        <v>574</v>
      </c>
      <c r="E57" s="199"/>
      <c r="F57" s="192" t="e">
        <f>E57/#REF!</f>
        <v>#REF!</v>
      </c>
      <c r="G57" s="199">
        <v>330697377</v>
      </c>
      <c r="H57" s="326">
        <f t="shared" si="2"/>
        <v>1.9930747572559523E-2</v>
      </c>
      <c r="I57" s="199">
        <v>463055591</v>
      </c>
      <c r="J57" s="327">
        <f t="shared" si="3"/>
        <v>1.8844343122453977E-2</v>
      </c>
      <c r="K57" s="216"/>
      <c r="L57" s="199">
        <f t="shared" si="4"/>
        <v>132358214</v>
      </c>
      <c r="M57" s="328">
        <f t="shared" si="1"/>
        <v>0.40023968499756196</v>
      </c>
      <c r="O57" s="335"/>
      <c r="Q57" s="187"/>
    </row>
    <row r="58" spans="1:17" s="131" customFormat="1" ht="12.75" customHeight="1">
      <c r="A58" s="239"/>
      <c r="B58" s="148"/>
      <c r="C58" s="330"/>
      <c r="D58" s="249" t="s">
        <v>575</v>
      </c>
      <c r="E58" s="199"/>
      <c r="F58" s="192" t="e">
        <f>E58/#REF!</f>
        <v>#REF!</v>
      </c>
      <c r="G58" s="199">
        <v>100946779</v>
      </c>
      <c r="H58" s="326">
        <f t="shared" si="2"/>
        <v>6.0839453544016247E-3</v>
      </c>
      <c r="I58" s="199">
        <v>140148445</v>
      </c>
      <c r="J58" s="327">
        <f t="shared" si="3"/>
        <v>5.7034305102653853E-3</v>
      </c>
      <c r="K58" s="216"/>
      <c r="L58" s="199">
        <f t="shared" si="4"/>
        <v>39201666</v>
      </c>
      <c r="M58" s="328">
        <f t="shared" si="1"/>
        <v>0.38833993900885139</v>
      </c>
      <c r="O58" s="130"/>
      <c r="Q58" s="187"/>
    </row>
    <row r="59" spans="1:17" s="131" customFormat="1">
      <c r="A59" s="239"/>
      <c r="B59" s="148"/>
      <c r="C59" s="330"/>
      <c r="D59" s="249" t="s">
        <v>576</v>
      </c>
      <c r="E59" s="199"/>
      <c r="F59" s="192" t="e">
        <f>E59/#REF!</f>
        <v>#REF!</v>
      </c>
      <c r="G59" s="199">
        <v>0</v>
      </c>
      <c r="H59" s="326">
        <f t="shared" si="2"/>
        <v>0</v>
      </c>
      <c r="I59" s="199">
        <v>43852790</v>
      </c>
      <c r="J59" s="327">
        <f t="shared" si="3"/>
        <v>1.7846173066441142E-3</v>
      </c>
      <c r="K59" s="216"/>
      <c r="L59" s="199">
        <f t="shared" si="4"/>
        <v>43852790</v>
      </c>
      <c r="M59" s="328">
        <v>1</v>
      </c>
      <c r="O59" s="130"/>
      <c r="Q59" s="187"/>
    </row>
    <row r="60" spans="1:17" s="131" customFormat="1" ht="12.75" customHeight="1">
      <c r="A60" s="239"/>
      <c r="B60" s="148"/>
      <c r="C60" s="330"/>
      <c r="D60" s="249"/>
      <c r="E60" s="199"/>
      <c r="F60" s="192" t="e">
        <f>E60/#REF!</f>
        <v>#REF!</v>
      </c>
      <c r="G60" s="199"/>
      <c r="H60" s="331"/>
      <c r="I60" s="199"/>
      <c r="J60" s="327"/>
      <c r="K60" s="216"/>
      <c r="L60" s="232"/>
      <c r="M60" s="328"/>
      <c r="O60" s="130"/>
      <c r="Q60" s="187"/>
    </row>
    <row r="61" spans="1:17" s="131" customFormat="1" ht="12.75" customHeight="1">
      <c r="A61" s="239"/>
      <c r="B61" s="148"/>
      <c r="C61" s="336"/>
      <c r="D61" s="325" t="s">
        <v>577</v>
      </c>
      <c r="E61" s="231"/>
      <c r="F61" s="191" t="e">
        <f>E61/#REF!</f>
        <v>#REF!</v>
      </c>
      <c r="G61" s="231">
        <f>+SUM(G62:G83)</f>
        <v>2001662621</v>
      </c>
      <c r="H61" s="326">
        <f t="shared" si="2"/>
        <v>0.12063788587164657</v>
      </c>
      <c r="I61" s="231">
        <f>+SUM(I62:I83)</f>
        <v>3230405156</v>
      </c>
      <c r="J61" s="337">
        <f t="shared" si="3"/>
        <v>0.13146340173270571</v>
      </c>
      <c r="K61" s="230"/>
      <c r="L61" s="199">
        <f t="shared" ref="L61:L83" si="5">+I61-G61</f>
        <v>1228742535</v>
      </c>
      <c r="M61" s="338">
        <f t="shared" si="1"/>
        <v>0.613860958439709</v>
      </c>
      <c r="O61" s="329"/>
      <c r="Q61" s="187"/>
    </row>
    <row r="62" spans="1:17" s="131" customFormat="1" ht="12.75" customHeight="1">
      <c r="A62" s="239"/>
      <c r="B62" s="148"/>
      <c r="C62" s="330"/>
      <c r="D62" s="249" t="s">
        <v>578</v>
      </c>
      <c r="E62" s="199"/>
      <c r="F62" s="192" t="e">
        <f>E62/#REF!</f>
        <v>#REF!</v>
      </c>
      <c r="G62" s="199">
        <v>120000000</v>
      </c>
      <c r="H62" s="326">
        <f t="shared" si="2"/>
        <v>7.2322608978756513E-3</v>
      </c>
      <c r="I62" s="199">
        <v>430000000</v>
      </c>
      <c r="J62" s="327">
        <f t="shared" si="3"/>
        <v>1.7499124727456773E-2</v>
      </c>
      <c r="K62" s="216"/>
      <c r="L62" s="199">
        <f t="shared" si="5"/>
        <v>310000000</v>
      </c>
      <c r="M62" s="328">
        <f t="shared" si="1"/>
        <v>2.5833333333333335</v>
      </c>
      <c r="O62" s="329"/>
      <c r="Q62" s="187"/>
    </row>
    <row r="63" spans="1:17" s="131" customFormat="1" ht="12.75" customHeight="1">
      <c r="A63" s="239"/>
      <c r="B63" s="148"/>
      <c r="C63" s="330"/>
      <c r="D63" s="249" t="s">
        <v>579</v>
      </c>
      <c r="E63" s="199"/>
      <c r="F63" s="192" t="e">
        <f>E63/#REF!</f>
        <v>#REF!</v>
      </c>
      <c r="G63" s="199">
        <v>960223495</v>
      </c>
      <c r="H63" s="326">
        <f t="shared" si="2"/>
        <v>5.7871556967583296E-2</v>
      </c>
      <c r="I63" s="199">
        <v>1053254123</v>
      </c>
      <c r="J63" s="327">
        <f t="shared" si="3"/>
        <v>4.2862849460663016E-2</v>
      </c>
      <c r="K63" s="216"/>
      <c r="L63" s="199">
        <f t="shared" si="5"/>
        <v>93030628</v>
      </c>
      <c r="M63" s="328">
        <f t="shared" si="1"/>
        <v>9.688434878382142E-2</v>
      </c>
      <c r="O63" s="329"/>
      <c r="Q63" s="187"/>
    </row>
    <row r="64" spans="1:17" s="131" customFormat="1" ht="12.75" customHeight="1">
      <c r="A64" s="239"/>
      <c r="B64" s="148"/>
      <c r="C64" s="330"/>
      <c r="D64" s="249" t="s">
        <v>580</v>
      </c>
      <c r="E64" s="199"/>
      <c r="F64" s="192" t="e">
        <f>E64/#REF!</f>
        <v>#REF!</v>
      </c>
      <c r="G64" s="199">
        <v>72285714</v>
      </c>
      <c r="H64" s="326">
        <f t="shared" si="2"/>
        <v>4.3565761903101878E-3</v>
      </c>
      <c r="I64" s="199">
        <v>104000000</v>
      </c>
      <c r="J64" s="327">
        <f t="shared" si="3"/>
        <v>4.2323464457104751E-3</v>
      </c>
      <c r="K64" s="230"/>
      <c r="L64" s="199">
        <f t="shared" si="5"/>
        <v>31714286</v>
      </c>
      <c r="M64" s="328">
        <f t="shared" si="1"/>
        <v>0.438735183552313</v>
      </c>
      <c r="O64" s="329"/>
      <c r="Q64" s="187"/>
    </row>
    <row r="65" spans="1:17" s="131" customFormat="1" ht="12.75" customHeight="1">
      <c r="A65" s="239"/>
      <c r="B65" s="148"/>
      <c r="C65" s="330"/>
      <c r="D65" s="249" t="s">
        <v>581</v>
      </c>
      <c r="E65" s="199"/>
      <c r="F65" s="192" t="e">
        <f>E65/#REF!</f>
        <v>#REF!</v>
      </c>
      <c r="G65" s="199">
        <v>2647942</v>
      </c>
      <c r="H65" s="326">
        <f t="shared" si="2"/>
        <v>1.5958839488702207E-4</v>
      </c>
      <c r="I65" s="199">
        <v>2188059</v>
      </c>
      <c r="J65" s="327">
        <f t="shared" si="3"/>
        <v>8.9044458958219394E-5</v>
      </c>
      <c r="K65" s="216"/>
      <c r="L65" s="199">
        <f t="shared" si="5"/>
        <v>-459883</v>
      </c>
      <c r="M65" s="328">
        <f t="shared" si="1"/>
        <v>-0.17367563186806961</v>
      </c>
      <c r="O65" s="130"/>
      <c r="P65" s="323"/>
      <c r="Q65" s="187"/>
    </row>
    <row r="66" spans="1:17" s="131" customFormat="1">
      <c r="A66" s="239"/>
      <c r="B66" s="148"/>
      <c r="C66" s="339"/>
      <c r="D66" s="333" t="s">
        <v>582</v>
      </c>
      <c r="E66" s="199"/>
      <c r="F66" s="192" t="e">
        <f>E66/#REF!</f>
        <v>#REF!</v>
      </c>
      <c r="G66" s="199">
        <v>19996244</v>
      </c>
      <c r="H66" s="326">
        <f t="shared" si="2"/>
        <v>1.205150446546505E-3</v>
      </c>
      <c r="I66" s="199">
        <v>31174534</v>
      </c>
      <c r="J66" s="327">
        <f t="shared" si="3"/>
        <v>1.2686675785728882E-3</v>
      </c>
      <c r="K66" s="216"/>
      <c r="L66" s="199">
        <f t="shared" si="5"/>
        <v>11178290</v>
      </c>
      <c r="M66" s="328">
        <f t="shared" si="1"/>
        <v>0.55901948385906874</v>
      </c>
      <c r="O66" s="329"/>
      <c r="Q66" s="187"/>
    </row>
    <row r="67" spans="1:17" s="131" customFormat="1" ht="12.75" customHeight="1">
      <c r="A67" s="239"/>
      <c r="B67" s="148"/>
      <c r="C67" s="336"/>
      <c r="D67" s="249" t="s">
        <v>583</v>
      </c>
      <c r="E67" s="231"/>
      <c r="F67" s="192" t="e">
        <f>E67/#REF!</f>
        <v>#REF!</v>
      </c>
      <c r="G67" s="232">
        <v>74384729</v>
      </c>
      <c r="H67" s="326">
        <f t="shared" si="2"/>
        <v>4.4830813912148078E-3</v>
      </c>
      <c r="I67" s="232">
        <v>68101378</v>
      </c>
      <c r="J67" s="327">
        <f t="shared" si="3"/>
        <v>2.7714290877527458E-3</v>
      </c>
      <c r="K67" s="230"/>
      <c r="L67" s="199">
        <f t="shared" si="5"/>
        <v>-6283351</v>
      </c>
      <c r="M67" s="328">
        <f t="shared" si="1"/>
        <v>-8.447098059603067E-2</v>
      </c>
      <c r="O67" s="329"/>
      <c r="Q67" s="187"/>
    </row>
    <row r="68" spans="1:17" s="131" customFormat="1" ht="12.75" customHeight="1">
      <c r="A68" s="239"/>
      <c r="B68" s="148"/>
      <c r="C68" s="330"/>
      <c r="D68" s="249" t="s">
        <v>584</v>
      </c>
      <c r="E68" s="199"/>
      <c r="F68" s="192" t="e">
        <f>E68/#REF!</f>
        <v>#REF!</v>
      </c>
      <c r="G68" s="199">
        <v>258125958</v>
      </c>
      <c r="H68" s="326">
        <f t="shared" si="2"/>
        <v>1.5556952273084105E-2</v>
      </c>
      <c r="I68" s="199">
        <v>277948193</v>
      </c>
      <c r="J68" s="327">
        <f t="shared" si="3"/>
        <v>1.1311279295530762E-2</v>
      </c>
      <c r="K68" s="216"/>
      <c r="L68" s="199">
        <f t="shared" si="5"/>
        <v>19822235</v>
      </c>
      <c r="M68" s="328">
        <f t="shared" si="1"/>
        <v>7.679287722004309E-2</v>
      </c>
      <c r="O68" s="130"/>
      <c r="Q68" s="187"/>
    </row>
    <row r="69" spans="1:17" s="131" customFormat="1" ht="12.75" customHeight="1">
      <c r="A69" s="239"/>
      <c r="B69" s="148"/>
      <c r="C69" s="330"/>
      <c r="D69" s="249" t="s">
        <v>585</v>
      </c>
      <c r="E69" s="199"/>
      <c r="F69" s="192" t="e">
        <f>E69/#REF!</f>
        <v>#REF!</v>
      </c>
      <c r="G69" s="199">
        <v>33541390</v>
      </c>
      <c r="H69" s="326">
        <f t="shared" si="2"/>
        <v>2.0215006946449781E-3</v>
      </c>
      <c r="I69" s="199">
        <v>14703057</v>
      </c>
      <c r="J69" s="327">
        <f t="shared" si="3"/>
        <v>5.9835029841373588E-4</v>
      </c>
      <c r="K69" s="216"/>
      <c r="L69" s="199">
        <f t="shared" si="5"/>
        <v>-18838333</v>
      </c>
      <c r="M69" s="328">
        <f t="shared" si="1"/>
        <v>-0.56164437430887626</v>
      </c>
      <c r="O69" s="130"/>
      <c r="Q69" s="187"/>
    </row>
    <row r="70" spans="1:17" s="131" customFormat="1" ht="12.75" customHeight="1">
      <c r="A70" s="239"/>
      <c r="B70" s="148"/>
      <c r="C70" s="330"/>
      <c r="D70" s="249" t="s">
        <v>586</v>
      </c>
      <c r="E70" s="199"/>
      <c r="F70" s="192" t="e">
        <f>E70/#REF!</f>
        <v>#REF!</v>
      </c>
      <c r="G70" s="199">
        <v>187118392</v>
      </c>
      <c r="H70" s="326">
        <f t="shared" si="2"/>
        <v>1.1277408581124734E-2</v>
      </c>
      <c r="I70" s="199">
        <v>104459570</v>
      </c>
      <c r="J70" s="327">
        <f t="shared" si="3"/>
        <v>4.2510489404802366E-3</v>
      </c>
      <c r="K70" s="216"/>
      <c r="L70" s="199">
        <f t="shared" si="5"/>
        <v>-82658822</v>
      </c>
      <c r="M70" s="328">
        <f t="shared" si="1"/>
        <v>-0.441746111200015</v>
      </c>
      <c r="O70" s="130"/>
      <c r="Q70" s="187"/>
    </row>
    <row r="71" spans="1:17" s="131" customFormat="1" ht="12.75" customHeight="1">
      <c r="A71" s="239"/>
      <c r="B71" s="148"/>
      <c r="C71" s="330"/>
      <c r="D71" s="333" t="s">
        <v>587</v>
      </c>
      <c r="E71" s="199"/>
      <c r="F71" s="192" t="e">
        <f>E71/#REF!</f>
        <v>#REF!</v>
      </c>
      <c r="G71" s="199">
        <v>32119427</v>
      </c>
      <c r="H71" s="326">
        <f t="shared" si="2"/>
        <v>1.9358006329522619E-3</v>
      </c>
      <c r="I71" s="199">
        <v>34082802</v>
      </c>
      <c r="J71" s="327">
        <f t="shared" si="3"/>
        <v>1.3870214029284027E-3</v>
      </c>
      <c r="K71" s="216"/>
      <c r="L71" s="199">
        <f t="shared" si="5"/>
        <v>1963375</v>
      </c>
      <c r="M71" s="328">
        <f t="shared" si="1"/>
        <v>6.1127335802098837E-2</v>
      </c>
      <c r="O71" s="130"/>
      <c r="Q71" s="187"/>
    </row>
    <row r="72" spans="1:17" s="131" customFormat="1" ht="12.75" customHeight="1">
      <c r="A72" s="239"/>
      <c r="B72" s="148"/>
      <c r="C72" s="330"/>
      <c r="D72" s="249" t="s">
        <v>588</v>
      </c>
      <c r="E72" s="199"/>
      <c r="F72" s="192" t="e">
        <f>E72/#REF!</f>
        <v>#REF!</v>
      </c>
      <c r="G72" s="199">
        <v>21292067</v>
      </c>
      <c r="H72" s="326">
        <f t="shared" si="2"/>
        <v>1.2832481966587378E-3</v>
      </c>
      <c r="I72" s="199">
        <v>40948467</v>
      </c>
      <c r="J72" s="327">
        <f t="shared" si="3"/>
        <v>1.6664240265840645E-3</v>
      </c>
      <c r="K72" s="216"/>
      <c r="L72" s="199">
        <f t="shared" si="5"/>
        <v>19656400</v>
      </c>
      <c r="M72" s="328">
        <f t="shared" si="1"/>
        <v>0.92317951094179818</v>
      </c>
      <c r="O72" s="130"/>
      <c r="Q72" s="187"/>
    </row>
    <row r="73" spans="1:17" s="131" customFormat="1" ht="12.75" customHeight="1">
      <c r="A73" s="239"/>
      <c r="B73" s="148"/>
      <c r="C73" s="330"/>
      <c r="D73" s="249" t="s">
        <v>589</v>
      </c>
      <c r="E73" s="199"/>
      <c r="F73" s="192" t="e">
        <f>E73/#REF!</f>
        <v>#REF!</v>
      </c>
      <c r="G73" s="199">
        <v>22049346</v>
      </c>
      <c r="H73" s="326">
        <f t="shared" si="2"/>
        <v>1.3288885241627575E-3</v>
      </c>
      <c r="I73" s="199">
        <v>40218759</v>
      </c>
      <c r="J73" s="327">
        <f t="shared" si="3"/>
        <v>1.6367280933128482E-3</v>
      </c>
      <c r="K73" s="216"/>
      <c r="L73" s="199">
        <f t="shared" si="5"/>
        <v>18169413</v>
      </c>
      <c r="M73" s="328">
        <f t="shared" si="1"/>
        <v>0.82403410060325599</v>
      </c>
      <c r="O73" s="130"/>
      <c r="Q73" s="187"/>
    </row>
    <row r="74" spans="1:17" s="131" customFormat="1" ht="12.75" customHeight="1">
      <c r="A74" s="239"/>
      <c r="B74" s="148"/>
      <c r="C74" s="330"/>
      <c r="D74" s="249" t="s">
        <v>590</v>
      </c>
      <c r="E74" s="199"/>
      <c r="F74" s="192" t="e">
        <f>E74/#REF!</f>
        <v>#REF!</v>
      </c>
      <c r="G74" s="199">
        <v>95511307</v>
      </c>
      <c r="H74" s="326">
        <f t="shared" si="2"/>
        <v>5.7563557576758078E-3</v>
      </c>
      <c r="I74" s="199">
        <v>128805825</v>
      </c>
      <c r="J74" s="327">
        <f t="shared" si="3"/>
        <v>5.2418353425534182E-3</v>
      </c>
      <c r="K74" s="216"/>
      <c r="L74" s="199">
        <f t="shared" si="5"/>
        <v>33294518</v>
      </c>
      <c r="M74" s="328">
        <f t="shared" si="1"/>
        <v>0.34859242372214633</v>
      </c>
      <c r="O74" s="130"/>
      <c r="Q74" s="187"/>
    </row>
    <row r="75" spans="1:17" s="131" customFormat="1" ht="12.75" customHeight="1">
      <c r="A75" s="239"/>
      <c r="B75" s="148"/>
      <c r="C75" s="330"/>
      <c r="D75" s="249" t="s">
        <v>591</v>
      </c>
      <c r="E75" s="199"/>
      <c r="F75" s="192" t="e">
        <f>E75/#REF!</f>
        <v>#REF!</v>
      </c>
      <c r="G75" s="199">
        <v>12469893</v>
      </c>
      <c r="H75" s="326">
        <f t="shared" si="2"/>
        <v>7.5154599620494411E-4</v>
      </c>
      <c r="I75" s="199">
        <v>50762497</v>
      </c>
      <c r="J75" s="327">
        <f t="shared" si="3"/>
        <v>2.0658122476282566E-3</v>
      </c>
      <c r="K75" s="216"/>
      <c r="L75" s="199">
        <f t="shared" si="5"/>
        <v>38292604</v>
      </c>
      <c r="M75" s="328">
        <f t="shared" si="1"/>
        <v>3.0708045369755781</v>
      </c>
      <c r="O75" s="130"/>
      <c r="Q75" s="187"/>
    </row>
    <row r="76" spans="1:17" s="131" customFormat="1" ht="12.75" customHeight="1">
      <c r="A76" s="239"/>
      <c r="B76" s="148"/>
      <c r="C76" s="330"/>
      <c r="D76" s="249" t="s">
        <v>592</v>
      </c>
      <c r="E76" s="199"/>
      <c r="F76" s="192" t="e">
        <f>E76/#REF!</f>
        <v>#REF!</v>
      </c>
      <c r="G76" s="199">
        <v>7459089</v>
      </c>
      <c r="H76" s="326">
        <f t="shared" si="2"/>
        <v>4.4955064757061996E-4</v>
      </c>
      <c r="I76" s="199">
        <v>4709999</v>
      </c>
      <c r="J76" s="327">
        <f t="shared" si="3"/>
        <v>1.9167641852836436E-4</v>
      </c>
      <c r="K76" s="216"/>
      <c r="L76" s="199">
        <f t="shared" si="5"/>
        <v>-2749090</v>
      </c>
      <c r="M76" s="328">
        <f t="shared" si="1"/>
        <v>-0.36855573113553142</v>
      </c>
      <c r="O76" s="130"/>
      <c r="Q76" s="187"/>
    </row>
    <row r="77" spans="1:17" s="131" customFormat="1" ht="12.75" customHeight="1">
      <c r="A77" s="239"/>
      <c r="B77" s="148"/>
      <c r="C77" s="330"/>
      <c r="D77" s="249" t="s">
        <v>593</v>
      </c>
      <c r="E77" s="199"/>
      <c r="F77" s="192" t="e">
        <f>E77/#REF!</f>
        <v>#REF!</v>
      </c>
      <c r="G77" s="199">
        <v>900000</v>
      </c>
      <c r="H77" s="326">
        <f t="shared" si="2"/>
        <v>5.4241956734067382E-5</v>
      </c>
      <c r="I77" s="199">
        <v>44062954</v>
      </c>
      <c r="J77" s="327">
        <f t="shared" si="3"/>
        <v>1.7931700648981172E-3</v>
      </c>
      <c r="K77" s="230"/>
      <c r="L77" s="199">
        <f t="shared" si="5"/>
        <v>43162954</v>
      </c>
      <c r="M77" s="328">
        <f t="shared" si="1"/>
        <v>47.958837777777781</v>
      </c>
      <c r="O77" s="130"/>
      <c r="Q77" s="187"/>
    </row>
    <row r="78" spans="1:17" s="131" customFormat="1" ht="12.75" customHeight="1">
      <c r="A78" s="239"/>
      <c r="B78" s="148"/>
      <c r="C78" s="330"/>
      <c r="D78" s="333" t="s">
        <v>594</v>
      </c>
      <c r="E78" s="199"/>
      <c r="F78" s="192" t="e">
        <f>E78/#REF!</f>
        <v>#REF!</v>
      </c>
      <c r="G78" s="199">
        <v>0</v>
      </c>
      <c r="H78" s="326">
        <f t="shared" si="2"/>
        <v>0</v>
      </c>
      <c r="I78" s="199">
        <v>1800000</v>
      </c>
      <c r="J78" s="327">
        <f t="shared" si="3"/>
        <v>7.3252150021912071E-5</v>
      </c>
      <c r="K78" s="216"/>
      <c r="L78" s="199">
        <f t="shared" si="5"/>
        <v>1800000</v>
      </c>
      <c r="M78" s="328">
        <v>1</v>
      </c>
      <c r="O78" s="130"/>
      <c r="Q78" s="187"/>
    </row>
    <row r="79" spans="1:17" s="131" customFormat="1" ht="12.75" customHeight="1">
      <c r="A79" s="239"/>
      <c r="B79" s="148"/>
      <c r="C79" s="330"/>
      <c r="D79" s="249" t="s">
        <v>595</v>
      </c>
      <c r="E79" s="199"/>
      <c r="F79" s="192" t="e">
        <f>E79/#REF!</f>
        <v>#REF!</v>
      </c>
      <c r="G79" s="199">
        <v>67242647</v>
      </c>
      <c r="H79" s="326">
        <f t="shared" si="2"/>
        <v>4.0526363880646291E-3</v>
      </c>
      <c r="I79" s="199">
        <v>74019382</v>
      </c>
      <c r="J79" s="327">
        <f t="shared" si="3"/>
        <v>3.012266041551788E-3</v>
      </c>
      <c r="K79" s="216"/>
      <c r="L79" s="199">
        <f t="shared" si="5"/>
        <v>6776735</v>
      </c>
      <c r="M79" s="328">
        <f t="shared" si="1"/>
        <v>0.10078031282736385</v>
      </c>
      <c r="O79" s="130"/>
      <c r="Q79" s="187"/>
    </row>
    <row r="80" spans="1:17" s="131" customFormat="1" ht="12.75" customHeight="1">
      <c r="A80" s="239"/>
      <c r="B80" s="148"/>
      <c r="C80" s="330"/>
      <c r="D80" s="249" t="s">
        <v>596</v>
      </c>
      <c r="E80" s="199"/>
      <c r="F80" s="192" t="e">
        <f>E80/#REF!</f>
        <v>#REF!</v>
      </c>
      <c r="G80" s="199">
        <v>2372528</v>
      </c>
      <c r="H80" s="326">
        <f t="shared" si="2"/>
        <v>1.4298951236262604E-4</v>
      </c>
      <c r="I80" s="199">
        <v>4643051</v>
      </c>
      <c r="J80" s="327">
        <f t="shared" si="3"/>
        <v>1.8895192689521604E-4</v>
      </c>
      <c r="K80" s="249"/>
      <c r="L80" s="199">
        <f t="shared" si="5"/>
        <v>2270523</v>
      </c>
      <c r="M80" s="328">
        <f t="shared" si="1"/>
        <v>0.95700577611728921</v>
      </c>
      <c r="O80" s="130"/>
      <c r="Q80" s="187"/>
    </row>
    <row r="81" spans="1:17" s="131" customFormat="1" ht="12.75" customHeight="1">
      <c r="A81" s="239"/>
      <c r="B81" s="148"/>
      <c r="C81" s="330"/>
      <c r="D81" s="249" t="s">
        <v>597</v>
      </c>
      <c r="E81" s="199"/>
      <c r="F81" s="192" t="e">
        <f>E81/#REF!</f>
        <v>#REF!</v>
      </c>
      <c r="G81" s="199">
        <v>11135544</v>
      </c>
      <c r="H81" s="326">
        <f t="shared" si="2"/>
        <v>6.711263287314485E-4</v>
      </c>
      <c r="I81" s="199">
        <v>20312506</v>
      </c>
      <c r="J81" s="327">
        <f t="shared" si="3"/>
        <v>8.2663040935166061E-4</v>
      </c>
      <c r="K81" s="325"/>
      <c r="L81" s="199">
        <f t="shared" si="5"/>
        <v>9176962</v>
      </c>
      <c r="M81" s="328">
        <f t="shared" si="1"/>
        <v>0.82411438543101267</v>
      </c>
      <c r="O81" s="130"/>
      <c r="Q81" s="187"/>
    </row>
    <row r="82" spans="1:17" s="131" customFormat="1" ht="12.75" customHeight="1">
      <c r="A82" s="239"/>
      <c r="B82" s="148"/>
      <c r="C82" s="330"/>
      <c r="D82" s="249" t="s">
        <v>184</v>
      </c>
      <c r="E82" s="199"/>
      <c r="F82" s="192" t="e">
        <f>E82/#REF!</f>
        <v>#REF!</v>
      </c>
      <c r="G82" s="131">
        <v>0</v>
      </c>
      <c r="H82" s="326">
        <f t="shared" si="2"/>
        <v>0</v>
      </c>
      <c r="I82" s="199">
        <v>700000000</v>
      </c>
      <c r="J82" s="327">
        <f t="shared" si="3"/>
        <v>2.8486947230743586E-2</v>
      </c>
      <c r="K82" s="230"/>
      <c r="L82" s="199">
        <f t="shared" si="5"/>
        <v>700000000</v>
      </c>
      <c r="M82" s="328">
        <v>1</v>
      </c>
      <c r="O82" s="130"/>
      <c r="Q82" s="187"/>
    </row>
    <row r="83" spans="1:17" s="131" customFormat="1" ht="12.75" customHeight="1">
      <c r="A83" s="239"/>
      <c r="B83" s="148"/>
      <c r="C83" s="330"/>
      <c r="D83" s="249" t="s">
        <v>598</v>
      </c>
      <c r="E83" s="199"/>
      <c r="F83" s="192" t="e">
        <f>E83/#REF!</f>
        <v>#REF!</v>
      </c>
      <c r="G83" s="199">
        <v>786909</v>
      </c>
      <c r="H83" s="326">
        <f t="shared" si="2"/>
        <v>4.7426093257386923E-5</v>
      </c>
      <c r="I83" s="199">
        <v>210000</v>
      </c>
      <c r="J83" s="327">
        <f t="shared" si="3"/>
        <v>8.5460841692230753E-6</v>
      </c>
      <c r="K83" s="216"/>
      <c r="L83" s="199">
        <f t="shared" si="5"/>
        <v>-576909</v>
      </c>
      <c r="M83" s="328">
        <f t="shared" si="1"/>
        <v>-0.73313305604587065</v>
      </c>
      <c r="O83" s="130"/>
      <c r="Q83" s="187"/>
    </row>
    <row r="84" spans="1:17" s="131" customFormat="1" ht="12.75" customHeight="1">
      <c r="A84" s="239"/>
      <c r="B84" s="148"/>
      <c r="C84" s="330"/>
      <c r="D84" s="249"/>
      <c r="E84" s="199"/>
      <c r="F84" s="192" t="e">
        <f>E84/#REF!</f>
        <v>#REF!</v>
      </c>
      <c r="G84" s="199"/>
      <c r="H84" s="331"/>
      <c r="I84" s="199"/>
      <c r="J84" s="327"/>
      <c r="K84" s="216"/>
      <c r="L84" s="232"/>
      <c r="M84" s="328"/>
      <c r="O84" s="130"/>
      <c r="Q84" s="187"/>
    </row>
    <row r="85" spans="1:17" s="131" customFormat="1" ht="12.75" customHeight="1">
      <c r="A85" s="239"/>
      <c r="B85" s="148"/>
      <c r="C85" s="339"/>
      <c r="D85" s="340" t="s">
        <v>599</v>
      </c>
      <c r="E85" s="199"/>
      <c r="F85" s="192" t="e">
        <f>E85/#REF!</f>
        <v>#REF!</v>
      </c>
      <c r="G85" s="190">
        <f>+SUM(G86:G89)</f>
        <v>1853490831</v>
      </c>
      <c r="H85" s="326">
        <f>G85/G$22</f>
        <v>0.11170774384676956</v>
      </c>
      <c r="I85" s="190">
        <f>+SUM(I86:I89)</f>
        <v>2152716054</v>
      </c>
      <c r="J85" s="327">
        <f t="shared" si="3"/>
        <v>8.760615519010366E-2</v>
      </c>
      <c r="K85" s="216"/>
      <c r="L85" s="199">
        <f>+I85-G85</f>
        <v>299225223</v>
      </c>
      <c r="M85" s="328">
        <f t="shared" si="1"/>
        <v>0.16143873926722435</v>
      </c>
      <c r="O85" s="130"/>
      <c r="Q85" s="187"/>
    </row>
    <row r="86" spans="1:17" s="131" customFormat="1" ht="12.75" customHeight="1">
      <c r="A86" s="239"/>
      <c r="B86" s="148"/>
      <c r="C86" s="330"/>
      <c r="D86" s="249" t="s">
        <v>600</v>
      </c>
      <c r="E86" s="199"/>
      <c r="F86" s="192" t="e">
        <f>E86/#REF!</f>
        <v>#REF!</v>
      </c>
      <c r="G86" s="199">
        <v>1769162997</v>
      </c>
      <c r="H86" s="326">
        <f>G86/G$22</f>
        <v>0.10662540304309664</v>
      </c>
      <c r="I86" s="199">
        <v>2059770885</v>
      </c>
      <c r="J86" s="327">
        <f t="shared" si="3"/>
        <v>8.3823692154881446E-2</v>
      </c>
      <c r="K86" s="216"/>
      <c r="L86" s="199">
        <f>+I86-G86</f>
        <v>290607888</v>
      </c>
      <c r="M86" s="328">
        <f t="shared" si="1"/>
        <v>0.16426292461055808</v>
      </c>
      <c r="O86" s="130"/>
      <c r="Q86" s="187"/>
    </row>
    <row r="87" spans="1:17" s="131" customFormat="1" ht="12.75" customHeight="1">
      <c r="A87" s="239"/>
      <c r="B87" s="148"/>
      <c r="C87" s="336"/>
      <c r="D87" s="249" t="s">
        <v>601</v>
      </c>
      <c r="E87" s="231"/>
      <c r="F87" s="192" t="e">
        <f>E87/#REF!</f>
        <v>#REF!</v>
      </c>
      <c r="G87" s="232">
        <v>14305839</v>
      </c>
      <c r="H87" s="326">
        <f>G87/G$22</f>
        <v>8.6219633342503755E-4</v>
      </c>
      <c r="I87" s="232">
        <v>13963287</v>
      </c>
      <c r="J87" s="327">
        <f t="shared" si="3"/>
        <v>5.68244885623897E-4</v>
      </c>
      <c r="K87" s="216"/>
      <c r="L87" s="199">
        <f>+I87-G87</f>
        <v>-342552</v>
      </c>
      <c r="M87" s="328">
        <f t="shared" ref="M87:M106" si="6">L87/G87</f>
        <v>-2.3944908089626901E-2</v>
      </c>
      <c r="O87" s="130"/>
      <c r="Q87" s="187"/>
    </row>
    <row r="88" spans="1:17" s="131" customFormat="1" ht="12.75" customHeight="1">
      <c r="A88" s="239"/>
      <c r="B88" s="148"/>
      <c r="C88" s="330"/>
      <c r="D88" s="249" t="s">
        <v>553</v>
      </c>
      <c r="E88" s="199"/>
      <c r="F88" s="192" t="e">
        <f>E88/#REF!</f>
        <v>#REF!</v>
      </c>
      <c r="G88" s="199">
        <v>15583810</v>
      </c>
      <c r="H88" s="326">
        <f>G88/G$22</f>
        <v>9.3921816419102961E-4</v>
      </c>
      <c r="I88" s="199">
        <v>56081437</v>
      </c>
      <c r="J88" s="327">
        <f t="shared" si="3"/>
        <v>2.2822699092046725E-3</v>
      </c>
      <c r="K88" s="216"/>
      <c r="L88" s="199">
        <f>+I88-G88</f>
        <v>40497627</v>
      </c>
      <c r="M88" s="328">
        <f t="shared" si="6"/>
        <v>2.5986987136008461</v>
      </c>
      <c r="O88" s="130"/>
      <c r="Q88" s="187"/>
    </row>
    <row r="89" spans="1:17" s="131" customFormat="1" ht="12.75" customHeight="1">
      <c r="A89" s="239"/>
      <c r="B89" s="148"/>
      <c r="C89" s="330"/>
      <c r="D89" s="249" t="s">
        <v>602</v>
      </c>
      <c r="E89" s="199"/>
      <c r="F89" s="192" t="e">
        <f>E89/#REF!</f>
        <v>#REF!</v>
      </c>
      <c r="G89" s="199">
        <v>54438185</v>
      </c>
      <c r="H89" s="326">
        <f>G89/G$22</f>
        <v>3.28092630605684E-3</v>
      </c>
      <c r="I89" s="199">
        <v>22900445</v>
      </c>
      <c r="J89" s="327">
        <f t="shared" si="3"/>
        <v>9.3194824039363679E-4</v>
      </c>
      <c r="K89" s="216"/>
      <c r="L89" s="199">
        <f>+I89-G89</f>
        <v>-31537740</v>
      </c>
      <c r="M89" s="328">
        <f t="shared" si="6"/>
        <v>-0.57933121760029294</v>
      </c>
      <c r="O89" s="130"/>
      <c r="Q89" s="187"/>
    </row>
    <row r="90" spans="1:17" s="131" customFormat="1" ht="12.75" customHeight="1">
      <c r="A90" s="239"/>
      <c r="B90" s="148"/>
      <c r="C90" s="336"/>
      <c r="D90" s="325"/>
      <c r="E90" s="231"/>
      <c r="F90" s="191" t="e">
        <f>E90/#REF!</f>
        <v>#REF!</v>
      </c>
      <c r="G90" s="231"/>
      <c r="H90" s="341"/>
      <c r="I90" s="231"/>
      <c r="J90" s="337"/>
      <c r="K90" s="230"/>
      <c r="L90" s="231"/>
      <c r="M90" s="338"/>
      <c r="O90" s="130"/>
      <c r="Q90" s="187"/>
    </row>
    <row r="91" spans="1:17" s="131" customFormat="1" ht="12.75" customHeight="1">
      <c r="A91" s="239"/>
      <c r="B91" s="148"/>
      <c r="C91" s="330"/>
      <c r="D91" s="325" t="s">
        <v>371</v>
      </c>
      <c r="E91" s="199"/>
      <c r="F91" s="192" t="e">
        <f>E91/#REF!</f>
        <v>#REF!</v>
      </c>
      <c r="G91" s="293">
        <f>+SUM(G92:G108)</f>
        <v>855090341</v>
      </c>
      <c r="H91" s="326">
        <f t="shared" ref="H91:H97" si="7">G91/G$22</f>
        <v>5.1535303644712142E-2</v>
      </c>
      <c r="I91" s="190">
        <f>+SUM(I92:I108)</f>
        <v>1848348858</v>
      </c>
      <c r="J91" s="327">
        <f t="shared" si="3"/>
        <v>7.5219737688358809E-2</v>
      </c>
      <c r="K91" s="216"/>
      <c r="L91" s="199">
        <f t="shared" ref="L91:L108" si="8">+I91-G91</f>
        <v>993258517</v>
      </c>
      <c r="M91" s="328">
        <f t="shared" si="6"/>
        <v>1.1615831326528807</v>
      </c>
      <c r="O91" s="130"/>
      <c r="Q91" s="187"/>
    </row>
    <row r="92" spans="1:17" s="131" customFormat="1" ht="12.75" customHeight="1">
      <c r="A92" s="239"/>
      <c r="B92" s="148"/>
      <c r="C92" s="330"/>
      <c r="D92" s="249" t="s">
        <v>603</v>
      </c>
      <c r="E92" s="199"/>
      <c r="F92" s="192" t="e">
        <f>E92/#REF!</f>
        <v>#REF!</v>
      </c>
      <c r="G92" s="199">
        <v>7200000</v>
      </c>
      <c r="H92" s="326">
        <f t="shared" si="7"/>
        <v>4.3393565387253905E-4</v>
      </c>
      <c r="I92" s="199">
        <v>10459091</v>
      </c>
      <c r="J92" s="327">
        <f t="shared" si="3"/>
        <v>4.256393905693502E-4</v>
      </c>
      <c r="K92" s="216"/>
      <c r="L92" s="199">
        <f t="shared" si="8"/>
        <v>3259091</v>
      </c>
      <c r="M92" s="328">
        <f t="shared" si="6"/>
        <v>0.45265152777777778</v>
      </c>
      <c r="O92" s="130"/>
      <c r="Q92" s="187"/>
    </row>
    <row r="93" spans="1:17" s="131" customFormat="1" ht="12.75" customHeight="1">
      <c r="A93" s="239"/>
      <c r="B93" s="148"/>
      <c r="C93" s="330"/>
      <c r="D93" s="249" t="s">
        <v>604</v>
      </c>
      <c r="E93" s="199"/>
      <c r="F93" s="192" t="e">
        <f>E93/#REF!</f>
        <v>#REF!</v>
      </c>
      <c r="G93" s="199">
        <v>7408757</v>
      </c>
      <c r="H93" s="326">
        <f t="shared" si="7"/>
        <v>4.4651719627468765E-4</v>
      </c>
      <c r="I93" s="199">
        <v>46100322</v>
      </c>
      <c r="J93" s="327">
        <f t="shared" si="3"/>
        <v>1.8760820573346965E-3</v>
      </c>
      <c r="K93" s="230"/>
      <c r="L93" s="199">
        <f t="shared" si="8"/>
        <v>38691565</v>
      </c>
      <c r="M93" s="328">
        <f t="shared" si="6"/>
        <v>5.2224097780504879</v>
      </c>
      <c r="O93" s="130"/>
      <c r="Q93" s="187"/>
    </row>
    <row r="94" spans="1:17" s="131" customFormat="1" ht="12.75" customHeight="1">
      <c r="A94" s="239"/>
      <c r="B94" s="148"/>
      <c r="C94" s="330"/>
      <c r="D94" s="249" t="s">
        <v>605</v>
      </c>
      <c r="E94" s="199"/>
      <c r="F94" s="192" t="e">
        <f>E94/#REF!</f>
        <v>#REF!</v>
      </c>
      <c r="G94" s="199">
        <v>22030955</v>
      </c>
      <c r="H94" s="326">
        <f t="shared" si="7"/>
        <v>1.3277801199113172E-3</v>
      </c>
      <c r="I94" s="199">
        <v>53717088</v>
      </c>
      <c r="J94" s="327">
        <f>I94/I$22</f>
        <v>2.1860512160645851E-3</v>
      </c>
      <c r="K94" s="216"/>
      <c r="L94" s="199">
        <f t="shared" si="8"/>
        <v>31686133</v>
      </c>
      <c r="M94" s="328">
        <f t="shared" si="6"/>
        <v>1.4382550824510332</v>
      </c>
      <c r="O94" s="130"/>
      <c r="Q94" s="187"/>
    </row>
    <row r="95" spans="1:17" s="131" customFormat="1" ht="12.75" customHeight="1">
      <c r="A95" s="239"/>
      <c r="B95" s="148"/>
      <c r="C95" s="330"/>
      <c r="D95" s="249" t="s">
        <v>606</v>
      </c>
      <c r="E95" s="199"/>
      <c r="F95" s="192" t="e">
        <f>E95/#REF!</f>
        <v>#REF!</v>
      </c>
      <c r="G95" s="199">
        <v>204239142</v>
      </c>
      <c r="H95" s="326">
        <f t="shared" si="7"/>
        <v>1.2309256337518939E-2</v>
      </c>
      <c r="I95" s="199">
        <v>299127104</v>
      </c>
      <c r="J95" s="327">
        <f t="shared" si="3"/>
        <v>1.2173168609904498E-2</v>
      </c>
      <c r="K95" s="249"/>
      <c r="L95" s="199">
        <f t="shared" si="8"/>
        <v>94887962</v>
      </c>
      <c r="M95" s="328">
        <f t="shared" si="6"/>
        <v>0.4645924433035466</v>
      </c>
      <c r="O95" s="130"/>
      <c r="Q95" s="187"/>
    </row>
    <row r="96" spans="1:17" s="131" customFormat="1" ht="12.75" customHeight="1">
      <c r="A96" s="239"/>
      <c r="B96" s="148"/>
      <c r="C96" s="339"/>
      <c r="D96" s="333" t="s">
        <v>607</v>
      </c>
      <c r="E96" s="199"/>
      <c r="F96" s="192" t="e">
        <f>E96/#REF!</f>
        <v>#REF!</v>
      </c>
      <c r="G96" s="199">
        <v>1896364</v>
      </c>
      <c r="H96" s="326">
        <f t="shared" si="7"/>
        <v>1.1429166004449217E-4</v>
      </c>
      <c r="I96" s="199">
        <v>18001818</v>
      </c>
      <c r="J96" s="327">
        <f t="shared" si="3"/>
        <v>7.3259548489064288E-4</v>
      </c>
      <c r="K96" s="249"/>
      <c r="L96" s="199">
        <f t="shared" si="8"/>
        <v>16105454</v>
      </c>
      <c r="M96" s="328">
        <f t="shared" si="6"/>
        <v>8.492807288052294</v>
      </c>
      <c r="O96" s="130"/>
      <c r="Q96" s="187"/>
    </row>
    <row r="97" spans="1:17" s="131" customFormat="1" ht="12.75" customHeight="1">
      <c r="A97" s="239"/>
      <c r="B97" s="148"/>
      <c r="C97" s="330"/>
      <c r="D97" s="249" t="s">
        <v>608</v>
      </c>
      <c r="E97" s="199"/>
      <c r="F97" s="192" t="e">
        <f>E97/#REF!</f>
        <v>#REF!</v>
      </c>
      <c r="G97" s="199">
        <v>2881683</v>
      </c>
      <c r="H97" s="326">
        <f t="shared" si="7"/>
        <v>1.7367569400810834E-4</v>
      </c>
      <c r="I97" s="199">
        <v>4659172</v>
      </c>
      <c r="J97" s="327">
        <f t="shared" si="3"/>
        <v>1.8960798128994007E-4</v>
      </c>
      <c r="K97" s="249"/>
      <c r="L97" s="199">
        <f t="shared" si="8"/>
        <v>1777489</v>
      </c>
      <c r="M97" s="328">
        <f t="shared" si="6"/>
        <v>0.61682322448374782</v>
      </c>
      <c r="O97" s="130"/>
      <c r="Q97" s="187"/>
    </row>
    <row r="98" spans="1:17" s="131" customFormat="1" ht="12.75" customHeight="1">
      <c r="A98" s="239"/>
      <c r="B98" s="148"/>
      <c r="C98" s="330"/>
      <c r="D98" s="249" t="s">
        <v>609</v>
      </c>
      <c r="E98" s="199"/>
      <c r="F98" s="192"/>
      <c r="G98" s="199">
        <v>41240217</v>
      </c>
      <c r="H98" s="331"/>
      <c r="I98" s="199">
        <v>0</v>
      </c>
      <c r="J98" s="327">
        <f t="shared" si="3"/>
        <v>0</v>
      </c>
      <c r="K98" s="249"/>
      <c r="L98" s="199">
        <f t="shared" si="8"/>
        <v>-41240217</v>
      </c>
      <c r="M98" s="328">
        <f t="shared" si="6"/>
        <v>-1</v>
      </c>
      <c r="O98" s="130"/>
      <c r="Q98" s="187"/>
    </row>
    <row r="99" spans="1:17" s="131" customFormat="1" ht="12.75" customHeight="1">
      <c r="A99" s="239"/>
      <c r="B99" s="148"/>
      <c r="C99" s="330"/>
      <c r="D99" s="249" t="s">
        <v>610</v>
      </c>
      <c r="E99" s="199"/>
      <c r="F99" s="192" t="e">
        <f>E99/#REF!</f>
        <v>#REF!</v>
      </c>
      <c r="G99" s="199">
        <v>37627906</v>
      </c>
      <c r="H99" s="326">
        <f t="shared" ref="H99:H108" si="9">G99/G$22</f>
        <v>2.2677902769395052E-3</v>
      </c>
      <c r="I99" s="199">
        <v>46595881</v>
      </c>
      <c r="J99" s="327">
        <f t="shared" si="3"/>
        <v>1.8962491474528681E-3</v>
      </c>
      <c r="K99" s="230"/>
      <c r="L99" s="199">
        <f t="shared" si="8"/>
        <v>8967975</v>
      </c>
      <c r="M99" s="328">
        <f t="shared" si="6"/>
        <v>0.23833308715079707</v>
      </c>
      <c r="O99" s="130"/>
      <c r="Q99" s="187"/>
    </row>
    <row r="100" spans="1:17" s="131" customFormat="1" ht="12.75" customHeight="1">
      <c r="A100" s="239"/>
      <c r="B100" s="148"/>
      <c r="C100" s="339"/>
      <c r="D100" s="333" t="s">
        <v>611</v>
      </c>
      <c r="E100" s="199"/>
      <c r="F100" s="192" t="e">
        <f>E100/#REF!</f>
        <v>#REF!</v>
      </c>
      <c r="G100" s="199">
        <v>1345432</v>
      </c>
      <c r="H100" s="326">
        <f t="shared" si="9"/>
        <v>8.108762703625528E-5</v>
      </c>
      <c r="I100" s="199">
        <v>33482898</v>
      </c>
      <c r="J100" s="327">
        <f t="shared" si="3"/>
        <v>1.3626079263691E-3</v>
      </c>
      <c r="K100" s="230"/>
      <c r="L100" s="199">
        <f t="shared" si="8"/>
        <v>32137466</v>
      </c>
      <c r="M100" s="328">
        <f t="shared" si="6"/>
        <v>23.886354717295262</v>
      </c>
      <c r="O100" s="130"/>
      <c r="Q100" s="187"/>
    </row>
    <row r="101" spans="1:17" s="196" customFormat="1" ht="12.75" customHeight="1">
      <c r="A101" s="239"/>
      <c r="B101" s="148"/>
      <c r="C101" s="330"/>
      <c r="D101" s="249" t="s">
        <v>244</v>
      </c>
      <c r="E101" s="199"/>
      <c r="F101" s="192" t="e">
        <f>E101/#REF!</f>
        <v>#REF!</v>
      </c>
      <c r="G101" s="199">
        <v>259214318</v>
      </c>
      <c r="H101" s="326">
        <f t="shared" si="9"/>
        <v>1.5622546468674205E-2</v>
      </c>
      <c r="I101" s="199">
        <v>623453061</v>
      </c>
      <c r="J101" s="327">
        <f t="shared" si="3"/>
        <v>2.5371820642217945E-2</v>
      </c>
      <c r="K101" s="216"/>
      <c r="L101" s="199">
        <f t="shared" si="8"/>
        <v>364238743</v>
      </c>
      <c r="M101" s="328">
        <f t="shared" si="6"/>
        <v>1.4051644438869306</v>
      </c>
      <c r="O101" s="342"/>
      <c r="Q101" s="187"/>
    </row>
    <row r="102" spans="1:17" s="131" customFormat="1" ht="12.75" customHeight="1">
      <c r="A102" s="239"/>
      <c r="B102" s="148"/>
      <c r="C102" s="330"/>
      <c r="D102" s="249" t="s">
        <v>612</v>
      </c>
      <c r="E102" s="199"/>
      <c r="F102" s="192" t="e">
        <f>E102/#REF!</f>
        <v>#REF!</v>
      </c>
      <c r="G102" s="199">
        <v>103401319</v>
      </c>
      <c r="H102" s="326">
        <f t="shared" si="9"/>
        <v>6.231877634937222E-3</v>
      </c>
      <c r="I102" s="199">
        <v>228461609</v>
      </c>
      <c r="J102" s="327">
        <f t="shared" si="3"/>
        <v>9.2973911426196768E-3</v>
      </c>
      <c r="K102" s="216"/>
      <c r="L102" s="199">
        <f t="shared" si="8"/>
        <v>125060290</v>
      </c>
      <c r="M102" s="328">
        <f t="shared" si="6"/>
        <v>1.2094651326449715</v>
      </c>
      <c r="O102" s="130"/>
      <c r="Q102" s="187"/>
    </row>
    <row r="103" spans="1:17" s="131" customFormat="1">
      <c r="A103" s="239"/>
      <c r="B103" s="148"/>
      <c r="C103" s="330"/>
      <c r="D103" s="249" t="s">
        <v>613</v>
      </c>
      <c r="E103" s="199"/>
      <c r="F103" s="192" t="e">
        <f>E103/#REF!</f>
        <v>#REF!</v>
      </c>
      <c r="G103" s="199">
        <v>12540989</v>
      </c>
      <c r="H103" s="326">
        <f t="shared" si="9"/>
        <v>7.5583086971157216E-4</v>
      </c>
      <c r="I103" s="199">
        <v>28132724</v>
      </c>
      <c r="J103" s="327">
        <f t="shared" si="3"/>
        <v>1.1448791772072479E-3</v>
      </c>
      <c r="K103" s="216"/>
      <c r="L103" s="199">
        <f t="shared" si="8"/>
        <v>15591735</v>
      </c>
      <c r="M103" s="328">
        <f t="shared" si="6"/>
        <v>1.243261994727848</v>
      </c>
      <c r="O103" s="130"/>
      <c r="Q103" s="187"/>
    </row>
    <row r="104" spans="1:17" s="131" customFormat="1">
      <c r="A104" s="239"/>
      <c r="B104" s="148"/>
      <c r="C104" s="339"/>
      <c r="D104" s="333" t="s">
        <v>614</v>
      </c>
      <c r="E104" s="199"/>
      <c r="F104" s="192" t="e">
        <f>E104/#REF!</f>
        <v>#REF!</v>
      </c>
      <c r="G104" s="343">
        <v>65457451</v>
      </c>
      <c r="H104" s="326">
        <f t="shared" si="9"/>
        <v>3.9450446945159283E-3</v>
      </c>
      <c r="I104" s="199">
        <v>35911597</v>
      </c>
      <c r="J104" s="327">
        <f t="shared" si="3"/>
        <v>1.4614453838724709E-3</v>
      </c>
      <c r="K104" s="216"/>
      <c r="L104" s="199">
        <f t="shared" si="8"/>
        <v>-29545854</v>
      </c>
      <c r="M104" s="328">
        <f t="shared" si="6"/>
        <v>-0.45137495500703195</v>
      </c>
      <c r="O104" s="130"/>
      <c r="Q104" s="187"/>
    </row>
    <row r="105" spans="1:17" s="131" customFormat="1">
      <c r="A105" s="239"/>
      <c r="B105" s="148"/>
      <c r="C105" s="344"/>
      <c r="D105" s="345" t="s">
        <v>615</v>
      </c>
      <c r="E105" s="343"/>
      <c r="F105" s="346"/>
      <c r="G105" s="343">
        <v>77784082</v>
      </c>
      <c r="H105" s="326">
        <f t="shared" si="9"/>
        <v>4.6879564560479443E-3</v>
      </c>
      <c r="I105" s="343">
        <v>55071580</v>
      </c>
      <c r="J105" s="327">
        <f t="shared" si="3"/>
        <v>2.2411731333909627E-3</v>
      </c>
      <c r="K105" s="347"/>
      <c r="L105" s="199">
        <f t="shared" si="8"/>
        <v>-22712502</v>
      </c>
      <c r="M105" s="328">
        <f t="shared" si="6"/>
        <v>-0.29199421547457488</v>
      </c>
      <c r="O105" s="130"/>
      <c r="Q105" s="187"/>
    </row>
    <row r="106" spans="1:17" s="131" customFormat="1">
      <c r="A106" s="239"/>
      <c r="B106" s="148"/>
      <c r="C106" s="344"/>
      <c r="D106" s="345" t="s">
        <v>616</v>
      </c>
      <c r="E106" s="343"/>
      <c r="F106" s="346"/>
      <c r="G106" s="343">
        <v>10821726</v>
      </c>
      <c r="H106" s="326">
        <f t="shared" si="9"/>
        <v>6.5221288164436894E-4</v>
      </c>
      <c r="I106" s="343">
        <v>22932001</v>
      </c>
      <c r="J106" s="327">
        <f>I106/I$22</f>
        <v>9.332324319747988E-4</v>
      </c>
      <c r="K106" s="347"/>
      <c r="L106" s="199">
        <f t="shared" si="8"/>
        <v>12110275</v>
      </c>
      <c r="M106" s="328">
        <f t="shared" si="6"/>
        <v>1.1190705623114094</v>
      </c>
      <c r="O106" s="130"/>
      <c r="Q106" s="187"/>
    </row>
    <row r="107" spans="1:17" s="131" customFormat="1">
      <c r="A107" s="239"/>
      <c r="B107" s="148"/>
      <c r="C107" s="344"/>
      <c r="D107" s="345" t="s">
        <v>617</v>
      </c>
      <c r="E107" s="343"/>
      <c r="F107" s="346"/>
      <c r="G107" s="343">
        <v>0</v>
      </c>
      <c r="H107" s="326">
        <f t="shared" si="9"/>
        <v>0</v>
      </c>
      <c r="I107" s="343">
        <v>300491766</v>
      </c>
      <c r="J107" s="327">
        <f>I107/I$22</f>
        <v>1.2228704401878499E-2</v>
      </c>
      <c r="K107" s="347"/>
      <c r="L107" s="199">
        <f t="shared" si="8"/>
        <v>300491766</v>
      </c>
      <c r="M107" s="328">
        <v>1</v>
      </c>
      <c r="O107" s="130"/>
      <c r="Q107" s="187"/>
    </row>
    <row r="108" spans="1:17" s="131" customFormat="1">
      <c r="A108" s="239"/>
      <c r="B108" s="148"/>
      <c r="C108" s="344"/>
      <c r="D108" s="345" t="s">
        <v>618</v>
      </c>
      <c r="E108" s="343"/>
      <c r="F108" s="346"/>
      <c r="G108" s="343">
        <v>0</v>
      </c>
      <c r="H108" s="326">
        <f t="shared" si="9"/>
        <v>0</v>
      </c>
      <c r="I108" s="343">
        <v>41751146</v>
      </c>
      <c r="J108" s="327">
        <f>I108/I$22</f>
        <v>1.6990895613215303E-3</v>
      </c>
      <c r="K108" s="347"/>
      <c r="L108" s="199">
        <f t="shared" si="8"/>
        <v>41751146</v>
      </c>
      <c r="M108" s="328">
        <v>1</v>
      </c>
      <c r="O108" s="130"/>
      <c r="Q108" s="187"/>
    </row>
    <row r="109" spans="1:17" s="131" customFormat="1">
      <c r="A109" s="239"/>
      <c r="B109" s="148"/>
      <c r="C109" s="344"/>
      <c r="D109" s="345"/>
      <c r="E109" s="343"/>
      <c r="F109" s="346"/>
      <c r="G109" s="343"/>
      <c r="H109" s="348"/>
      <c r="I109" s="343"/>
      <c r="J109" s="349"/>
      <c r="K109" s="347"/>
      <c r="L109" s="219"/>
      <c r="M109" s="350"/>
      <c r="O109" s="130"/>
      <c r="Q109" s="187"/>
    </row>
    <row r="110" spans="1:17" s="131" customFormat="1" ht="15">
      <c r="A110" s="239"/>
      <c r="B110" s="148"/>
      <c r="C110" s="344"/>
      <c r="D110" s="351" t="s">
        <v>619</v>
      </c>
      <c r="E110" s="343"/>
      <c r="F110" s="346"/>
      <c r="G110" s="352">
        <f>+SUM(G111:G112)</f>
        <v>0</v>
      </c>
      <c r="H110" s="327">
        <f t="shared" ref="H110:J112" si="10">G110/G$22</f>
        <v>0</v>
      </c>
      <c r="I110" s="352">
        <f>+SUM(I111:I112)</f>
        <v>218875000</v>
      </c>
      <c r="J110" s="327">
        <f t="shared" si="10"/>
        <v>8.9072579644700039E-3</v>
      </c>
      <c r="K110" s="347"/>
      <c r="L110" s="190">
        <f>+I110-G110</f>
        <v>218875000</v>
      </c>
      <c r="M110" s="328">
        <v>1</v>
      </c>
      <c r="O110" s="130"/>
      <c r="Q110" s="187"/>
    </row>
    <row r="111" spans="1:17" s="131" customFormat="1">
      <c r="A111" s="239"/>
      <c r="B111" s="148"/>
      <c r="C111" s="344"/>
      <c r="D111" s="345" t="s">
        <v>620</v>
      </c>
      <c r="E111" s="343"/>
      <c r="F111" s="346"/>
      <c r="G111" s="343">
        <v>0</v>
      </c>
      <c r="H111" s="327">
        <f t="shared" si="10"/>
        <v>0</v>
      </c>
      <c r="I111" s="343">
        <v>57750000</v>
      </c>
      <c r="J111" s="327">
        <f t="shared" si="10"/>
        <v>2.3501731465363457E-3</v>
      </c>
      <c r="K111" s="347"/>
      <c r="L111" s="199">
        <f>+I111-G111</f>
        <v>57750000</v>
      </c>
      <c r="M111" s="328">
        <v>1</v>
      </c>
      <c r="O111" s="130"/>
      <c r="Q111" s="187"/>
    </row>
    <row r="112" spans="1:17" s="131" customFormat="1">
      <c r="A112" s="239"/>
      <c r="B112" s="148"/>
      <c r="C112" s="344"/>
      <c r="D112" s="345" t="s">
        <v>621</v>
      </c>
      <c r="E112" s="343"/>
      <c r="F112" s="346"/>
      <c r="G112" s="343">
        <v>0</v>
      </c>
      <c r="H112" s="327">
        <f t="shared" si="10"/>
        <v>0</v>
      </c>
      <c r="I112" s="343">
        <v>161125000</v>
      </c>
      <c r="J112" s="327">
        <f t="shared" si="10"/>
        <v>6.5570848179336578E-3</v>
      </c>
      <c r="K112" s="347"/>
      <c r="L112" s="199">
        <f>+I112-G112</f>
        <v>161125000</v>
      </c>
      <c r="M112" s="328">
        <v>1</v>
      </c>
      <c r="O112" s="130"/>
      <c r="Q112" s="187"/>
    </row>
    <row r="113" spans="1:17" s="131" customFormat="1" ht="15" thickBot="1">
      <c r="A113" s="239"/>
      <c r="B113" s="148"/>
      <c r="C113" s="353"/>
      <c r="D113" s="354"/>
      <c r="E113" s="223"/>
      <c r="F113" s="224"/>
      <c r="G113" s="223"/>
      <c r="H113" s="355"/>
      <c r="I113" s="223"/>
      <c r="J113" s="356"/>
      <c r="K113" s="225"/>
      <c r="L113" s="357"/>
      <c r="M113" s="358"/>
      <c r="O113" s="130"/>
      <c r="Q113" s="187"/>
    </row>
    <row r="114" spans="1:17" s="131" customFormat="1" ht="15" thickBot="1">
      <c r="A114" s="239"/>
      <c r="B114" s="148"/>
      <c r="C114" s="359"/>
      <c r="D114" s="1114"/>
      <c r="E114" s="1114"/>
      <c r="F114" s="1114"/>
      <c r="G114" s="1114"/>
      <c r="H114" s="1114"/>
      <c r="I114" s="1114"/>
      <c r="J114" s="1114"/>
      <c r="K114" s="1114"/>
      <c r="L114" s="1114"/>
      <c r="M114" s="1114"/>
      <c r="O114" s="130"/>
      <c r="Q114" s="187"/>
    </row>
    <row r="115" spans="1:17" s="131" customFormat="1" ht="15" thickBot="1">
      <c r="A115" s="239"/>
      <c r="B115" s="148"/>
      <c r="C115" s="361"/>
      <c r="D115" s="362" t="s">
        <v>622</v>
      </c>
      <c r="E115" s="363">
        <v>3088172557</v>
      </c>
      <c r="F115" s="364" t="e">
        <f>E115/#REF!</f>
        <v>#REF!</v>
      </c>
      <c r="G115" s="365">
        <v>3991357801</v>
      </c>
      <c r="H115" s="364"/>
      <c r="I115" s="365">
        <v>3751281582</v>
      </c>
      <c r="J115" s="366"/>
      <c r="K115" s="367"/>
      <c r="L115" s="368"/>
      <c r="M115" s="369"/>
      <c r="O115" s="130"/>
      <c r="Q115" s="187"/>
    </row>
    <row r="116" spans="1:17" s="131" customFormat="1">
      <c r="A116" s="239"/>
      <c r="B116" s="148"/>
      <c r="C116" s="370"/>
      <c r="I116" s="360"/>
      <c r="J116" s="360"/>
      <c r="M116" s="371"/>
      <c r="O116" s="130"/>
      <c r="Q116" s="257"/>
    </row>
    <row r="117" spans="1:17" s="131" customFormat="1">
      <c r="A117" s="239"/>
      <c r="B117" s="148"/>
      <c r="C117" s="370"/>
      <c r="I117" s="360"/>
      <c r="J117" s="360"/>
      <c r="M117" s="371"/>
      <c r="O117" s="130"/>
      <c r="Q117" s="257"/>
    </row>
    <row r="118" spans="1:17" s="131" customFormat="1" ht="15">
      <c r="A118" s="239"/>
      <c r="B118" s="148"/>
      <c r="C118" s="370"/>
      <c r="D118" s="372" t="s">
        <v>623</v>
      </c>
      <c r="E118" s="263"/>
      <c r="G118" s="263"/>
      <c r="H118" s="148"/>
      <c r="I118" s="179"/>
      <c r="J118" s="360"/>
      <c r="M118" s="371"/>
      <c r="O118" s="130"/>
      <c r="Q118" s="257"/>
    </row>
    <row r="119" spans="1:17" s="131" customFormat="1">
      <c r="A119" s="239"/>
      <c r="B119" s="148"/>
      <c r="C119" s="370"/>
      <c r="D119" s="238"/>
      <c r="H119" s="148"/>
      <c r="I119" s="179"/>
      <c r="J119" s="360"/>
      <c r="M119" s="371"/>
      <c r="O119" s="130"/>
      <c r="Q119" s="257"/>
    </row>
    <row r="120" spans="1:17" s="131" customFormat="1">
      <c r="A120" s="239"/>
      <c r="B120" s="148"/>
      <c r="C120" s="370"/>
      <c r="D120" s="237" t="s">
        <v>196</v>
      </c>
      <c r="E120" s="323"/>
      <c r="G120" s="373">
        <f>+G22</f>
        <v>16592321778</v>
      </c>
      <c r="H120" s="148"/>
      <c r="I120" s="373">
        <f>+I22</f>
        <v>24572657587</v>
      </c>
      <c r="J120" s="360"/>
      <c r="M120" s="371"/>
      <c r="O120" s="130"/>
      <c r="Q120" s="257"/>
    </row>
    <row r="121" spans="1:17" s="131" customFormat="1">
      <c r="A121" s="239"/>
      <c r="B121" s="148"/>
      <c r="C121" s="370"/>
      <c r="D121" s="237" t="s">
        <v>140</v>
      </c>
      <c r="E121" s="323"/>
      <c r="G121" s="373">
        <f>+G42</f>
        <v>14627696707</v>
      </c>
      <c r="H121" s="148"/>
      <c r="I121" s="373">
        <f>+I42</f>
        <v>20231887095</v>
      </c>
      <c r="J121" s="360"/>
      <c r="M121" s="371"/>
      <c r="O121" s="130"/>
      <c r="Q121" s="257"/>
    </row>
    <row r="122" spans="1:17" s="131" customFormat="1" ht="15">
      <c r="A122" s="239"/>
      <c r="B122" s="148"/>
      <c r="C122" s="370"/>
      <c r="D122" s="149" t="s">
        <v>624</v>
      </c>
      <c r="E122" s="374"/>
      <c r="G122" s="178">
        <f>G120-G121</f>
        <v>1964625071</v>
      </c>
      <c r="H122" s="148"/>
      <c r="I122" s="178">
        <f>I120-I121</f>
        <v>4340770492</v>
      </c>
      <c r="J122" s="360"/>
      <c r="M122" s="371"/>
      <c r="O122" s="130"/>
      <c r="Q122" s="257"/>
    </row>
    <row r="123" spans="1:17" s="131" customFormat="1">
      <c r="A123" s="239"/>
      <c r="B123" s="148"/>
      <c r="C123" s="370"/>
      <c r="I123" s="360"/>
      <c r="J123" s="360"/>
      <c r="M123" s="371"/>
      <c r="O123" s="130"/>
      <c r="Q123" s="257"/>
    </row>
    <row r="124" spans="1:17" s="131" customFormat="1">
      <c r="A124" s="239"/>
      <c r="B124" s="148"/>
      <c r="C124" s="370"/>
      <c r="I124" s="360"/>
      <c r="J124" s="360"/>
      <c r="M124" s="371"/>
      <c r="O124" s="130"/>
      <c r="Q124" s="257"/>
    </row>
    <row r="125" spans="1:17" ht="9.9499999999999993" customHeight="1">
      <c r="B125" s="375"/>
      <c r="C125" s="375"/>
      <c r="D125" s="375"/>
      <c r="E125" s="375"/>
      <c r="F125" s="375"/>
      <c r="G125" s="375"/>
      <c r="H125" s="375"/>
      <c r="I125" s="375"/>
      <c r="J125" s="375"/>
      <c r="K125" s="375"/>
      <c r="L125" s="375"/>
      <c r="M125" s="375"/>
      <c r="N125" s="375"/>
      <c r="O125" s="375"/>
    </row>
    <row r="126" spans="1:17">
      <c r="M126" s="238"/>
    </row>
    <row r="127" spans="1:17" ht="15">
      <c r="D127" s="149"/>
      <c r="E127" s="374"/>
      <c r="F127" s="131"/>
      <c r="G127" s="374"/>
      <c r="M127" s="238"/>
    </row>
    <row r="128" spans="1:17">
      <c r="D128" s="376"/>
      <c r="E128" s="377"/>
      <c r="F128" s="131"/>
      <c r="G128" s="377"/>
      <c r="M128" s="238"/>
    </row>
    <row r="131" spans="8:8">
      <c r="H131" s="238"/>
    </row>
    <row r="132" spans="8:8">
      <c r="H132" s="238"/>
    </row>
    <row r="133" spans="8:8">
      <c r="H133" s="238"/>
    </row>
  </sheetData>
  <mergeCells count="1">
    <mergeCell ref="D114:M114"/>
  </mergeCells>
  <phoneticPr fontId="22" type="noConversion"/>
  <printOptions horizontalCentered="1"/>
  <pageMargins left="0.59055118110236227" right="0.59055118110236227" top="0.78740157480314965" bottom="0.70866141732283472" header="0" footer="0.39370078740157483"/>
  <pageSetup paperSize="9" scale="66" orientation="landscape" horizontalDpi="4294967293" verticalDpi="300" r:id="rId1"/>
  <headerFooter alignWithMargins="0">
    <oddFooter>&amp;R&amp;A Pag. Nº &amp;P de &amp;N</oddFooter>
  </headerFooter>
  <rowBreaks count="2" manualBreakCount="2">
    <brk id="49" max="21" man="1"/>
    <brk id="87"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N55"/>
  <sheetViews>
    <sheetView showGridLines="0" topLeftCell="A32" zoomScale="85" zoomScaleNormal="85" workbookViewId="0">
      <selection activeCell="E20" sqref="E20"/>
    </sheetView>
  </sheetViews>
  <sheetFormatPr baseColWidth="10" defaultColWidth="11.42578125" defaultRowHeight="15"/>
  <cols>
    <col min="1" max="1" width="4.140625" style="811" customWidth="1"/>
    <col min="2" max="2" width="61.7109375" style="811" bestFit="1" customWidth="1"/>
    <col min="3" max="3" width="16" style="811" customWidth="1"/>
    <col min="4" max="4" width="23.85546875" style="866" bestFit="1" customWidth="1"/>
    <col min="5" max="5" width="21.140625" style="867" bestFit="1" customWidth="1"/>
    <col min="6" max="6" width="24.42578125" style="866" bestFit="1" customWidth="1"/>
    <col min="7" max="7" width="22" style="866" bestFit="1" customWidth="1"/>
    <col min="8" max="8" width="21.28515625" style="866" bestFit="1" customWidth="1"/>
    <col min="9" max="9" width="20.5703125" style="811" customWidth="1"/>
    <col min="10" max="10" width="4.140625" style="811" customWidth="1"/>
    <col min="11" max="11" width="22.28515625" style="811" bestFit="1" customWidth="1"/>
    <col min="12" max="13" width="17.7109375" style="811" bestFit="1" customWidth="1"/>
    <col min="14" max="14" width="13.85546875" style="811" bestFit="1" customWidth="1"/>
    <col min="15" max="16384" width="11.42578125" style="811"/>
  </cols>
  <sheetData>
    <row r="9" spans="2:9">
      <c r="B9" s="1171" t="s">
        <v>1183</v>
      </c>
      <c r="C9" s="1171"/>
      <c r="D9" s="1171"/>
      <c r="E9" s="1171"/>
      <c r="F9" s="1171"/>
      <c r="G9" s="1171"/>
      <c r="H9" s="1171"/>
      <c r="I9" s="1171"/>
    </row>
    <row r="10" spans="2:9">
      <c r="B10" s="1171"/>
      <c r="C10" s="1171"/>
      <c r="D10" s="1171"/>
      <c r="E10" s="1171"/>
      <c r="F10" s="1171"/>
      <c r="G10" s="1171"/>
      <c r="H10" s="1171"/>
      <c r="I10" s="1171"/>
    </row>
    <row r="11" spans="2:9">
      <c r="B11" s="1171" t="s">
        <v>325</v>
      </c>
      <c r="C11" s="1171"/>
      <c r="D11" s="1171"/>
      <c r="E11" s="1171"/>
      <c r="F11" s="1171"/>
      <c r="G11" s="1171"/>
      <c r="H11" s="1171"/>
      <c r="I11" s="1171"/>
    </row>
    <row r="12" spans="2:9" ht="15.75" thickBot="1">
      <c r="B12" s="812"/>
      <c r="C12" s="1172"/>
      <c r="D12" s="1172"/>
      <c r="E12" s="1172"/>
      <c r="F12" s="1172"/>
      <c r="G12" s="1173"/>
      <c r="H12" s="1173"/>
      <c r="I12" s="1173"/>
    </row>
    <row r="13" spans="2:9" ht="52.5" customHeight="1">
      <c r="B13" s="1176" t="s">
        <v>1345</v>
      </c>
      <c r="C13" s="813" t="s">
        <v>327</v>
      </c>
      <c r="D13" s="813" t="s">
        <v>327</v>
      </c>
      <c r="E13" s="1179" t="s">
        <v>1350</v>
      </c>
      <c r="F13" s="814" t="s">
        <v>1326</v>
      </c>
      <c r="G13" s="815" t="s">
        <v>327</v>
      </c>
      <c r="H13" s="1179" t="s">
        <v>1024</v>
      </c>
      <c r="I13" s="816" t="s">
        <v>1259</v>
      </c>
    </row>
    <row r="14" spans="2:9">
      <c r="B14" s="1177"/>
      <c r="C14" s="1182" t="s">
        <v>231</v>
      </c>
      <c r="D14" s="1182" t="s">
        <v>328</v>
      </c>
      <c r="E14" s="1180"/>
      <c r="F14" s="817" t="s">
        <v>1023</v>
      </c>
      <c r="G14" s="1174" t="s">
        <v>328</v>
      </c>
      <c r="H14" s="1180"/>
      <c r="I14" s="818" t="s">
        <v>1023</v>
      </c>
    </row>
    <row r="15" spans="2:9" ht="15.75" thickBot="1">
      <c r="B15" s="1178"/>
      <c r="C15" s="1183"/>
      <c r="D15" s="1183"/>
      <c r="E15" s="1181"/>
      <c r="F15" s="819">
        <v>44926</v>
      </c>
      <c r="G15" s="1175"/>
      <c r="H15" s="1181"/>
      <c r="I15" s="820">
        <v>44561</v>
      </c>
    </row>
    <row r="16" spans="2:9" ht="24.75" customHeight="1">
      <c r="B16" s="821" t="s">
        <v>329</v>
      </c>
      <c r="C16" s="822"/>
      <c r="D16" s="823"/>
      <c r="E16" s="823"/>
      <c r="F16" s="824"/>
      <c r="G16" s="824"/>
      <c r="H16" s="824"/>
      <c r="I16" s="825"/>
    </row>
    <row r="17" spans="2:9" ht="24.75" customHeight="1">
      <c r="B17" s="826" t="s">
        <v>666</v>
      </c>
      <c r="C17" s="827"/>
      <c r="D17" s="828"/>
      <c r="E17" s="828"/>
      <c r="F17" s="829"/>
      <c r="G17" s="829"/>
      <c r="H17" s="829"/>
      <c r="I17" s="830"/>
    </row>
    <row r="18" spans="2:9" ht="24.75" customHeight="1">
      <c r="B18" s="826" t="s">
        <v>1273</v>
      </c>
      <c r="C18" s="827"/>
      <c r="D18" s="828"/>
      <c r="E18" s="828"/>
      <c r="F18" s="829"/>
      <c r="G18" s="829"/>
      <c r="H18" s="829"/>
      <c r="I18" s="830"/>
    </row>
    <row r="19" spans="2:9" ht="24.75" customHeight="1">
      <c r="B19" s="831" t="s">
        <v>753</v>
      </c>
      <c r="C19" s="832" t="s">
        <v>905</v>
      </c>
      <c r="D19" s="828">
        <v>0</v>
      </c>
      <c r="E19" s="828">
        <v>7322.9</v>
      </c>
      <c r="F19" s="829">
        <v>0</v>
      </c>
      <c r="G19" s="828">
        <v>0</v>
      </c>
      <c r="H19" s="828">
        <v>6870.81</v>
      </c>
      <c r="I19" s="830">
        <v>0</v>
      </c>
    </row>
    <row r="20" spans="2:9" s="837" customFormat="1" ht="24.75" customHeight="1">
      <c r="B20" s="826" t="s">
        <v>1274</v>
      </c>
      <c r="C20" s="833"/>
      <c r="D20" s="834">
        <v>0</v>
      </c>
      <c r="E20" s="834"/>
      <c r="F20" s="835">
        <v>56191728567.053604</v>
      </c>
      <c r="G20" s="834">
        <v>2146379.65</v>
      </c>
      <c r="H20" s="835"/>
      <c r="I20" s="836">
        <v>14747366763.0165</v>
      </c>
    </row>
    <row r="21" spans="2:9" s="837" customFormat="1" ht="24.75" customHeight="1">
      <c r="B21" s="826" t="s">
        <v>1275</v>
      </c>
      <c r="C21" s="833"/>
      <c r="D21" s="834">
        <v>7969638.3300000001</v>
      </c>
      <c r="E21" s="834"/>
      <c r="F21" s="835">
        <v>58360864526.757004</v>
      </c>
      <c r="G21" s="834"/>
      <c r="H21" s="835"/>
      <c r="I21" s="836"/>
    </row>
    <row r="22" spans="2:9" s="837" customFormat="1" ht="24.75" customHeight="1">
      <c r="B22" s="826" t="s">
        <v>1276</v>
      </c>
      <c r="C22" s="833"/>
      <c r="D22" s="834">
        <v>36722.71</v>
      </c>
      <c r="E22" s="834"/>
      <c r="F22" s="835">
        <v>286369568.21360004</v>
      </c>
      <c r="G22" s="834"/>
      <c r="H22" s="835"/>
      <c r="I22" s="836"/>
    </row>
    <row r="23" spans="2:9" s="837" customFormat="1" ht="24.75" customHeight="1">
      <c r="B23" s="840" t="s">
        <v>15</v>
      </c>
      <c r="C23" s="841"/>
      <c r="D23" s="834">
        <v>0</v>
      </c>
      <c r="E23" s="828"/>
      <c r="F23" s="835">
        <v>0</v>
      </c>
      <c r="G23" s="834">
        <v>32204.89</v>
      </c>
      <c r="H23" s="842"/>
      <c r="I23" s="836">
        <v>221273680.26090002</v>
      </c>
    </row>
    <row r="24" spans="2:9" ht="24.75" customHeight="1">
      <c r="B24" s="838" t="s">
        <v>755</v>
      </c>
      <c r="C24" s="832" t="s">
        <v>905</v>
      </c>
      <c r="D24" s="828">
        <v>0</v>
      </c>
      <c r="E24" s="828">
        <v>7322.9</v>
      </c>
      <c r="F24" s="1091">
        <v>0</v>
      </c>
      <c r="G24" s="828">
        <v>29004.89</v>
      </c>
      <c r="H24" s="828">
        <v>6870.81</v>
      </c>
      <c r="I24" s="643">
        <v>199287088.26090002</v>
      </c>
    </row>
    <row r="25" spans="2:9" ht="24.75" customHeight="1">
      <c r="B25" s="838" t="s">
        <v>678</v>
      </c>
      <c r="C25" s="832" t="s">
        <v>905</v>
      </c>
      <c r="D25" s="839">
        <v>0</v>
      </c>
      <c r="E25" s="828">
        <v>7322.9</v>
      </c>
      <c r="F25" s="1091">
        <v>0</v>
      </c>
      <c r="G25" s="839">
        <v>3200</v>
      </c>
      <c r="H25" s="828">
        <v>6870.81</v>
      </c>
      <c r="I25" s="643">
        <v>21986592</v>
      </c>
    </row>
    <row r="26" spans="2:9" ht="24.75" customHeight="1">
      <c r="B26" s="840" t="s">
        <v>1272</v>
      </c>
      <c r="C26" s="832"/>
      <c r="D26" s="828"/>
      <c r="E26" s="843"/>
      <c r="F26" s="1091"/>
      <c r="G26" s="828"/>
      <c r="H26" s="632"/>
      <c r="I26" s="643"/>
    </row>
    <row r="27" spans="2:9" ht="24.75" customHeight="1">
      <c r="B27" s="844" t="s">
        <v>755</v>
      </c>
      <c r="C27" s="832" t="s">
        <v>905</v>
      </c>
      <c r="D27" s="828">
        <v>0</v>
      </c>
      <c r="E27" s="828">
        <v>0</v>
      </c>
      <c r="F27" s="1091">
        <v>0</v>
      </c>
      <c r="G27" s="828">
        <v>0</v>
      </c>
      <c r="H27" s="1091">
        <v>0</v>
      </c>
      <c r="I27" s="1092">
        <v>0</v>
      </c>
    </row>
    <row r="28" spans="2:9" ht="24.75" customHeight="1">
      <c r="B28" s="845" t="s">
        <v>1285</v>
      </c>
      <c r="C28" s="832"/>
      <c r="D28" s="834">
        <v>7969638.3300000001</v>
      </c>
      <c r="E28" s="828"/>
      <c r="F28" s="604"/>
      <c r="G28" s="828"/>
      <c r="H28" s="632"/>
      <c r="I28" s="643"/>
    </row>
    <row r="29" spans="2:9" ht="24.75" customHeight="1" thickBot="1">
      <c r="B29" s="846" t="s">
        <v>1286</v>
      </c>
      <c r="C29" s="847"/>
      <c r="D29" s="848">
        <v>36722.71</v>
      </c>
      <c r="E29" s="849"/>
      <c r="F29" s="850"/>
      <c r="G29" s="849"/>
      <c r="H29" s="851"/>
      <c r="I29" s="852"/>
    </row>
    <row r="30" spans="2:9" s="837" customFormat="1" ht="24.75" customHeight="1" thickBot="1">
      <c r="B30" s="853" t="s">
        <v>331</v>
      </c>
      <c r="C30" s="854"/>
      <c r="D30" s="855"/>
      <c r="E30" s="855"/>
      <c r="F30" s="856">
        <v>56191728567.053604</v>
      </c>
      <c r="G30" s="855">
        <v>2178584.54</v>
      </c>
      <c r="H30" s="856"/>
      <c r="I30" s="857">
        <v>14968640443.277401</v>
      </c>
    </row>
    <row r="31" spans="2:9" ht="52.5" customHeight="1">
      <c r="B31" s="1176" t="s">
        <v>1345</v>
      </c>
      <c r="C31" s="813" t="s">
        <v>327</v>
      </c>
      <c r="D31" s="813" t="s">
        <v>327</v>
      </c>
      <c r="E31" s="1179" t="s">
        <v>1350</v>
      </c>
      <c r="F31" s="814" t="s">
        <v>1326</v>
      </c>
      <c r="G31" s="815" t="s">
        <v>327</v>
      </c>
      <c r="H31" s="1179" t="s">
        <v>1024</v>
      </c>
      <c r="I31" s="816" t="s">
        <v>1259</v>
      </c>
    </row>
    <row r="32" spans="2:9">
      <c r="B32" s="1177"/>
      <c r="C32" s="1182" t="s">
        <v>231</v>
      </c>
      <c r="D32" s="1182" t="s">
        <v>328</v>
      </c>
      <c r="E32" s="1180"/>
      <c r="F32" s="817" t="s">
        <v>1023</v>
      </c>
      <c r="G32" s="1174" t="s">
        <v>328</v>
      </c>
      <c r="H32" s="1180"/>
      <c r="I32" s="818" t="s">
        <v>1023</v>
      </c>
    </row>
    <row r="33" spans="2:14" ht="15.75" thickBot="1">
      <c r="B33" s="1178"/>
      <c r="C33" s="1183"/>
      <c r="D33" s="1183"/>
      <c r="E33" s="1181"/>
      <c r="F33" s="819">
        <v>44926</v>
      </c>
      <c r="G33" s="1175"/>
      <c r="H33" s="1181"/>
      <c r="I33" s="820">
        <v>44561</v>
      </c>
    </row>
    <row r="34" spans="2:14" ht="24.75" customHeight="1">
      <c r="B34" s="858" t="s">
        <v>93</v>
      </c>
      <c r="C34" s="859"/>
      <c r="D34" s="860"/>
      <c r="E34" s="860"/>
      <c r="F34" s="861"/>
      <c r="G34" s="861"/>
      <c r="H34" s="861"/>
      <c r="I34" s="862"/>
    </row>
    <row r="35" spans="2:14" s="837" customFormat="1" ht="24.75" customHeight="1">
      <c r="B35" s="840" t="s">
        <v>332</v>
      </c>
      <c r="C35" s="833"/>
      <c r="D35" s="834"/>
      <c r="E35" s="834"/>
      <c r="F35" s="835">
        <v>56974253399.779198</v>
      </c>
      <c r="G35" s="834">
        <v>2049534.23</v>
      </c>
      <c r="H35" s="835"/>
      <c r="I35" s="836">
        <v>14115962055.701998</v>
      </c>
    </row>
    <row r="36" spans="2:14" s="837" customFormat="1" ht="24.75" customHeight="1">
      <c r="B36" s="840" t="s">
        <v>1267</v>
      </c>
      <c r="C36" s="833"/>
      <c r="D36" s="834">
        <v>7725135.2800000003</v>
      </c>
      <c r="E36" s="834"/>
      <c r="F36" s="835">
        <v>56699557403.793594</v>
      </c>
      <c r="G36" s="834"/>
      <c r="H36" s="835"/>
      <c r="I36" s="836"/>
    </row>
    <row r="37" spans="2:14" s="837" customFormat="1" ht="24.75" customHeight="1">
      <c r="B37" s="840" t="s">
        <v>1268</v>
      </c>
      <c r="C37" s="833"/>
      <c r="D37" s="834">
        <v>35142.239999999998</v>
      </c>
      <c r="E37" s="834"/>
      <c r="F37" s="835">
        <v>274695995.98559999</v>
      </c>
      <c r="G37" s="834">
        <v>2049534.23</v>
      </c>
      <c r="H37" s="835"/>
      <c r="I37" s="836">
        <v>14115962055.701998</v>
      </c>
    </row>
    <row r="38" spans="2:14" ht="24.75" customHeight="1">
      <c r="B38" s="838" t="s">
        <v>1167</v>
      </c>
      <c r="C38" s="832" t="s">
        <v>905</v>
      </c>
      <c r="D38" s="863">
        <v>7242819.54</v>
      </c>
      <c r="E38" s="828">
        <v>7339.62</v>
      </c>
      <c r="F38" s="864">
        <v>53159543152.174797</v>
      </c>
      <c r="G38" s="865">
        <v>1334493.5699999998</v>
      </c>
      <c r="H38" s="863">
        <v>6887.4</v>
      </c>
      <c r="I38" s="643">
        <v>9191191014.0179977</v>
      </c>
      <c r="K38" s="866"/>
      <c r="L38" s="866"/>
      <c r="M38" s="866"/>
      <c r="N38" s="866"/>
    </row>
    <row r="39" spans="2:14" ht="24.75" customHeight="1">
      <c r="B39" s="838" t="s">
        <v>1262</v>
      </c>
      <c r="C39" s="832" t="s">
        <v>1261</v>
      </c>
      <c r="D39" s="863">
        <v>35142.239999999998</v>
      </c>
      <c r="E39" s="828">
        <v>7816.69</v>
      </c>
      <c r="F39" s="864">
        <v>274695995.98559999</v>
      </c>
      <c r="G39" s="864">
        <v>0</v>
      </c>
      <c r="H39" s="864">
        <v>0</v>
      </c>
      <c r="I39" s="830">
        <v>0</v>
      </c>
      <c r="K39" s="866"/>
      <c r="L39" s="866"/>
      <c r="M39" s="866"/>
      <c r="N39" s="866"/>
    </row>
    <row r="40" spans="2:14" ht="24.75" customHeight="1">
      <c r="B40" s="838" t="s">
        <v>1168</v>
      </c>
      <c r="C40" s="832" t="s">
        <v>905</v>
      </c>
      <c r="D40" s="863">
        <v>480815.74000000005</v>
      </c>
      <c r="E40" s="828">
        <v>7339.62</v>
      </c>
      <c r="F40" s="864">
        <v>3529004821.6188002</v>
      </c>
      <c r="G40" s="863">
        <v>715040.66</v>
      </c>
      <c r="H40" s="863">
        <v>6887.4</v>
      </c>
      <c r="I40" s="643">
        <v>4924771041.684</v>
      </c>
      <c r="L40" s="867"/>
    </row>
    <row r="41" spans="2:14" ht="24.75" customHeight="1">
      <c r="B41" s="838" t="s">
        <v>1166</v>
      </c>
      <c r="C41" s="832" t="s">
        <v>905</v>
      </c>
      <c r="D41" s="865">
        <v>1500</v>
      </c>
      <c r="E41" s="828">
        <v>7339.62</v>
      </c>
      <c r="F41" s="864">
        <v>11009430</v>
      </c>
      <c r="G41" s="865">
        <v>0</v>
      </c>
      <c r="H41" s="863">
        <v>6887.4</v>
      </c>
      <c r="I41" s="830">
        <v>0</v>
      </c>
      <c r="L41" s="867"/>
    </row>
    <row r="42" spans="2:14" ht="24.75" customHeight="1">
      <c r="B42" s="840" t="s">
        <v>667</v>
      </c>
      <c r="C42" s="827"/>
      <c r="D42" s="828"/>
      <c r="E42" s="828"/>
      <c r="F42" s="829"/>
      <c r="G42" s="829"/>
      <c r="H42" s="829"/>
      <c r="I42" s="830"/>
      <c r="L42" s="867"/>
    </row>
    <row r="43" spans="2:14" ht="24.75" customHeight="1">
      <c r="B43" s="838" t="s">
        <v>757</v>
      </c>
      <c r="C43" s="832" t="s">
        <v>905</v>
      </c>
      <c r="D43" s="865"/>
      <c r="E43" s="828"/>
      <c r="F43" s="829">
        <v>0</v>
      </c>
      <c r="G43" s="829">
        <v>0</v>
      </c>
      <c r="H43" s="828">
        <v>6887.4</v>
      </c>
      <c r="I43" s="830">
        <v>0</v>
      </c>
    </row>
    <row r="44" spans="2:14" ht="24.75" customHeight="1">
      <c r="B44" s="845" t="s">
        <v>1269</v>
      </c>
      <c r="C44" s="832"/>
      <c r="D44" s="834">
        <v>7723635.2800000003</v>
      </c>
      <c r="E44" s="828">
        <v>7339.62</v>
      </c>
      <c r="F44" s="835">
        <v>56699557403.793594</v>
      </c>
      <c r="G44" s="829">
        <v>0</v>
      </c>
      <c r="H44" s="828">
        <v>0</v>
      </c>
      <c r="I44" s="830">
        <v>0</v>
      </c>
    </row>
    <row r="45" spans="2:14" ht="24.75" customHeight="1" thickBot="1">
      <c r="B45" s="868" t="s">
        <v>1270</v>
      </c>
      <c r="C45" s="869"/>
      <c r="D45" s="870">
        <v>7242819.54</v>
      </c>
      <c r="E45" s="871">
        <v>7816.69</v>
      </c>
      <c r="F45" s="872">
        <v>274695995.98559999</v>
      </c>
      <c r="G45" s="870">
        <v>0</v>
      </c>
      <c r="H45" s="872">
        <v>0</v>
      </c>
      <c r="I45" s="873">
        <v>0</v>
      </c>
    </row>
    <row r="46" spans="2:14" ht="24.75" customHeight="1" thickBot="1">
      <c r="B46" s="874" t="s">
        <v>1271</v>
      </c>
      <c r="C46" s="875"/>
      <c r="D46" s="876"/>
      <c r="E46" s="876"/>
      <c r="F46" s="877">
        <v>56974253399.779198</v>
      </c>
      <c r="G46" s="876">
        <v>2049534.23</v>
      </c>
      <c r="H46" s="877"/>
      <c r="I46" s="878">
        <v>14115962055.701998</v>
      </c>
    </row>
    <row r="53" spans="2:9">
      <c r="B53" s="1124" t="s">
        <v>1043</v>
      </c>
      <c r="C53" s="1124"/>
      <c r="D53" s="1124"/>
      <c r="E53" s="1124"/>
      <c r="F53" s="1124"/>
      <c r="G53" s="1124"/>
      <c r="H53" s="1124"/>
      <c r="I53" s="1124"/>
    </row>
    <row r="54" spans="2:9">
      <c r="B54" s="1124" t="s">
        <v>1117</v>
      </c>
      <c r="C54" s="1124"/>
      <c r="D54" s="1124"/>
      <c r="E54" s="1124"/>
      <c r="F54" s="1124"/>
      <c r="G54" s="1124"/>
      <c r="H54" s="1124"/>
      <c r="I54" s="1124"/>
    </row>
    <row r="55" spans="2:9">
      <c r="B55" s="1124" t="s">
        <v>1014</v>
      </c>
      <c r="C55" s="1124"/>
      <c r="D55" s="1124"/>
      <c r="E55" s="1124"/>
      <c r="F55" s="1124"/>
      <c r="G55" s="1124"/>
      <c r="H55" s="1124"/>
      <c r="I55" s="1124"/>
    </row>
  </sheetData>
  <mergeCells count="20">
    <mergeCell ref="B53:I53"/>
    <mergeCell ref="B54:I54"/>
    <mergeCell ref="B55:I55"/>
    <mergeCell ref="G14:G15"/>
    <mergeCell ref="B31:B33"/>
    <mergeCell ref="E31:E33"/>
    <mergeCell ref="H31:H33"/>
    <mergeCell ref="C32:C33"/>
    <mergeCell ref="D32:D33"/>
    <mergeCell ref="G32:G33"/>
    <mergeCell ref="B13:B15"/>
    <mergeCell ref="E13:E15"/>
    <mergeCell ref="H13:H15"/>
    <mergeCell ref="C14:C15"/>
    <mergeCell ref="D14:D15"/>
    <mergeCell ref="B9:I9"/>
    <mergeCell ref="B10:I10"/>
    <mergeCell ref="B11:I11"/>
    <mergeCell ref="C12:F12"/>
    <mergeCell ref="G12:I12"/>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J23"/>
  <sheetViews>
    <sheetView topLeftCell="A7" workbookViewId="0">
      <selection activeCell="I10" sqref="I10"/>
    </sheetView>
  </sheetViews>
  <sheetFormatPr baseColWidth="10" defaultRowHeight="15"/>
  <cols>
    <col min="1" max="1" width="11.42578125" style="412"/>
    <col min="2" max="2" width="42.5703125" style="412" customWidth="1"/>
    <col min="3" max="3" width="16.5703125" style="412" bestFit="1" customWidth="1"/>
    <col min="4" max="4" width="18.5703125" style="412" bestFit="1" customWidth="1"/>
    <col min="5" max="5" width="16.5703125" style="412" bestFit="1" customWidth="1"/>
    <col min="6" max="6" width="19.5703125" style="412" bestFit="1" customWidth="1"/>
    <col min="7" max="7" width="11.85546875" style="412" bestFit="1" customWidth="1"/>
    <col min="8" max="8" width="15" style="412" bestFit="1" customWidth="1"/>
    <col min="9" max="9" width="13.42578125" style="412" bestFit="1" customWidth="1"/>
    <col min="10" max="10" width="11.7109375" style="412" bestFit="1" customWidth="1"/>
    <col min="11" max="16384" width="11.42578125" style="412"/>
  </cols>
  <sheetData>
    <row r="7" spans="2:10" s="811" customFormat="1">
      <c r="B7" s="1171" t="s">
        <v>1184</v>
      </c>
      <c r="C7" s="1171"/>
      <c r="D7" s="1171"/>
      <c r="E7" s="1171"/>
      <c r="F7" s="1171"/>
      <c r="G7" s="879"/>
      <c r="H7" s="879"/>
      <c r="I7" s="879"/>
      <c r="J7" s="879"/>
    </row>
    <row r="8" spans="2:10" s="811" customFormat="1">
      <c r="B8" s="880"/>
      <c r="C8" s="880"/>
      <c r="D8" s="880"/>
      <c r="E8" s="880"/>
      <c r="F8" s="880"/>
      <c r="G8" s="879"/>
      <c r="H8" s="879"/>
      <c r="I8" s="879"/>
      <c r="J8" s="879"/>
    </row>
    <row r="9" spans="2:10">
      <c r="D9" s="797">
        <v>44926</v>
      </c>
      <c r="E9" s="797"/>
      <c r="F9" s="797">
        <v>44561</v>
      </c>
    </row>
    <row r="10" spans="2:10" s="515" customFormat="1" ht="45">
      <c r="B10" s="881" t="s">
        <v>758</v>
      </c>
      <c r="C10" s="882" t="s">
        <v>1144</v>
      </c>
      <c r="D10" s="882" t="s">
        <v>1146</v>
      </c>
      <c r="E10" s="882" t="s">
        <v>1145</v>
      </c>
      <c r="F10" s="882" t="s">
        <v>1147</v>
      </c>
    </row>
    <row r="11" spans="2:10" ht="30">
      <c r="B11" s="883" t="s">
        <v>1327</v>
      </c>
      <c r="C11" s="884">
        <v>7322.9</v>
      </c>
      <c r="D11" s="885">
        <v>4077196438</v>
      </c>
      <c r="E11" s="884">
        <v>6870.81</v>
      </c>
      <c r="F11" s="885">
        <v>1705967435</v>
      </c>
      <c r="H11" s="786">
        <f>+D11-D13</f>
        <v>2670329279</v>
      </c>
      <c r="I11" s="786"/>
      <c r="J11" s="786"/>
    </row>
    <row r="12" spans="2:10" ht="30">
      <c r="B12" s="883" t="s">
        <v>1328</v>
      </c>
      <c r="C12" s="884">
        <v>7339.62</v>
      </c>
      <c r="D12" s="885">
        <v>1947598835</v>
      </c>
      <c r="E12" s="884">
        <v>6887.4</v>
      </c>
      <c r="F12" s="885">
        <v>1971568810</v>
      </c>
      <c r="H12" s="786">
        <f>+D12-D14</f>
        <v>-2436164760</v>
      </c>
      <c r="I12" s="786"/>
      <c r="J12" s="786"/>
    </row>
    <row r="13" spans="2:10" ht="30">
      <c r="B13" s="883" t="s">
        <v>1329</v>
      </c>
      <c r="C13" s="884">
        <v>7322.9</v>
      </c>
      <c r="D13" s="885">
        <v>1406867159</v>
      </c>
      <c r="E13" s="884">
        <v>6870.81</v>
      </c>
      <c r="F13" s="885">
        <v>2098207475</v>
      </c>
      <c r="G13" s="786"/>
      <c r="H13" s="786">
        <f>SUM(H11:H12)</f>
        <v>234164519</v>
      </c>
      <c r="J13" s="786"/>
    </row>
    <row r="14" spans="2:10" ht="30">
      <c r="B14" s="883" t="s">
        <v>759</v>
      </c>
      <c r="C14" s="884">
        <v>7339.62</v>
      </c>
      <c r="D14" s="885">
        <v>4383763595</v>
      </c>
      <c r="E14" s="884">
        <v>6887.4</v>
      </c>
      <c r="F14" s="885">
        <v>1626095194</v>
      </c>
      <c r="H14" s="786"/>
    </row>
    <row r="15" spans="2:10" s="515" customFormat="1">
      <c r="B15" s="886" t="s">
        <v>760</v>
      </c>
      <c r="C15" s="886"/>
      <c r="D15" s="887">
        <f>+D11+D12-D13-D14</f>
        <v>234164519</v>
      </c>
      <c r="E15" s="888"/>
      <c r="F15" s="887">
        <f>+F11+F12-F13-F14</f>
        <v>-46766424</v>
      </c>
      <c r="H15" s="786"/>
      <c r="I15" s="412"/>
    </row>
    <row r="16" spans="2:10">
      <c r="H16" s="786"/>
    </row>
    <row r="17" spans="2:9">
      <c r="C17" s="786"/>
    </row>
    <row r="18" spans="2:9">
      <c r="C18" s="786"/>
    </row>
    <row r="19" spans="2:9">
      <c r="C19" s="786"/>
      <c r="H19" s="786"/>
    </row>
    <row r="20" spans="2:9">
      <c r="E20" s="786"/>
      <c r="F20" s="786"/>
      <c r="H20" s="786"/>
    </row>
    <row r="21" spans="2:9">
      <c r="B21" s="1116" t="s">
        <v>1043</v>
      </c>
      <c r="C21" s="1116"/>
      <c r="D21" s="1116"/>
      <c r="E21" s="1116"/>
      <c r="F21" s="1116"/>
      <c r="G21" s="440"/>
      <c r="H21" s="440"/>
      <c r="I21" s="440"/>
    </row>
    <row r="22" spans="2:9">
      <c r="B22" s="1116" t="s">
        <v>1117</v>
      </c>
      <c r="C22" s="1116"/>
      <c r="D22" s="1116"/>
      <c r="E22" s="1116"/>
      <c r="F22" s="1116"/>
      <c r="G22" s="440"/>
      <c r="H22" s="440"/>
      <c r="I22" s="440"/>
    </row>
    <row r="23" spans="2:9">
      <c r="B23" s="1116" t="s">
        <v>1014</v>
      </c>
      <c r="C23" s="1116"/>
      <c r="D23" s="1116"/>
      <c r="E23" s="1116"/>
      <c r="F23" s="1116"/>
      <c r="G23" s="440"/>
      <c r="H23" s="440"/>
      <c r="I23" s="440"/>
    </row>
  </sheetData>
  <mergeCells count="4">
    <mergeCell ref="B7:F7"/>
    <mergeCell ref="B21:F21"/>
    <mergeCell ref="B23:F23"/>
    <mergeCell ref="B22:F2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J28"/>
  <sheetViews>
    <sheetView topLeftCell="A8" zoomScale="130" zoomScaleNormal="130" workbookViewId="0">
      <selection activeCell="B26" sqref="B26:E26"/>
    </sheetView>
  </sheetViews>
  <sheetFormatPr baseColWidth="10" defaultRowHeight="15"/>
  <cols>
    <col min="1" max="1" width="11.42578125" style="412"/>
    <col min="2" max="2" width="41" style="412" customWidth="1"/>
    <col min="3" max="3" width="20.28515625" style="412" customWidth="1"/>
    <col min="4" max="4" width="19.7109375" style="412" bestFit="1" customWidth="1"/>
    <col min="5" max="5" width="22.42578125" style="412" bestFit="1" customWidth="1"/>
    <col min="6" max="6" width="11.42578125" style="412"/>
    <col min="7" max="7" width="15.5703125" style="421" bestFit="1" customWidth="1"/>
    <col min="8" max="8" width="14.140625" style="786" bestFit="1" customWidth="1"/>
    <col min="9" max="9" width="15.140625" style="412" bestFit="1" customWidth="1"/>
    <col min="10" max="16384" width="11.42578125" style="412"/>
  </cols>
  <sheetData>
    <row r="9" spans="2:8">
      <c r="B9" s="514" t="s">
        <v>1185</v>
      </c>
    </row>
    <row r="10" spans="2:8">
      <c r="B10" s="515"/>
    </row>
    <row r="11" spans="2:8">
      <c r="B11" s="1184" t="s">
        <v>999</v>
      </c>
      <c r="C11" s="1184"/>
      <c r="D11" s="1184"/>
      <c r="E11" s="1184"/>
    </row>
    <row r="12" spans="2:8">
      <c r="B12" s="1108"/>
      <c r="C12" s="1108"/>
      <c r="D12" s="1108"/>
      <c r="E12" s="1108"/>
    </row>
    <row r="13" spans="2:8">
      <c r="D13" s="797">
        <v>44926</v>
      </c>
      <c r="E13" s="797">
        <v>44561</v>
      </c>
    </row>
    <row r="14" spans="2:8" s="515" customFormat="1" ht="15" customHeight="1">
      <c r="B14" s="1185" t="s">
        <v>761</v>
      </c>
      <c r="C14" s="1185" t="s">
        <v>1263</v>
      </c>
      <c r="D14" s="1187" t="s">
        <v>762</v>
      </c>
      <c r="E14" s="1187"/>
      <c r="G14" s="421"/>
      <c r="H14" s="889"/>
    </row>
    <row r="15" spans="2:8" s="515" customFormat="1" ht="15" customHeight="1">
      <c r="B15" s="1186"/>
      <c r="C15" s="1186"/>
      <c r="D15" s="1107" t="s">
        <v>1309</v>
      </c>
      <c r="E15" s="1107" t="s">
        <v>944</v>
      </c>
      <c r="G15" s="421"/>
      <c r="H15" s="889"/>
    </row>
    <row r="16" spans="2:8" ht="14.25" customHeight="1">
      <c r="B16" s="1109" t="s">
        <v>1265</v>
      </c>
      <c r="C16" s="1110">
        <v>7969638.3400000017</v>
      </c>
      <c r="D16" s="1111">
        <v>0</v>
      </c>
      <c r="E16" s="1111">
        <v>0</v>
      </c>
    </row>
    <row r="17" spans="2:10" ht="14.25" customHeight="1">
      <c r="B17" s="1109" t="s">
        <v>1266</v>
      </c>
      <c r="C17" s="1112">
        <v>36722.71</v>
      </c>
      <c r="D17" s="1111">
        <v>0</v>
      </c>
      <c r="E17" s="1111">
        <v>0</v>
      </c>
    </row>
    <row r="18" spans="2:10" s="515" customFormat="1" ht="15" customHeight="1">
      <c r="B18" s="1107" t="s">
        <v>763</v>
      </c>
      <c r="C18" s="888"/>
      <c r="D18" s="891">
        <v>58663555072.199608</v>
      </c>
      <c r="E18" s="891">
        <v>14856168319.0165</v>
      </c>
      <c r="G18" s="421"/>
      <c r="H18" s="421"/>
      <c r="I18" s="421"/>
      <c r="J18" s="421"/>
    </row>
    <row r="19" spans="2:10">
      <c r="I19" s="421"/>
    </row>
    <row r="20" spans="2:10">
      <c r="I20" s="421"/>
    </row>
    <row r="21" spans="2:10">
      <c r="B21" s="412" t="s">
        <v>1283</v>
      </c>
      <c r="I21" s="421"/>
    </row>
    <row r="22" spans="2:10">
      <c r="I22" s="421"/>
    </row>
    <row r="23" spans="2:10">
      <c r="B23" s="412" t="s">
        <v>1180</v>
      </c>
      <c r="I23" s="421"/>
    </row>
    <row r="24" spans="2:10">
      <c r="I24" s="421"/>
    </row>
    <row r="25" spans="2:10">
      <c r="I25" s="786"/>
    </row>
    <row r="26" spans="2:10">
      <c r="B26" s="1116" t="s">
        <v>1043</v>
      </c>
      <c r="C26" s="1116"/>
      <c r="D26" s="1116"/>
      <c r="E26" s="1116"/>
      <c r="F26" s="440"/>
    </row>
    <row r="27" spans="2:10">
      <c r="B27" s="1116" t="s">
        <v>1117</v>
      </c>
      <c r="C27" s="1116"/>
      <c r="D27" s="1116"/>
      <c r="E27" s="1116"/>
      <c r="F27" s="440"/>
    </row>
    <row r="28" spans="2:10">
      <c r="B28" s="1116" t="s">
        <v>1014</v>
      </c>
      <c r="C28" s="1116"/>
      <c r="D28" s="1116"/>
      <c r="E28" s="1116"/>
      <c r="F28" s="440"/>
    </row>
  </sheetData>
  <mergeCells count="7">
    <mergeCell ref="B28:E28"/>
    <mergeCell ref="B11:E11"/>
    <mergeCell ref="B14:B15"/>
    <mergeCell ref="C14:C15"/>
    <mergeCell ref="D14:E14"/>
    <mergeCell ref="B26:E26"/>
    <mergeCell ref="B27:E27"/>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70C0"/>
    <pageSetUpPr fitToPage="1"/>
  </sheetPr>
  <dimension ref="B6:J53"/>
  <sheetViews>
    <sheetView showGridLines="0" zoomScale="80" zoomScaleNormal="80" workbookViewId="0">
      <selection activeCell="B12" sqref="B12:F12"/>
    </sheetView>
  </sheetViews>
  <sheetFormatPr baseColWidth="10" defaultColWidth="11.42578125" defaultRowHeight="15"/>
  <cols>
    <col min="1" max="1" width="6.42578125" style="473" customWidth="1"/>
    <col min="2" max="2" width="60.85546875" style="473" bestFit="1" customWidth="1"/>
    <col min="3" max="3" width="22.28515625" style="473" bestFit="1" customWidth="1"/>
    <col min="4" max="4" width="13.7109375" style="473" customWidth="1"/>
    <col min="5" max="5" width="28.28515625" style="473" bestFit="1" customWidth="1"/>
    <col min="6" max="6" width="20.28515625" style="473" bestFit="1" customWidth="1"/>
    <col min="7" max="7" width="19" style="473" bestFit="1" customWidth="1"/>
    <col min="8" max="8" width="21.28515625" style="473" bestFit="1" customWidth="1"/>
    <col min="9" max="9" width="23" style="473" bestFit="1" customWidth="1"/>
    <col min="10" max="10" width="13.85546875" style="473" bestFit="1" customWidth="1"/>
    <col min="11" max="16384" width="11.42578125" style="473"/>
  </cols>
  <sheetData>
    <row r="6" spans="2:9">
      <c r="B6" s="1188"/>
      <c r="C6" s="1188"/>
      <c r="D6" s="1188"/>
      <c r="E6" s="1188"/>
      <c r="F6" s="1188"/>
      <c r="G6" s="1188"/>
      <c r="H6" s="1188"/>
      <c r="I6" s="1188"/>
    </row>
    <row r="7" spans="2:9">
      <c r="B7" s="1189" t="s">
        <v>1186</v>
      </c>
      <c r="C7" s="1189"/>
      <c r="D7" s="1189"/>
      <c r="E7" s="1189"/>
      <c r="F7" s="1189"/>
      <c r="G7" s="1189"/>
      <c r="H7" s="1189"/>
      <c r="I7" s="1189"/>
    </row>
    <row r="8" spans="2:9">
      <c r="B8" s="474"/>
      <c r="C8" s="474"/>
      <c r="D8" s="442" t="s">
        <v>326</v>
      </c>
      <c r="F8" s="442"/>
      <c r="G8" s="442"/>
      <c r="H8" s="442"/>
      <c r="I8" s="442"/>
    </row>
    <row r="9" spans="2:9" ht="15" customHeight="1">
      <c r="B9" s="475"/>
      <c r="C9" s="475"/>
      <c r="D9" s="475"/>
      <c r="E9" s="475"/>
      <c r="F9" s="475"/>
      <c r="G9" s="475"/>
      <c r="H9" s="475"/>
      <c r="I9" s="475"/>
    </row>
    <row r="10" spans="2:9">
      <c r="B10" s="1190" t="s">
        <v>1000</v>
      </c>
      <c r="C10" s="1190"/>
      <c r="D10" s="1190"/>
      <c r="E10" s="1190"/>
      <c r="F10" s="1190"/>
      <c r="G10" s="1190"/>
      <c r="H10" s="1190"/>
      <c r="I10" s="1190"/>
    </row>
    <row r="11" spans="2:9" ht="15.75" customHeight="1" thickBot="1">
      <c r="B11" s="476"/>
      <c r="C11" s="476"/>
      <c r="D11" s="476"/>
      <c r="E11" s="477"/>
      <c r="F11" s="477"/>
      <c r="G11" s="477"/>
      <c r="H11" s="476"/>
      <c r="I11" s="476"/>
    </row>
    <row r="12" spans="2:9" ht="15.75" thickBot="1">
      <c r="B12" s="1191" t="s">
        <v>1107</v>
      </c>
      <c r="C12" s="1192"/>
      <c r="D12" s="1192"/>
      <c r="E12" s="1192"/>
      <c r="F12" s="1193"/>
      <c r="G12" s="1194" t="s">
        <v>1307</v>
      </c>
      <c r="H12" s="1194"/>
      <c r="I12" s="1195"/>
    </row>
    <row r="13" spans="2:9">
      <c r="B13" s="1196" t="s">
        <v>819</v>
      </c>
      <c r="C13" s="1196" t="s">
        <v>764</v>
      </c>
      <c r="D13" s="1196" t="s">
        <v>765</v>
      </c>
      <c r="E13" s="1196" t="s">
        <v>636</v>
      </c>
      <c r="F13" s="1196" t="s">
        <v>772</v>
      </c>
      <c r="G13" s="1196" t="s">
        <v>229</v>
      </c>
      <c r="H13" s="1199" t="s">
        <v>319</v>
      </c>
      <c r="I13" s="1202" t="s">
        <v>320</v>
      </c>
    </row>
    <row r="14" spans="2:9">
      <c r="B14" s="1197"/>
      <c r="C14" s="1197"/>
      <c r="D14" s="1197"/>
      <c r="E14" s="1197"/>
      <c r="F14" s="1197"/>
      <c r="G14" s="1197"/>
      <c r="H14" s="1200"/>
      <c r="I14" s="1203"/>
    </row>
    <row r="15" spans="2:9" ht="15.75" thickBot="1">
      <c r="B15" s="1198"/>
      <c r="C15" s="1198"/>
      <c r="D15" s="1198"/>
      <c r="E15" s="1198"/>
      <c r="F15" s="1198"/>
      <c r="G15" s="1198"/>
      <c r="H15" s="1201"/>
      <c r="I15" s="1204"/>
    </row>
    <row r="16" spans="2:9">
      <c r="B16" s="478" t="s">
        <v>1148</v>
      </c>
      <c r="C16" s="479"/>
      <c r="D16" s="479"/>
      <c r="E16" s="479"/>
      <c r="F16" s="479"/>
      <c r="G16" s="479"/>
      <c r="H16" s="479"/>
      <c r="I16" s="480"/>
    </row>
    <row r="17" spans="2:9">
      <c r="B17" s="457" t="s">
        <v>945</v>
      </c>
      <c r="C17" s="481"/>
      <c r="D17" s="482"/>
      <c r="E17" s="482"/>
      <c r="F17" s="482"/>
      <c r="G17" s="483"/>
      <c r="H17" s="483"/>
      <c r="I17" s="484"/>
    </row>
    <row r="18" spans="2:9">
      <c r="B18" s="485" t="s">
        <v>766</v>
      </c>
      <c r="C18" s="486"/>
      <c r="D18" s="486"/>
      <c r="E18" s="487">
        <f>SUM(E16:E17)</f>
        <v>0</v>
      </c>
      <c r="F18" s="487">
        <f>SUM(F16:F17)</f>
        <v>0</v>
      </c>
      <c r="G18" s="486"/>
      <c r="H18" s="486"/>
      <c r="I18" s="488"/>
    </row>
    <row r="19" spans="2:9">
      <c r="B19" s="489" t="s">
        <v>767</v>
      </c>
      <c r="C19" s="490"/>
      <c r="D19" s="490"/>
      <c r="E19" s="491">
        <v>0</v>
      </c>
      <c r="F19" s="491">
        <v>0</v>
      </c>
      <c r="G19" s="490"/>
      <c r="H19" s="490"/>
      <c r="I19" s="492"/>
    </row>
    <row r="20" spans="2:9">
      <c r="B20" s="493" t="s">
        <v>321</v>
      </c>
      <c r="C20" s="494"/>
      <c r="D20" s="494"/>
      <c r="E20" s="494"/>
      <c r="F20" s="482"/>
      <c r="G20" s="494"/>
      <c r="H20" s="494"/>
      <c r="I20" s="495"/>
    </row>
    <row r="21" spans="2:9">
      <c r="B21" s="456" t="s">
        <v>768</v>
      </c>
      <c r="C21" s="494" t="s">
        <v>771</v>
      </c>
      <c r="D21" s="482">
        <v>1</v>
      </c>
      <c r="E21" s="482">
        <v>1002000000</v>
      </c>
      <c r="F21" s="482">
        <f>+E21</f>
        <v>1002000000</v>
      </c>
      <c r="G21" s="482">
        <v>8800000000</v>
      </c>
      <c r="H21" s="482">
        <v>5146044578</v>
      </c>
      <c r="I21" s="1113">
        <v>22720516339</v>
      </c>
    </row>
    <row r="22" spans="2:9" s="497" customFormat="1">
      <c r="B22" s="485" t="s">
        <v>1149</v>
      </c>
      <c r="C22" s="486"/>
      <c r="D22" s="486"/>
      <c r="E22" s="487">
        <f>SUM(E21)</f>
        <v>1002000000</v>
      </c>
      <c r="F22" s="487">
        <f>SUM(F21)</f>
        <v>1002000000</v>
      </c>
      <c r="G22" s="487"/>
      <c r="H22" s="487"/>
      <c r="I22" s="496"/>
    </row>
    <row r="23" spans="2:9">
      <c r="B23" s="489" t="s">
        <v>767</v>
      </c>
      <c r="C23" s="490"/>
      <c r="D23" s="490"/>
      <c r="E23" s="491">
        <v>900000000</v>
      </c>
      <c r="F23" s="491">
        <v>900000000</v>
      </c>
      <c r="G23" s="490"/>
      <c r="H23" s="490"/>
      <c r="I23" s="492"/>
    </row>
    <row r="24" spans="2:9">
      <c r="B24" s="498" t="s">
        <v>1346</v>
      </c>
      <c r="C24" s="494" t="s">
        <v>1244</v>
      </c>
      <c r="D24" s="482">
        <v>1</v>
      </c>
      <c r="E24" s="482">
        <v>781872111</v>
      </c>
      <c r="F24" s="482">
        <f>+E24</f>
        <v>781872111</v>
      </c>
      <c r="G24" s="499"/>
      <c r="H24" s="499"/>
      <c r="I24" s="500"/>
    </row>
    <row r="25" spans="2:9">
      <c r="B25" s="456" t="s">
        <v>1177</v>
      </c>
      <c r="C25" s="494" t="s">
        <v>1244</v>
      </c>
      <c r="D25" s="482">
        <v>1650</v>
      </c>
      <c r="E25" s="482">
        <v>1033682257</v>
      </c>
      <c r="F25" s="482">
        <f t="shared" ref="F25:F28" si="0">+E25</f>
        <v>1033682257</v>
      </c>
      <c r="G25" s="499"/>
      <c r="H25" s="499"/>
      <c r="I25" s="500"/>
    </row>
    <row r="26" spans="2:9">
      <c r="B26" s="456" t="s">
        <v>1256</v>
      </c>
      <c r="C26" s="494" t="s">
        <v>1244</v>
      </c>
      <c r="D26" s="482">
        <v>1</v>
      </c>
      <c r="E26" s="482">
        <v>50370202</v>
      </c>
      <c r="F26" s="482">
        <f t="shared" si="0"/>
        <v>50370202</v>
      </c>
      <c r="G26" s="499"/>
      <c r="H26" s="499"/>
      <c r="I26" s="500"/>
    </row>
    <row r="27" spans="2:9">
      <c r="B27" s="456" t="s">
        <v>1310</v>
      </c>
      <c r="C27" s="494" t="s">
        <v>1244</v>
      </c>
      <c r="D27" s="482">
        <v>1</v>
      </c>
      <c r="E27" s="482">
        <v>58772717</v>
      </c>
      <c r="F27" s="482">
        <f t="shared" si="0"/>
        <v>58772717</v>
      </c>
      <c r="G27" s="499"/>
      <c r="H27" s="499"/>
      <c r="I27" s="500"/>
    </row>
    <row r="28" spans="2:9">
      <c r="B28" s="456" t="s">
        <v>1311</v>
      </c>
      <c r="C28" s="494" t="s">
        <v>1244</v>
      </c>
      <c r="D28" s="482">
        <v>1</v>
      </c>
      <c r="E28" s="482">
        <v>177749411</v>
      </c>
      <c r="F28" s="482">
        <f t="shared" si="0"/>
        <v>177749411</v>
      </c>
      <c r="G28" s="499"/>
      <c r="H28" s="499"/>
      <c r="I28" s="500"/>
    </row>
    <row r="29" spans="2:9" s="497" customFormat="1">
      <c r="B29" s="485" t="s">
        <v>1150</v>
      </c>
      <c r="C29" s="486"/>
      <c r="D29" s="486"/>
      <c r="E29" s="487">
        <f>SUM(E24:E28)</f>
        <v>2102446698</v>
      </c>
      <c r="F29" s="487">
        <f>SUM(F24:F28)</f>
        <v>2102446698</v>
      </c>
      <c r="G29" s="487"/>
      <c r="H29" s="487"/>
      <c r="I29" s="496"/>
    </row>
    <row r="30" spans="2:9">
      <c r="B30" s="489" t="s">
        <v>767</v>
      </c>
      <c r="C30" s="490"/>
      <c r="D30" s="490"/>
      <c r="E30" s="491">
        <v>1703468449</v>
      </c>
      <c r="F30" s="491">
        <v>1703468449</v>
      </c>
      <c r="G30" s="490"/>
      <c r="H30" s="490"/>
      <c r="I30" s="492"/>
    </row>
    <row r="31" spans="2:9">
      <c r="B31" s="460" t="s">
        <v>1034</v>
      </c>
      <c r="C31" s="481" t="s">
        <v>769</v>
      </c>
      <c r="D31" s="482">
        <v>1</v>
      </c>
      <c r="E31" s="482">
        <v>375664770</v>
      </c>
      <c r="F31" s="482">
        <f>+E31</f>
        <v>375664770</v>
      </c>
      <c r="G31" s="483"/>
      <c r="H31" s="483"/>
      <c r="I31" s="484"/>
    </row>
    <row r="32" spans="2:9">
      <c r="B32" s="460" t="s">
        <v>1035</v>
      </c>
      <c r="C32" s="481" t="s">
        <v>769</v>
      </c>
      <c r="D32" s="482">
        <v>1</v>
      </c>
      <c r="E32" s="482">
        <v>442766700</v>
      </c>
      <c r="F32" s="482">
        <f>+E32</f>
        <v>442766700</v>
      </c>
      <c r="G32" s="483"/>
      <c r="H32" s="483"/>
      <c r="I32" s="484"/>
    </row>
    <row r="33" spans="2:10" s="497" customFormat="1">
      <c r="B33" s="485" t="s">
        <v>1151</v>
      </c>
      <c r="C33" s="486"/>
      <c r="D33" s="486"/>
      <c r="E33" s="487">
        <f>SUM(E31:E32)</f>
        <v>818431470</v>
      </c>
      <c r="F33" s="487">
        <f>SUM(F31:F32)</f>
        <v>818431470</v>
      </c>
      <c r="G33" s="487"/>
      <c r="H33" s="487"/>
      <c r="I33" s="496"/>
    </row>
    <row r="34" spans="2:10">
      <c r="B34" s="489" t="s">
        <v>767</v>
      </c>
      <c r="C34" s="490"/>
      <c r="D34" s="490"/>
      <c r="E34" s="491">
        <v>767904399</v>
      </c>
      <c r="F34" s="491">
        <v>767904399</v>
      </c>
      <c r="G34" s="490"/>
      <c r="H34" s="490"/>
      <c r="I34" s="492"/>
    </row>
    <row r="35" spans="2:10">
      <c r="B35" s="456" t="s">
        <v>1152</v>
      </c>
      <c r="C35" s="494" t="s">
        <v>769</v>
      </c>
      <c r="D35" s="482">
        <v>1</v>
      </c>
      <c r="E35" s="482">
        <v>141331970</v>
      </c>
      <c r="F35" s="482">
        <f>+E35</f>
        <v>141331970</v>
      </c>
      <c r="G35" s="494"/>
      <c r="H35" s="494"/>
      <c r="I35" s="495"/>
    </row>
    <row r="36" spans="2:10">
      <c r="B36" s="456" t="s">
        <v>1153</v>
      </c>
      <c r="C36" s="494" t="s">
        <v>769</v>
      </c>
      <c r="D36" s="482">
        <v>1</v>
      </c>
      <c r="E36" s="482">
        <v>212756974</v>
      </c>
      <c r="F36" s="482">
        <f t="shared" ref="F36:F37" si="1">+E36</f>
        <v>212756974</v>
      </c>
      <c r="G36" s="494"/>
      <c r="H36" s="494"/>
      <c r="I36" s="495"/>
    </row>
    <row r="37" spans="2:10">
      <c r="B37" s="456" t="s">
        <v>1257</v>
      </c>
      <c r="C37" s="494" t="s">
        <v>769</v>
      </c>
      <c r="D37" s="482">
        <v>1</v>
      </c>
      <c r="E37" s="482">
        <v>146458000</v>
      </c>
      <c r="F37" s="482">
        <f t="shared" si="1"/>
        <v>146458000</v>
      </c>
      <c r="G37" s="494"/>
      <c r="H37" s="494"/>
      <c r="I37" s="495"/>
    </row>
    <row r="38" spans="2:10" s="497" customFormat="1">
      <c r="B38" s="485" t="s">
        <v>1154</v>
      </c>
      <c r="C38" s="486"/>
      <c r="D38" s="486"/>
      <c r="E38" s="487">
        <f>SUM(E35:E37)</f>
        <v>500546944</v>
      </c>
      <c r="F38" s="487">
        <f>SUM(F35:F37)</f>
        <v>500546944</v>
      </c>
      <c r="G38" s="487"/>
      <c r="H38" s="487"/>
      <c r="I38" s="496"/>
    </row>
    <row r="39" spans="2:10">
      <c r="B39" s="489" t="s">
        <v>767</v>
      </c>
      <c r="C39" s="490"/>
      <c r="D39" s="490"/>
      <c r="E39" s="491">
        <v>332228742</v>
      </c>
      <c r="F39" s="491">
        <v>332228742</v>
      </c>
      <c r="G39" s="490"/>
      <c r="H39" s="490"/>
      <c r="I39" s="492"/>
    </row>
    <row r="40" spans="2:10" s="497" customFormat="1">
      <c r="B40" s="485" t="s">
        <v>1155</v>
      </c>
      <c r="C40" s="486"/>
      <c r="D40" s="486"/>
      <c r="E40" s="487">
        <f>+E29+E33+E38</f>
        <v>3421425112</v>
      </c>
      <c r="F40" s="487">
        <f>+F29+F33+F38</f>
        <v>3421425112</v>
      </c>
      <c r="G40" s="487"/>
      <c r="H40" s="487"/>
      <c r="I40" s="496"/>
    </row>
    <row r="41" spans="2:10" s="497" customFormat="1">
      <c r="B41" s="485" t="s">
        <v>770</v>
      </c>
      <c r="C41" s="486"/>
      <c r="D41" s="486"/>
      <c r="E41" s="487">
        <f>+E22+E40</f>
        <v>4423425112</v>
      </c>
      <c r="F41" s="487">
        <f>+F22+F40</f>
        <v>4423425112</v>
      </c>
      <c r="G41" s="487">
        <v>8800000000</v>
      </c>
      <c r="H41" s="487">
        <v>5146044578</v>
      </c>
      <c r="I41" s="496">
        <v>22720516339</v>
      </c>
    </row>
    <row r="42" spans="2:10" ht="15.75" thickBot="1">
      <c r="B42" s="501" t="s">
        <v>767</v>
      </c>
      <c r="C42" s="502"/>
      <c r="D42" s="502"/>
      <c r="E42" s="503">
        <v>3703601590</v>
      </c>
      <c r="F42" s="504">
        <v>3703601590</v>
      </c>
      <c r="G42" s="505">
        <v>8800000000</v>
      </c>
      <c r="H42" s="505">
        <v>5146044578</v>
      </c>
      <c r="I42" s="506">
        <v>17574471761</v>
      </c>
      <c r="J42" s="507"/>
    </row>
    <row r="46" spans="2:10">
      <c r="F46" s="508"/>
    </row>
    <row r="51" spans="2:9">
      <c r="B51" s="1124" t="s">
        <v>1043</v>
      </c>
      <c r="C51" s="1124"/>
      <c r="D51" s="1124"/>
      <c r="E51" s="1124"/>
      <c r="F51" s="1124"/>
      <c r="G51" s="1124"/>
      <c r="H51" s="1124"/>
      <c r="I51" s="1124"/>
    </row>
    <row r="52" spans="2:9">
      <c r="B52" s="1124" t="s">
        <v>1117</v>
      </c>
      <c r="C52" s="1124"/>
      <c r="D52" s="1124"/>
      <c r="E52" s="1124"/>
      <c r="F52" s="1124"/>
      <c r="G52" s="1124"/>
      <c r="H52" s="1124"/>
      <c r="I52" s="1124"/>
    </row>
    <row r="53" spans="2:9">
      <c r="B53" s="1124" t="s">
        <v>1014</v>
      </c>
      <c r="C53" s="1124"/>
      <c r="D53" s="1124"/>
      <c r="E53" s="1124"/>
      <c r="F53" s="1124"/>
      <c r="G53" s="1124"/>
      <c r="H53" s="1124"/>
      <c r="I53" s="1124"/>
    </row>
  </sheetData>
  <mergeCells count="16">
    <mergeCell ref="B6:I6"/>
    <mergeCell ref="B7:I7"/>
    <mergeCell ref="B51:I51"/>
    <mergeCell ref="B52:I52"/>
    <mergeCell ref="B53:I53"/>
    <mergeCell ref="B10:I10"/>
    <mergeCell ref="B12:F12"/>
    <mergeCell ref="G12:I12"/>
    <mergeCell ref="B13:B15"/>
    <mergeCell ref="C13:C15"/>
    <mergeCell ref="D13:D15"/>
    <mergeCell ref="E13:E15"/>
    <mergeCell ref="F13:F15"/>
    <mergeCell ref="G13:G15"/>
    <mergeCell ref="H13:H15"/>
    <mergeCell ref="I13:I15"/>
  </mergeCells>
  <phoneticPr fontId="22" type="noConversion"/>
  <printOptions horizontalCentered="1"/>
  <pageMargins left="0.98425196850393704" right="1.0236220472440944" top="0.78740157480314965" bottom="0.70866141732283472" header="0.51181102362204722" footer="0.51181102362204722"/>
  <pageSetup paperSize="9" scale="54" firstPageNumber="0"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70C0"/>
    <pageSetUpPr fitToPage="1"/>
  </sheetPr>
  <dimension ref="C6:Q70"/>
  <sheetViews>
    <sheetView showGridLines="0" topLeftCell="A34" zoomScale="75" zoomScaleNormal="75" workbookViewId="0">
      <selection activeCell="J43" sqref="J43"/>
    </sheetView>
  </sheetViews>
  <sheetFormatPr baseColWidth="10" defaultColWidth="11.42578125" defaultRowHeight="15"/>
  <cols>
    <col min="1" max="1" width="11.42578125" style="441"/>
    <col min="2" max="2" width="1.85546875" style="441" customWidth="1"/>
    <col min="3" max="3" width="51.5703125" style="441" customWidth="1"/>
    <col min="4" max="4" width="18.5703125" style="441" bestFit="1" customWidth="1"/>
    <col min="5" max="5" width="25.85546875" style="441" bestFit="1" customWidth="1"/>
    <col min="6" max="6" width="28.28515625" style="441" bestFit="1" customWidth="1"/>
    <col min="7" max="7" width="24.140625" style="441" bestFit="1" customWidth="1"/>
    <col min="8" max="8" width="1.85546875" style="441" customWidth="1"/>
    <col min="9" max="12" width="11.42578125" style="441"/>
    <col min="13" max="15" width="11.42578125" style="443"/>
    <col min="16" max="16" width="13.85546875" style="441" bestFit="1" customWidth="1"/>
    <col min="17" max="16384" width="11.42578125" style="441"/>
  </cols>
  <sheetData>
    <row r="6" spans="3:16">
      <c r="D6" s="442"/>
      <c r="E6" s="442"/>
      <c r="F6" s="442"/>
      <c r="G6" s="442"/>
    </row>
    <row r="7" spans="3:16">
      <c r="D7" s="442"/>
      <c r="E7" s="442"/>
      <c r="F7" s="442"/>
      <c r="G7" s="442"/>
    </row>
    <row r="8" spans="3:16">
      <c r="D8" s="442"/>
      <c r="E8" s="442"/>
      <c r="F8" s="442"/>
      <c r="G8" s="442"/>
    </row>
    <row r="9" spans="3:16">
      <c r="C9" s="1205" t="s">
        <v>1186</v>
      </c>
      <c r="D9" s="1205"/>
      <c r="E9" s="1205"/>
      <c r="F9" s="1205"/>
      <c r="G9" s="1205"/>
    </row>
    <row r="10" spans="3:16">
      <c r="C10" s="1206" t="s">
        <v>326</v>
      </c>
      <c r="D10" s="1206"/>
      <c r="E10" s="1206"/>
      <c r="F10" s="1206"/>
      <c r="G10" s="1206"/>
    </row>
    <row r="11" spans="3:16" ht="15.75" thickBot="1"/>
    <row r="12" spans="3:16">
      <c r="C12" s="1207" t="s">
        <v>316</v>
      </c>
      <c r="D12" s="1209" t="s">
        <v>638</v>
      </c>
      <c r="E12" s="1209" t="s">
        <v>772</v>
      </c>
      <c r="F12" s="1209" t="s">
        <v>636</v>
      </c>
      <c r="G12" s="1211" t="s">
        <v>637</v>
      </c>
      <c r="I12" s="444"/>
      <c r="J12" s="445"/>
    </row>
    <row r="13" spans="3:16">
      <c r="C13" s="1208"/>
      <c r="D13" s="1210"/>
      <c r="E13" s="1210"/>
      <c r="F13" s="1210"/>
      <c r="G13" s="1212"/>
    </row>
    <row r="14" spans="3:16" ht="30" customHeight="1">
      <c r="C14" s="446" t="s">
        <v>322</v>
      </c>
      <c r="D14" s="447"/>
      <c r="E14" s="447"/>
      <c r="F14" s="447"/>
      <c r="G14" s="448"/>
    </row>
    <row r="15" spans="3:16" ht="30" customHeight="1">
      <c r="C15" s="449" t="s">
        <v>946</v>
      </c>
      <c r="D15" s="447">
        <v>0</v>
      </c>
      <c r="E15" s="447">
        <v>0</v>
      </c>
      <c r="F15" s="447">
        <v>0</v>
      </c>
      <c r="G15" s="448"/>
      <c r="P15" s="450"/>
    </row>
    <row r="16" spans="3:16" ht="24.75" customHeight="1">
      <c r="C16" s="451" t="s">
        <v>773</v>
      </c>
      <c r="D16" s="452">
        <f>SUM(D15:D15)</f>
        <v>0</v>
      </c>
      <c r="E16" s="452">
        <f>SUM(E15:E15)</f>
        <v>0</v>
      </c>
      <c r="F16" s="452">
        <f>SUM(F15:F15)</f>
        <v>0</v>
      </c>
      <c r="G16" s="453"/>
    </row>
    <row r="17" spans="3:16" ht="30" customHeight="1">
      <c r="C17" s="446" t="s">
        <v>774</v>
      </c>
      <c r="D17" s="454">
        <v>0</v>
      </c>
      <c r="E17" s="454">
        <v>0</v>
      </c>
      <c r="F17" s="454">
        <v>0</v>
      </c>
      <c r="G17" s="455"/>
    </row>
    <row r="18" spans="3:16" ht="30" customHeight="1">
      <c r="C18" s="446" t="s">
        <v>323</v>
      </c>
      <c r="D18" s="447"/>
      <c r="E18" s="447"/>
      <c r="F18" s="447"/>
      <c r="G18" s="448"/>
    </row>
    <row r="19" spans="3:16" ht="24.95" customHeight="1">
      <c r="C19" s="446" t="s">
        <v>1044</v>
      </c>
      <c r="D19" s="447"/>
      <c r="E19" s="447"/>
      <c r="F19" s="447"/>
      <c r="G19" s="448"/>
    </row>
    <row r="20" spans="3:16" ht="24.95" customHeight="1">
      <c r="C20" s="449" t="s">
        <v>321</v>
      </c>
      <c r="D20" s="447">
        <f>+INVERS!E21</f>
        <v>1002000000</v>
      </c>
      <c r="E20" s="447">
        <f>+D20</f>
        <v>1002000000</v>
      </c>
      <c r="F20" s="447">
        <f>+E20</f>
        <v>1002000000</v>
      </c>
      <c r="G20" s="448"/>
      <c r="P20" s="450"/>
    </row>
    <row r="21" spans="3:16" ht="24.95" customHeight="1">
      <c r="C21" s="451" t="s">
        <v>1156</v>
      </c>
      <c r="D21" s="452">
        <f>SUM(D20)</f>
        <v>1002000000</v>
      </c>
      <c r="E21" s="452">
        <f t="shared" ref="E21:F21" si="0">SUM(E20)</f>
        <v>1002000000</v>
      </c>
      <c r="F21" s="452">
        <f t="shared" si="0"/>
        <v>1002000000</v>
      </c>
      <c r="G21" s="453"/>
      <c r="P21" s="450"/>
    </row>
    <row r="22" spans="3:16" ht="24.95" customHeight="1">
      <c r="C22" s="456" t="s">
        <v>1176</v>
      </c>
      <c r="D22" s="447">
        <f>+INVERS!E24</f>
        <v>781872111</v>
      </c>
      <c r="E22" s="447">
        <f>+D22</f>
        <v>781872111</v>
      </c>
      <c r="F22" s="447">
        <f>+E22</f>
        <v>781872111</v>
      </c>
      <c r="G22" s="448"/>
      <c r="P22" s="450"/>
    </row>
    <row r="23" spans="3:16" ht="24.95" customHeight="1">
      <c r="C23" s="457" t="s">
        <v>1177</v>
      </c>
      <c r="D23" s="447">
        <f>+INVERS!E25</f>
        <v>1033682257</v>
      </c>
      <c r="E23" s="447">
        <f t="shared" ref="E23:F23" si="1">+D23</f>
        <v>1033682257</v>
      </c>
      <c r="F23" s="447">
        <f t="shared" si="1"/>
        <v>1033682257</v>
      </c>
      <c r="G23" s="448"/>
      <c r="P23" s="450"/>
    </row>
    <row r="24" spans="3:16" ht="24.95" customHeight="1">
      <c r="C24" s="457" t="s">
        <v>1258</v>
      </c>
      <c r="D24" s="447">
        <f>+INVERS!E26</f>
        <v>50370202</v>
      </c>
      <c r="E24" s="447">
        <f t="shared" ref="E24:F24" si="2">+D24</f>
        <v>50370202</v>
      </c>
      <c r="F24" s="447">
        <f t="shared" si="2"/>
        <v>50370202</v>
      </c>
      <c r="G24" s="448"/>
      <c r="P24" s="450"/>
    </row>
    <row r="25" spans="3:16" ht="24.95" customHeight="1">
      <c r="C25" s="457" t="s">
        <v>1310</v>
      </c>
      <c r="D25" s="447">
        <f>+INVERS!E27</f>
        <v>58772717</v>
      </c>
      <c r="E25" s="447">
        <f t="shared" ref="E25:F25" si="3">+D25</f>
        <v>58772717</v>
      </c>
      <c r="F25" s="447">
        <f t="shared" si="3"/>
        <v>58772717</v>
      </c>
      <c r="G25" s="448"/>
      <c r="P25" s="450"/>
    </row>
    <row r="26" spans="3:16" ht="24.95" customHeight="1">
      <c r="C26" s="457" t="s">
        <v>1311</v>
      </c>
      <c r="D26" s="447">
        <f>+INVERS!E28</f>
        <v>177749411</v>
      </c>
      <c r="E26" s="447">
        <f t="shared" ref="E26:F26" si="4">+D26</f>
        <v>177749411</v>
      </c>
      <c r="F26" s="447">
        <f t="shared" si="4"/>
        <v>177749411</v>
      </c>
      <c r="G26" s="448"/>
      <c r="P26" s="450"/>
    </row>
    <row r="27" spans="3:16" ht="24.95" customHeight="1">
      <c r="C27" s="458" t="s">
        <v>247</v>
      </c>
      <c r="D27" s="452">
        <f>SUM(D22:D26)</f>
        <v>2102446698</v>
      </c>
      <c r="E27" s="452">
        <f>SUM(E22:E26)</f>
        <v>2102446698</v>
      </c>
      <c r="F27" s="452">
        <f>SUM(F22:F26)</f>
        <v>2102446698</v>
      </c>
      <c r="G27" s="453"/>
      <c r="P27" s="450"/>
    </row>
    <row r="28" spans="3:16" ht="24.75" customHeight="1">
      <c r="C28" s="459" t="s">
        <v>1045</v>
      </c>
      <c r="D28" s="447"/>
      <c r="E28" s="447"/>
      <c r="F28" s="447"/>
      <c r="G28" s="448"/>
      <c r="P28" s="450"/>
    </row>
    <row r="29" spans="3:16" ht="24.75" customHeight="1">
      <c r="C29" s="460" t="s">
        <v>1034</v>
      </c>
      <c r="D29" s="447">
        <f>+INVERS!E31</f>
        <v>375664770</v>
      </c>
      <c r="E29" s="447">
        <f>+D29</f>
        <v>375664770</v>
      </c>
      <c r="F29" s="447">
        <f>+E29</f>
        <v>375664770</v>
      </c>
      <c r="G29" s="448"/>
    </row>
    <row r="30" spans="3:16" ht="24.75" customHeight="1">
      <c r="C30" s="460" t="s">
        <v>1035</v>
      </c>
      <c r="D30" s="447">
        <f>+INVERS!E32</f>
        <v>442766700</v>
      </c>
      <c r="E30" s="447">
        <f t="shared" ref="E30" si="5">+D30</f>
        <v>442766700</v>
      </c>
      <c r="F30" s="447">
        <f t="shared" ref="F30" si="6">+D30</f>
        <v>442766700</v>
      </c>
      <c r="G30" s="448"/>
    </row>
    <row r="31" spans="3:16" ht="24.75" customHeight="1">
      <c r="C31" s="451" t="s">
        <v>247</v>
      </c>
      <c r="D31" s="452">
        <f>SUM(D29:D30)</f>
        <v>818431470</v>
      </c>
      <c r="E31" s="452">
        <f>SUM(E29:E30)</f>
        <v>818431470</v>
      </c>
      <c r="F31" s="452">
        <f>SUM(F29:F30)</f>
        <v>818431470</v>
      </c>
      <c r="G31" s="453"/>
    </row>
    <row r="32" spans="3:16" ht="24.75" customHeight="1">
      <c r="C32" s="456" t="s">
        <v>1152</v>
      </c>
      <c r="D32" s="447">
        <f>+INVERS!E35</f>
        <v>141331970</v>
      </c>
      <c r="E32" s="447">
        <f>+D32</f>
        <v>141331970</v>
      </c>
      <c r="F32" s="447">
        <f t="shared" ref="F32:F34" si="7">+D32</f>
        <v>141331970</v>
      </c>
      <c r="G32" s="448"/>
      <c r="P32" s="450"/>
    </row>
    <row r="33" spans="3:17" ht="24.75" customHeight="1">
      <c r="C33" s="456" t="s">
        <v>1153</v>
      </c>
      <c r="D33" s="447">
        <f>+INVERS!E36</f>
        <v>212756974</v>
      </c>
      <c r="E33" s="447">
        <f t="shared" ref="E33:E34" si="8">+D33</f>
        <v>212756974</v>
      </c>
      <c r="F33" s="447">
        <f t="shared" si="7"/>
        <v>212756974</v>
      </c>
      <c r="G33" s="448"/>
      <c r="P33" s="450"/>
    </row>
    <row r="34" spans="3:17" ht="24.75" customHeight="1">
      <c r="C34" s="456" t="s">
        <v>1257</v>
      </c>
      <c r="D34" s="447">
        <f>+INVERS!E37</f>
        <v>146458000</v>
      </c>
      <c r="E34" s="447">
        <f t="shared" si="8"/>
        <v>146458000</v>
      </c>
      <c r="F34" s="447">
        <f t="shared" si="7"/>
        <v>146458000</v>
      </c>
      <c r="G34" s="448"/>
      <c r="P34" s="450"/>
    </row>
    <row r="35" spans="3:17" ht="24.75" customHeight="1">
      <c r="C35" s="451" t="s">
        <v>247</v>
      </c>
      <c r="D35" s="452">
        <f>SUM(D32:D34)</f>
        <v>500546944</v>
      </c>
      <c r="E35" s="452">
        <f t="shared" ref="E35:F35" si="9">SUM(E32:E34)</f>
        <v>500546944</v>
      </c>
      <c r="F35" s="452">
        <f t="shared" si="9"/>
        <v>500546944</v>
      </c>
      <c r="G35" s="453"/>
      <c r="P35" s="450"/>
    </row>
    <row r="36" spans="3:17" ht="24.75" customHeight="1">
      <c r="C36" s="451" t="s">
        <v>1155</v>
      </c>
      <c r="D36" s="452">
        <f>+D27+D31+D35</f>
        <v>3421425112</v>
      </c>
      <c r="E36" s="452">
        <f>+E27+E31+E35</f>
        <v>3421425112</v>
      </c>
      <c r="F36" s="452">
        <f>+F27+F31+F35</f>
        <v>3421425112</v>
      </c>
      <c r="G36" s="453"/>
      <c r="P36" s="450"/>
    </row>
    <row r="37" spans="3:17" ht="24.75" customHeight="1">
      <c r="C37" s="451" t="s">
        <v>775</v>
      </c>
      <c r="D37" s="452">
        <f>+D21+D36</f>
        <v>4423425112</v>
      </c>
      <c r="E37" s="452">
        <f t="shared" ref="E37:F37" si="10">+E21+E36</f>
        <v>4423425112</v>
      </c>
      <c r="F37" s="452">
        <f t="shared" si="10"/>
        <v>4423425112</v>
      </c>
      <c r="G37" s="461"/>
    </row>
    <row r="38" spans="3:17" ht="24.75" customHeight="1" thickBot="1">
      <c r="C38" s="462" t="s">
        <v>776</v>
      </c>
      <c r="D38" s="463">
        <v>3703601590</v>
      </c>
      <c r="E38" s="463">
        <v>3703601590</v>
      </c>
      <c r="F38" s="463">
        <v>3703601590</v>
      </c>
      <c r="G38" s="464"/>
    </row>
    <row r="39" spans="3:17" ht="24.75" customHeight="1"/>
    <row r="40" spans="3:17" ht="24.95" customHeight="1">
      <c r="P40" s="465"/>
    </row>
    <row r="41" spans="3:17" s="465" customFormat="1" ht="24.95" customHeight="1" thickBot="1">
      <c r="C41" s="1206" t="s">
        <v>943</v>
      </c>
      <c r="D41" s="1206"/>
      <c r="E41" s="1206"/>
      <c r="F41" s="1206"/>
      <c r="G41" s="442"/>
      <c r="H41" s="441"/>
      <c r="I41" s="441"/>
      <c r="P41" s="441"/>
      <c r="Q41" s="441"/>
    </row>
    <row r="42" spans="3:17" ht="34.5" customHeight="1">
      <c r="C42" s="466" t="s">
        <v>933</v>
      </c>
      <c r="D42" s="467" t="s">
        <v>934</v>
      </c>
      <c r="E42" s="468" t="s">
        <v>935</v>
      </c>
      <c r="F42" s="469" t="s">
        <v>966</v>
      </c>
    </row>
    <row r="43" spans="3:17" ht="24.95" customHeight="1">
      <c r="C43" s="446" t="s">
        <v>773</v>
      </c>
      <c r="D43" s="470">
        <v>200000000</v>
      </c>
      <c r="E43" s="470">
        <v>516375371</v>
      </c>
      <c r="F43" s="471">
        <v>1002000000</v>
      </c>
      <c r="P43" s="450"/>
    </row>
    <row r="44" spans="3:17" ht="24.95" customHeight="1" thickBot="1">
      <c r="C44" s="462" t="s">
        <v>774</v>
      </c>
      <c r="D44" s="1085">
        <v>200000000</v>
      </c>
      <c r="E44" s="1085">
        <v>516375371</v>
      </c>
      <c r="F44" s="1086">
        <v>900000000</v>
      </c>
      <c r="G44" s="450"/>
    </row>
    <row r="45" spans="3:17" ht="24.95" customHeight="1"/>
    <row r="46" spans="3:17" ht="24.95" customHeight="1">
      <c r="E46" s="472"/>
    </row>
    <row r="47" spans="3:17" ht="24.95" customHeight="1"/>
    <row r="48" spans="3:17" ht="24.95" customHeight="1"/>
    <row r="53" spans="3:10">
      <c r="C53" s="1124" t="s">
        <v>1043</v>
      </c>
      <c r="D53" s="1124"/>
      <c r="E53" s="1124"/>
      <c r="F53" s="1124"/>
      <c r="G53" s="1124"/>
      <c r="H53" s="1124"/>
      <c r="I53" s="1124"/>
      <c r="J53" s="1124"/>
    </row>
    <row r="54" spans="3:10">
      <c r="C54" s="1124" t="s">
        <v>1117</v>
      </c>
      <c r="D54" s="1124"/>
      <c r="E54" s="1124"/>
      <c r="F54" s="1124"/>
      <c r="G54" s="1124"/>
      <c r="H54" s="1124"/>
      <c r="I54" s="1124"/>
      <c r="J54" s="1124"/>
    </row>
    <row r="55" spans="3:10">
      <c r="C55" s="1124" t="s">
        <v>1014</v>
      </c>
      <c r="D55" s="1124"/>
      <c r="E55" s="1124"/>
      <c r="F55" s="1124"/>
      <c r="G55" s="1124"/>
      <c r="H55" s="1124"/>
      <c r="I55" s="1124"/>
      <c r="J55" s="1124"/>
    </row>
    <row r="56" spans="3:10" ht="24.95" customHeight="1"/>
    <row r="57" spans="3:10" ht="24.95" customHeight="1"/>
    <row r="58" spans="3:10" ht="24.95" customHeight="1"/>
    <row r="59" spans="3:10" ht="24.95" customHeight="1"/>
    <row r="68" ht="28.5" customHeight="1"/>
    <row r="69" ht="30" customHeight="1"/>
    <row r="70" ht="30" customHeight="1"/>
  </sheetData>
  <mergeCells count="11">
    <mergeCell ref="C53:J53"/>
    <mergeCell ref="C54:J54"/>
    <mergeCell ref="C55:J55"/>
    <mergeCell ref="C9:G9"/>
    <mergeCell ref="C10:G10"/>
    <mergeCell ref="C12:C13"/>
    <mergeCell ref="D12:D13"/>
    <mergeCell ref="E12:E13"/>
    <mergeCell ref="F12:F13"/>
    <mergeCell ref="G12:G13"/>
    <mergeCell ref="C41:F41"/>
  </mergeCells>
  <phoneticPr fontId="22" type="noConversion"/>
  <printOptions horizontalCentered="1"/>
  <pageMargins left="0.70866141732283472" right="0.39370078740157483" top="1.0236220472440944" bottom="0.59055118110236227" header="0.51181102362204722" footer="0.51181102362204722"/>
  <pageSetup paperSize="9" scale="67" firstPageNumber="0"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55"/>
  <sheetViews>
    <sheetView topLeftCell="A25" zoomScaleNormal="100" workbookViewId="0">
      <selection activeCell="F38" sqref="F38"/>
    </sheetView>
  </sheetViews>
  <sheetFormatPr baseColWidth="10" defaultRowHeight="15"/>
  <cols>
    <col min="1" max="1" width="11.42578125" style="412"/>
    <col min="2" max="2" width="25.7109375" style="411" bestFit="1" customWidth="1"/>
    <col min="3" max="3" width="17.28515625" style="411" bestFit="1" customWidth="1"/>
    <col min="4" max="4" width="19" style="411" bestFit="1" customWidth="1"/>
    <col min="5" max="5" width="11.42578125" style="412"/>
    <col min="6" max="6" width="12.28515625" style="412" bestFit="1" customWidth="1"/>
    <col min="7" max="16384" width="11.42578125" style="412"/>
  </cols>
  <sheetData>
    <row r="7" spans="2:4">
      <c r="B7" s="410" t="s">
        <v>1187</v>
      </c>
    </row>
    <row r="9" spans="2:4" ht="15.75" thickBot="1">
      <c r="B9" s="411" t="s">
        <v>863</v>
      </c>
    </row>
    <row r="10" spans="2:4" ht="15.75" thickBot="1">
      <c r="B10" s="1213" t="s">
        <v>673</v>
      </c>
      <c r="C10" s="1214"/>
      <c r="D10" s="1215"/>
    </row>
    <row r="11" spans="2:4" ht="20.100000000000001" customHeight="1" thickBot="1">
      <c r="B11" s="413" t="s">
        <v>777</v>
      </c>
      <c r="C11" s="414" t="s">
        <v>778</v>
      </c>
      <c r="D11" s="414" t="s">
        <v>779</v>
      </c>
    </row>
    <row r="12" spans="2:4" ht="20.100000000000001" customHeight="1" thickBot="1">
      <c r="B12" s="415"/>
      <c r="C12" s="416">
        <v>0</v>
      </c>
      <c r="D12" s="416">
        <v>0</v>
      </c>
    </row>
    <row r="13" spans="2:4" ht="20.100000000000001" customHeight="1" thickBot="1">
      <c r="B13" s="415"/>
      <c r="C13" s="416">
        <v>0</v>
      </c>
      <c r="D13" s="416">
        <v>0</v>
      </c>
    </row>
    <row r="14" spans="2:4" ht="20.100000000000001" customHeight="1" thickBot="1">
      <c r="B14" s="417" t="s">
        <v>781</v>
      </c>
      <c r="C14" s="418">
        <v>0</v>
      </c>
      <c r="D14" s="418">
        <v>0</v>
      </c>
    </row>
    <row r="15" spans="2:4" ht="20.100000000000001" customHeight="1" thickBot="1">
      <c r="B15" s="417" t="s">
        <v>780</v>
      </c>
      <c r="C15" s="418">
        <v>0</v>
      </c>
      <c r="D15" s="418">
        <v>0</v>
      </c>
    </row>
    <row r="19" spans="2:6" ht="15.75" thickBot="1"/>
    <row r="20" spans="2:6" ht="15.75" thickBot="1">
      <c r="B20" s="1213" t="s">
        <v>441</v>
      </c>
      <c r="C20" s="1214"/>
      <c r="D20" s="1215"/>
    </row>
    <row r="21" spans="2:6" ht="15.75" thickBot="1">
      <c r="B21" s="417" t="s">
        <v>777</v>
      </c>
      <c r="C21" s="418" t="s">
        <v>628</v>
      </c>
      <c r="D21" s="418" t="s">
        <v>1277</v>
      </c>
    </row>
    <row r="22" spans="2:6" ht="20.100000000000001" customHeight="1" thickBot="1">
      <c r="B22" s="415" t="s">
        <v>754</v>
      </c>
      <c r="C22" s="419">
        <f>81858159+2141114+26569570</f>
        <v>110568843</v>
      </c>
      <c r="D22" s="420">
        <v>126408949</v>
      </c>
      <c r="F22" s="421"/>
    </row>
    <row r="23" spans="2:6" ht="20.100000000000001" customHeight="1" thickBot="1">
      <c r="B23" s="415" t="s">
        <v>1287</v>
      </c>
      <c r="C23" s="419">
        <v>74567168</v>
      </c>
      <c r="D23" s="419">
        <v>0</v>
      </c>
      <c r="F23" s="421"/>
    </row>
    <row r="24" spans="2:6" ht="20.100000000000001" customHeight="1" thickBot="1">
      <c r="B24" s="415" t="s">
        <v>782</v>
      </c>
      <c r="C24" s="419">
        <v>0</v>
      </c>
      <c r="D24" s="419">
        <v>0</v>
      </c>
      <c r="F24" s="421"/>
    </row>
    <row r="25" spans="2:6" ht="20.100000000000001" customHeight="1" thickBot="1">
      <c r="B25" s="415" t="s">
        <v>939</v>
      </c>
      <c r="C25" s="422">
        <v>175050298</v>
      </c>
      <c r="D25" s="419">
        <v>87954407</v>
      </c>
      <c r="F25" s="421"/>
    </row>
    <row r="26" spans="2:6" ht="20.100000000000001" customHeight="1" thickBot="1">
      <c r="B26" s="417" t="s">
        <v>247</v>
      </c>
      <c r="C26" s="423">
        <f>SUM(C22:C25)</f>
        <v>360186309</v>
      </c>
      <c r="D26" s="423">
        <f>SUM(D22:D25)</f>
        <v>214363356</v>
      </c>
    </row>
    <row r="27" spans="2:6">
      <c r="B27" s="424"/>
      <c r="C27" s="425"/>
      <c r="D27" s="425"/>
    </row>
    <row r="28" spans="2:6">
      <c r="B28" s="424"/>
      <c r="C28" s="425"/>
      <c r="D28" s="425"/>
    </row>
    <row r="29" spans="2:6" ht="15.75" thickBot="1">
      <c r="B29" s="426"/>
      <c r="C29" s="426"/>
      <c r="D29" s="426"/>
    </row>
    <row r="30" spans="2:6" ht="15.75" thickBot="1">
      <c r="B30" s="1213" t="s">
        <v>441</v>
      </c>
      <c r="C30" s="1214"/>
      <c r="D30" s="1215"/>
    </row>
    <row r="31" spans="2:6" ht="20.100000000000001" customHeight="1" thickBot="1">
      <c r="B31" s="417" t="s">
        <v>777</v>
      </c>
      <c r="C31" s="418" t="s">
        <v>628</v>
      </c>
      <c r="D31" s="418" t="s">
        <v>1277</v>
      </c>
    </row>
    <row r="32" spans="2:6" ht="20.100000000000001" customHeight="1" thickBot="1">
      <c r="B32" s="415" t="s">
        <v>940</v>
      </c>
      <c r="C32" s="422">
        <v>2170464333</v>
      </c>
      <c r="D32" s="419">
        <v>285816764</v>
      </c>
    </row>
    <row r="33" spans="2:7" ht="20.100000000000001" customHeight="1" thickBot="1">
      <c r="B33" s="417" t="s">
        <v>247</v>
      </c>
      <c r="C33" s="423">
        <f>SUM(C32:C32)</f>
        <v>2170464333</v>
      </c>
      <c r="D33" s="423">
        <f>SUM(D32:D32)</f>
        <v>285816764</v>
      </c>
    </row>
    <row r="38" spans="2:7">
      <c r="B38" s="409" t="s">
        <v>863</v>
      </c>
    </row>
    <row r="39" spans="2:7" ht="15.75" thickBot="1">
      <c r="B39" s="409"/>
    </row>
    <row r="40" spans="2:7">
      <c r="B40" s="1216" t="s">
        <v>783</v>
      </c>
      <c r="C40" s="1217"/>
      <c r="D40" s="1217"/>
      <c r="E40" s="1217"/>
      <c r="F40" s="1217"/>
      <c r="G40" s="1218"/>
    </row>
    <row r="41" spans="2:7" ht="60">
      <c r="B41" s="427" t="s">
        <v>784</v>
      </c>
      <c r="C41" s="428" t="s">
        <v>785</v>
      </c>
      <c r="D41" s="429" t="s">
        <v>765</v>
      </c>
      <c r="E41" s="429" t="s">
        <v>786</v>
      </c>
      <c r="F41" s="429" t="s">
        <v>787</v>
      </c>
      <c r="G41" s="430" t="s">
        <v>788</v>
      </c>
    </row>
    <row r="42" spans="2:7">
      <c r="B42" s="431"/>
      <c r="C42" s="432"/>
      <c r="D42" s="432"/>
      <c r="E42" s="432"/>
      <c r="F42" s="432"/>
      <c r="G42" s="433"/>
    </row>
    <row r="43" spans="2:7">
      <c r="B43" s="1219" t="s">
        <v>789</v>
      </c>
      <c r="C43" s="1220"/>
      <c r="D43" s="1220"/>
      <c r="E43" s="1220"/>
      <c r="F43" s="1220"/>
      <c r="G43" s="1221"/>
    </row>
    <row r="44" spans="2:7">
      <c r="B44" s="434" t="s">
        <v>790</v>
      </c>
      <c r="C44" s="435"/>
      <c r="D44" s="435"/>
      <c r="E44" s="435"/>
      <c r="F44" s="435"/>
      <c r="G44" s="436"/>
    </row>
    <row r="45" spans="2:7" ht="15.75" thickBot="1">
      <c r="B45" s="437" t="s">
        <v>791</v>
      </c>
      <c r="C45" s="438"/>
      <c r="D45" s="438"/>
      <c r="E45" s="438"/>
      <c r="F45" s="438"/>
      <c r="G45" s="439"/>
    </row>
    <row r="53" spans="2:9">
      <c r="B53" s="1116" t="s">
        <v>1043</v>
      </c>
      <c r="C53" s="1116"/>
      <c r="D53" s="1116"/>
      <c r="E53" s="1116"/>
      <c r="F53" s="1116"/>
      <c r="G53" s="1116"/>
      <c r="H53" s="440"/>
      <c r="I53" s="440"/>
    </row>
    <row r="54" spans="2:9">
      <c r="B54" s="1116" t="s">
        <v>1117</v>
      </c>
      <c r="C54" s="1116"/>
      <c r="D54" s="1116"/>
      <c r="E54" s="1116"/>
      <c r="F54" s="1116"/>
      <c r="G54" s="1116"/>
      <c r="H54" s="440"/>
      <c r="I54" s="440"/>
    </row>
    <row r="55" spans="2:9">
      <c r="B55" s="1116" t="s">
        <v>1014</v>
      </c>
      <c r="C55" s="1116"/>
      <c r="D55" s="1116"/>
      <c r="E55" s="1116"/>
      <c r="F55" s="1116"/>
      <c r="G55" s="1116"/>
      <c r="H55" s="440"/>
      <c r="I55" s="440"/>
    </row>
  </sheetData>
  <mergeCells count="8">
    <mergeCell ref="B53:G53"/>
    <mergeCell ref="B54:G54"/>
    <mergeCell ref="B55:G55"/>
    <mergeCell ref="B10:D10"/>
    <mergeCell ref="B20:D20"/>
    <mergeCell ref="B30:D30"/>
    <mergeCell ref="B40:G40"/>
    <mergeCell ref="B43:G4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O45"/>
  <sheetViews>
    <sheetView showGridLines="0" zoomScale="75" zoomScaleNormal="75" workbookViewId="0">
      <selection activeCell="B14" sqref="B14:M24"/>
    </sheetView>
  </sheetViews>
  <sheetFormatPr baseColWidth="10" defaultColWidth="11.42578125" defaultRowHeight="15"/>
  <cols>
    <col min="1" max="1" width="2.140625" style="412" customWidth="1"/>
    <col min="2" max="2" width="37.85546875" style="412" customWidth="1"/>
    <col min="3" max="3" width="16" style="412" customWidth="1"/>
    <col min="4" max="4" width="15" style="412" customWidth="1"/>
    <col min="5" max="6" width="13.7109375" style="412" customWidth="1"/>
    <col min="7" max="7" width="16.42578125" style="412" customWidth="1"/>
    <col min="8" max="8" width="19.28515625" style="412" customWidth="1"/>
    <col min="9" max="9" width="14.85546875" style="412" customWidth="1"/>
    <col min="10" max="11" width="13.7109375" style="412" customWidth="1"/>
    <col min="12" max="13" width="17.85546875" style="412" bestFit="1" customWidth="1"/>
    <col min="14" max="14" width="16.28515625" style="412" bestFit="1" customWidth="1"/>
    <col min="15" max="15" width="14.42578125" style="412" bestFit="1" customWidth="1"/>
    <col min="16" max="16384" width="11.42578125" style="412"/>
  </cols>
  <sheetData>
    <row r="5" spans="2:13">
      <c r="I5" s="915"/>
      <c r="J5" s="916"/>
      <c r="K5" s="916"/>
      <c r="L5" s="916"/>
      <c r="M5" s="916"/>
    </row>
    <row r="6" spans="2:13">
      <c r="B6" s="1228"/>
      <c r="C6" s="1228"/>
      <c r="D6" s="1228"/>
      <c r="E6" s="1228"/>
      <c r="F6" s="1228"/>
      <c r="G6" s="1228"/>
      <c r="H6" s="1228"/>
      <c r="I6" s="1228"/>
      <c r="J6" s="1228"/>
      <c r="K6" s="1228"/>
      <c r="L6" s="1228"/>
      <c r="M6" s="917"/>
    </row>
    <row r="7" spans="2:13">
      <c r="B7" s="1227" t="s">
        <v>1188</v>
      </c>
      <c r="C7" s="1227"/>
      <c r="D7" s="1227"/>
      <c r="E7" s="1227"/>
      <c r="F7" s="1227"/>
      <c r="G7" s="1227"/>
      <c r="H7" s="1227"/>
      <c r="I7" s="1227"/>
      <c r="J7" s="1227"/>
      <c r="K7" s="1227"/>
      <c r="L7" s="1227"/>
      <c r="M7" s="1227"/>
    </row>
    <row r="8" spans="2:13">
      <c r="B8" s="1228" t="s">
        <v>1308</v>
      </c>
      <c r="C8" s="1228"/>
      <c r="D8" s="1228"/>
      <c r="E8" s="1228"/>
      <c r="F8" s="1228"/>
      <c r="G8" s="1228"/>
      <c r="H8" s="1228"/>
      <c r="I8" s="1228"/>
      <c r="J8" s="1228"/>
      <c r="K8" s="1228"/>
      <c r="L8" s="1228"/>
      <c r="M8" s="1228"/>
    </row>
    <row r="9" spans="2:13">
      <c r="B9" s="1229" t="s">
        <v>245</v>
      </c>
      <c r="C9" s="1229"/>
      <c r="D9" s="1229"/>
      <c r="E9" s="1229"/>
      <c r="F9" s="1229"/>
      <c r="G9" s="1229"/>
      <c r="H9" s="1229"/>
      <c r="I9" s="1229"/>
      <c r="J9" s="1229"/>
      <c r="K9" s="1229"/>
      <c r="L9" s="1229"/>
      <c r="M9" s="1229"/>
    </row>
    <row r="10" spans="2:13">
      <c r="B10" s="918"/>
      <c r="C10" s="918"/>
      <c r="D10" s="918"/>
      <c r="E10" s="918"/>
      <c r="F10" s="918"/>
      <c r="G10" s="918"/>
      <c r="H10" s="918"/>
      <c r="I10" s="918"/>
      <c r="J10" s="918"/>
      <c r="K10" s="918"/>
      <c r="L10" s="918"/>
      <c r="M10" s="916"/>
    </row>
    <row r="11" spans="2:13">
      <c r="B11" s="918"/>
      <c r="C11" s="918"/>
      <c r="D11" s="918"/>
      <c r="E11" s="918"/>
      <c r="F11" s="918"/>
      <c r="G11" s="918"/>
      <c r="H11" s="918"/>
      <c r="I11" s="918"/>
      <c r="J11" s="918"/>
      <c r="K11" s="918"/>
      <c r="L11" s="918"/>
      <c r="M11" s="916"/>
    </row>
    <row r="12" spans="2:13">
      <c r="B12" s="1240" t="s">
        <v>1301</v>
      </c>
      <c r="C12" s="1240"/>
      <c r="D12" s="1240"/>
      <c r="E12" s="1240"/>
      <c r="F12" s="1240"/>
      <c r="G12" s="1240"/>
      <c r="H12" s="1240"/>
      <c r="I12" s="1240"/>
      <c r="J12" s="1240"/>
      <c r="K12" s="1240"/>
      <c r="L12" s="1240"/>
      <c r="M12" s="1240"/>
    </row>
    <row r="13" spans="2:13" ht="15.75" thickBot="1">
      <c r="B13" s="913"/>
      <c r="C13" s="913"/>
      <c r="D13" s="913"/>
      <c r="E13" s="913"/>
      <c r="F13" s="913"/>
      <c r="G13" s="913"/>
      <c r="H13" s="913"/>
      <c r="I13" s="913"/>
      <c r="J13" s="913"/>
      <c r="K13" s="913"/>
      <c r="L13" s="913"/>
      <c r="M13" s="913"/>
    </row>
    <row r="14" spans="2:13" ht="15.75" thickBot="1">
      <c r="B14" s="1230" t="s">
        <v>291</v>
      </c>
      <c r="C14" s="1233" t="s">
        <v>288</v>
      </c>
      <c r="D14" s="1234"/>
      <c r="E14" s="1234"/>
      <c r="F14" s="1234"/>
      <c r="G14" s="1235"/>
      <c r="H14" s="1245" t="s">
        <v>289</v>
      </c>
      <c r="I14" s="1246"/>
      <c r="J14" s="1246"/>
      <c r="K14" s="1246"/>
      <c r="L14" s="1246"/>
      <c r="M14" s="1247"/>
    </row>
    <row r="15" spans="2:13">
      <c r="B15" s="1231"/>
      <c r="C15" s="1236" t="s">
        <v>792</v>
      </c>
      <c r="D15" s="1223" t="s">
        <v>292</v>
      </c>
      <c r="E15" s="1241" t="s">
        <v>293</v>
      </c>
      <c r="F15" s="1238" t="s">
        <v>793</v>
      </c>
      <c r="G15" s="1243" t="s">
        <v>794</v>
      </c>
      <c r="H15" s="1238" t="s">
        <v>662</v>
      </c>
      <c r="I15" s="1223" t="s">
        <v>292</v>
      </c>
      <c r="J15" s="1223" t="s">
        <v>293</v>
      </c>
      <c r="K15" s="1225" t="s">
        <v>793</v>
      </c>
      <c r="L15" s="1238" t="s">
        <v>663</v>
      </c>
      <c r="M15" s="1223" t="s">
        <v>664</v>
      </c>
    </row>
    <row r="16" spans="2:13" ht="28.5" customHeight="1" thickBot="1">
      <c r="B16" s="1232"/>
      <c r="C16" s="1237"/>
      <c r="D16" s="1224"/>
      <c r="E16" s="1242"/>
      <c r="F16" s="1239"/>
      <c r="G16" s="1244"/>
      <c r="H16" s="1239"/>
      <c r="I16" s="1224"/>
      <c r="J16" s="1224"/>
      <c r="K16" s="1226"/>
      <c r="L16" s="1239"/>
      <c r="M16" s="1224"/>
    </row>
    <row r="17" spans="2:15" ht="24.95" customHeight="1">
      <c r="B17" s="892" t="s">
        <v>1157</v>
      </c>
      <c r="C17" s="893">
        <v>116069695</v>
      </c>
      <c r="D17" s="894">
        <v>136364</v>
      </c>
      <c r="E17" s="895">
        <v>0</v>
      </c>
      <c r="F17" s="896">
        <v>0</v>
      </c>
      <c r="G17" s="894">
        <f t="shared" ref="G17:G22" si="0">+C17+D17-E17+F17</f>
        <v>116206059</v>
      </c>
      <c r="H17" s="893">
        <v>48844553.145910084</v>
      </c>
      <c r="I17" s="896">
        <v>11006447</v>
      </c>
      <c r="J17" s="895">
        <v>0</v>
      </c>
      <c r="K17" s="895">
        <v>0</v>
      </c>
      <c r="L17" s="897">
        <f>+H17+I17-J17+K17</f>
        <v>59851000.145910084</v>
      </c>
      <c r="M17" s="894">
        <f>+G17-L17</f>
        <v>56355058.854089916</v>
      </c>
      <c r="O17" s="919"/>
    </row>
    <row r="18" spans="2:15" ht="24.95" customHeight="1">
      <c r="B18" s="892" t="s">
        <v>301</v>
      </c>
      <c r="C18" s="898">
        <v>106554256</v>
      </c>
      <c r="D18" s="899">
        <v>1238182</v>
      </c>
      <c r="E18" s="900">
        <v>0</v>
      </c>
      <c r="F18" s="901">
        <v>0</v>
      </c>
      <c r="G18" s="899">
        <f t="shared" si="0"/>
        <v>107792438</v>
      </c>
      <c r="H18" s="898">
        <v>60930365.839693099</v>
      </c>
      <c r="I18" s="901">
        <v>19444345</v>
      </c>
      <c r="J18" s="900">
        <v>0</v>
      </c>
      <c r="K18" s="900">
        <v>0</v>
      </c>
      <c r="L18" s="902">
        <f t="shared" ref="L18:L22" si="1">+H18+I18-J18+K18</f>
        <v>80374710.839693099</v>
      </c>
      <c r="M18" s="899">
        <f t="shared" ref="M18:M22" si="2">+G18-L18</f>
        <v>27417727.160306901</v>
      </c>
    </row>
    <row r="19" spans="2:15" ht="24.95" customHeight="1">
      <c r="B19" s="892" t="s">
        <v>797</v>
      </c>
      <c r="C19" s="899">
        <v>8403295</v>
      </c>
      <c r="D19" s="899">
        <v>0</v>
      </c>
      <c r="E19" s="900">
        <v>0</v>
      </c>
      <c r="F19" s="901">
        <v>0</v>
      </c>
      <c r="G19" s="899">
        <f t="shared" si="0"/>
        <v>8403295</v>
      </c>
      <c r="H19" s="903">
        <v>5681654.579914635</v>
      </c>
      <c r="I19" s="903">
        <v>1083733</v>
      </c>
      <c r="J19" s="900">
        <v>0</v>
      </c>
      <c r="K19" s="900">
        <v>0</v>
      </c>
      <c r="L19" s="902">
        <f t="shared" si="1"/>
        <v>6765387.579914635</v>
      </c>
      <c r="M19" s="899">
        <f t="shared" si="2"/>
        <v>1637907.420085365</v>
      </c>
    </row>
    <row r="20" spans="2:15" ht="24.95" customHeight="1">
      <c r="B20" s="892" t="s">
        <v>906</v>
      </c>
      <c r="C20" s="899">
        <v>92766114</v>
      </c>
      <c r="D20" s="899">
        <v>0</v>
      </c>
      <c r="E20" s="900">
        <v>0</v>
      </c>
      <c r="F20" s="901">
        <v>0</v>
      </c>
      <c r="G20" s="899">
        <f t="shared" si="0"/>
        <v>92766114</v>
      </c>
      <c r="H20" s="903">
        <v>45986241.547726057</v>
      </c>
      <c r="I20" s="903">
        <v>9355975</v>
      </c>
      <c r="J20" s="900">
        <v>0</v>
      </c>
      <c r="K20" s="900">
        <v>0</v>
      </c>
      <c r="L20" s="902">
        <f t="shared" si="1"/>
        <v>55342216.547726057</v>
      </c>
      <c r="M20" s="899">
        <f t="shared" si="2"/>
        <v>37423897.452273943</v>
      </c>
    </row>
    <row r="21" spans="2:15" ht="24.95" customHeight="1">
      <c r="B21" s="892" t="s">
        <v>798</v>
      </c>
      <c r="C21" s="899">
        <v>11551584</v>
      </c>
      <c r="D21" s="899">
        <v>10261818</v>
      </c>
      <c r="E21" s="900">
        <v>0</v>
      </c>
      <c r="F21" s="901">
        <v>0</v>
      </c>
      <c r="G21" s="899">
        <f t="shared" si="0"/>
        <v>21813402</v>
      </c>
      <c r="H21" s="903">
        <v>2766206.5148332892</v>
      </c>
      <c r="I21" s="903">
        <v>1165626</v>
      </c>
      <c r="J21" s="900">
        <v>0</v>
      </c>
      <c r="K21" s="900">
        <v>0</v>
      </c>
      <c r="L21" s="902">
        <f t="shared" si="1"/>
        <v>3931832.5148332892</v>
      </c>
      <c r="M21" s="899">
        <f t="shared" si="2"/>
        <v>17881569.48516671</v>
      </c>
    </row>
    <row r="22" spans="2:15" ht="24.95" customHeight="1" thickBot="1">
      <c r="B22" s="892" t="s">
        <v>460</v>
      </c>
      <c r="C22" s="904">
        <v>34545455</v>
      </c>
      <c r="D22" s="904">
        <v>0</v>
      </c>
      <c r="E22" s="905">
        <v>0</v>
      </c>
      <c r="F22" s="906">
        <v>0</v>
      </c>
      <c r="G22" s="904">
        <f t="shared" si="0"/>
        <v>34545455</v>
      </c>
      <c r="H22" s="907">
        <v>11330910.439999999</v>
      </c>
      <c r="I22" s="907">
        <v>6190546</v>
      </c>
      <c r="J22" s="905">
        <v>0</v>
      </c>
      <c r="K22" s="905">
        <v>0</v>
      </c>
      <c r="L22" s="908">
        <f t="shared" si="1"/>
        <v>17521456.439999998</v>
      </c>
      <c r="M22" s="904">
        <f t="shared" si="2"/>
        <v>17023998.560000002</v>
      </c>
    </row>
    <row r="23" spans="2:15" ht="24.95" customHeight="1" thickBot="1">
      <c r="B23" s="909" t="s">
        <v>795</v>
      </c>
      <c r="C23" s="910">
        <f t="shared" ref="C23:L23" si="3">SUM(C17:C22)</f>
        <v>369890399</v>
      </c>
      <c r="D23" s="910">
        <f t="shared" si="3"/>
        <v>11636364</v>
      </c>
      <c r="E23" s="910">
        <f t="shared" si="3"/>
        <v>0</v>
      </c>
      <c r="F23" s="910">
        <f t="shared" si="3"/>
        <v>0</v>
      </c>
      <c r="G23" s="910">
        <f t="shared" si="3"/>
        <v>381526763</v>
      </c>
      <c r="H23" s="910">
        <f t="shared" si="3"/>
        <v>175539932.06807718</v>
      </c>
      <c r="I23" s="911">
        <f t="shared" si="3"/>
        <v>48246672</v>
      </c>
      <c r="J23" s="910">
        <f t="shared" si="3"/>
        <v>0</v>
      </c>
      <c r="K23" s="912">
        <f t="shared" si="3"/>
        <v>0</v>
      </c>
      <c r="L23" s="911">
        <f t="shared" si="3"/>
        <v>223786604.06807718</v>
      </c>
      <c r="M23" s="910">
        <f>+G23-L23</f>
        <v>157740158.93192282</v>
      </c>
      <c r="N23" s="421"/>
      <c r="O23" s="421"/>
    </row>
    <row r="24" spans="2:15" ht="24.95" customHeight="1" thickBot="1">
      <c r="B24" s="1093" t="s">
        <v>796</v>
      </c>
      <c r="C24" s="1094">
        <v>336953582</v>
      </c>
      <c r="D24" s="1095">
        <v>32936817</v>
      </c>
      <c r="E24" s="1094">
        <v>0</v>
      </c>
      <c r="F24" s="1094">
        <v>0</v>
      </c>
      <c r="G24" s="1095">
        <v>369890399</v>
      </c>
      <c r="H24" s="1094">
        <v>141558779</v>
      </c>
      <c r="I24" s="1095">
        <v>33981153.068077169</v>
      </c>
      <c r="J24" s="1094">
        <v>0</v>
      </c>
      <c r="K24" s="1096">
        <v>0</v>
      </c>
      <c r="L24" s="1097">
        <v>175539932.06807718</v>
      </c>
      <c r="M24" s="1094">
        <v>194350466.93192282</v>
      </c>
    </row>
    <row r="25" spans="2:15">
      <c r="G25" s="919"/>
      <c r="M25" s="920"/>
    </row>
    <row r="26" spans="2:15">
      <c r="G26" s="919"/>
      <c r="H26" s="919"/>
    </row>
    <row r="27" spans="2:15">
      <c r="C27" s="786"/>
      <c r="D27" s="786"/>
      <c r="E27" s="786"/>
      <c r="F27" s="786"/>
      <c r="G27" s="786"/>
      <c r="H27" s="786"/>
      <c r="I27" s="786"/>
      <c r="M27" s="786"/>
    </row>
    <row r="28" spans="2:15">
      <c r="C28" s="786"/>
      <c r="D28" s="786"/>
      <c r="E28" s="786"/>
      <c r="F28" s="786"/>
      <c r="G28" s="786"/>
      <c r="H28" s="786"/>
      <c r="I28" s="786"/>
      <c r="M28" s="786"/>
    </row>
    <row r="29" spans="2:15">
      <c r="C29" s="786"/>
      <c r="D29" s="786"/>
      <c r="E29" s="786"/>
      <c r="F29" s="786"/>
      <c r="G29" s="786"/>
      <c r="H29" s="786"/>
      <c r="I29" s="786"/>
      <c r="M29" s="786"/>
    </row>
    <row r="30" spans="2:15">
      <c r="B30" s="913"/>
      <c r="C30" s="914"/>
      <c r="D30" s="914"/>
      <c r="E30" s="914"/>
      <c r="F30" s="914"/>
      <c r="G30" s="914"/>
      <c r="H30" s="914"/>
      <c r="I30" s="914"/>
      <c r="J30" s="913"/>
      <c r="K30" s="913"/>
      <c r="L30" s="913"/>
      <c r="M30" s="914"/>
    </row>
    <row r="31" spans="2:15">
      <c r="B31" s="913"/>
      <c r="C31" s="914"/>
      <c r="D31" s="913"/>
      <c r="E31" s="913"/>
      <c r="F31" s="913"/>
      <c r="G31" s="913"/>
      <c r="H31" s="913"/>
      <c r="I31" s="913"/>
      <c r="J31" s="913"/>
      <c r="K31" s="913"/>
      <c r="L31" s="913"/>
      <c r="M31" s="913"/>
    </row>
    <row r="32" spans="2:15">
      <c r="B32" s="1222" t="s">
        <v>1043</v>
      </c>
      <c r="C32" s="1222"/>
      <c r="D32" s="1222"/>
      <c r="E32" s="1222"/>
      <c r="F32" s="1222"/>
      <c r="G32" s="1222"/>
      <c r="H32" s="1222"/>
      <c r="I32" s="1222"/>
      <c r="J32" s="1222"/>
      <c r="K32" s="1222"/>
      <c r="L32" s="1222"/>
      <c r="M32" s="1222"/>
    </row>
    <row r="33" spans="2:13">
      <c r="B33" s="1222" t="s">
        <v>1117</v>
      </c>
      <c r="C33" s="1222"/>
      <c r="D33" s="1222"/>
      <c r="E33" s="1222"/>
      <c r="F33" s="1222"/>
      <c r="G33" s="1222"/>
      <c r="H33" s="1222"/>
      <c r="I33" s="1222"/>
      <c r="J33" s="1222"/>
      <c r="K33" s="1222"/>
      <c r="L33" s="1222"/>
      <c r="M33" s="1222"/>
    </row>
    <row r="34" spans="2:13">
      <c r="B34" s="1222" t="s">
        <v>1014</v>
      </c>
      <c r="C34" s="1222"/>
      <c r="D34" s="1222"/>
      <c r="E34" s="1222"/>
      <c r="F34" s="1222"/>
      <c r="G34" s="1222"/>
      <c r="H34" s="1222"/>
      <c r="I34" s="1222"/>
      <c r="J34" s="1222"/>
      <c r="K34" s="1222"/>
      <c r="L34" s="1222"/>
      <c r="M34" s="1222"/>
    </row>
    <row r="35" spans="2:13">
      <c r="B35" s="913"/>
      <c r="C35" s="914"/>
      <c r="D35" s="913"/>
      <c r="E35" s="913"/>
      <c r="F35" s="913"/>
      <c r="G35" s="913"/>
      <c r="H35" s="913"/>
      <c r="I35" s="913"/>
      <c r="J35" s="913"/>
      <c r="K35" s="913"/>
      <c r="L35" s="913"/>
      <c r="M35" s="913"/>
    </row>
    <row r="36" spans="2:13">
      <c r="C36" s="786"/>
    </row>
    <row r="37" spans="2:13">
      <c r="C37" s="786"/>
    </row>
    <row r="38" spans="2:13">
      <c r="C38" s="786"/>
    </row>
    <row r="39" spans="2:13">
      <c r="C39" s="786"/>
    </row>
    <row r="40" spans="2:13">
      <c r="C40" s="786"/>
    </row>
    <row r="41" spans="2:13">
      <c r="C41" s="786"/>
    </row>
    <row r="42" spans="2:13">
      <c r="C42" s="786"/>
    </row>
    <row r="43" spans="2:13">
      <c r="C43" s="786"/>
    </row>
    <row r="44" spans="2:13">
      <c r="C44" s="786"/>
    </row>
    <row r="45" spans="2:13">
      <c r="C45" s="786"/>
    </row>
  </sheetData>
  <mergeCells count="22">
    <mergeCell ref="B7:M7"/>
    <mergeCell ref="B8:M8"/>
    <mergeCell ref="B9:M9"/>
    <mergeCell ref="B6:L6"/>
    <mergeCell ref="B14:B16"/>
    <mergeCell ref="C14:G14"/>
    <mergeCell ref="C15:C16"/>
    <mergeCell ref="D15:D16"/>
    <mergeCell ref="L15:L16"/>
    <mergeCell ref="B12:M12"/>
    <mergeCell ref="M15:M16"/>
    <mergeCell ref="E15:E16"/>
    <mergeCell ref="F15:F16"/>
    <mergeCell ref="G15:G16"/>
    <mergeCell ref="H15:H16"/>
    <mergeCell ref="H14:M14"/>
    <mergeCell ref="B32:M32"/>
    <mergeCell ref="B33:M33"/>
    <mergeCell ref="B34:M34"/>
    <mergeCell ref="J15:J16"/>
    <mergeCell ref="K15:K16"/>
    <mergeCell ref="I15:I1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G25"/>
  <sheetViews>
    <sheetView workbookViewId="0">
      <selection sqref="A1:XFD1048576"/>
    </sheetView>
  </sheetViews>
  <sheetFormatPr baseColWidth="10" defaultRowHeight="15"/>
  <cols>
    <col min="1" max="1" width="11.42578125" style="412"/>
    <col min="2" max="2" width="27" style="412" bestFit="1" customWidth="1"/>
    <col min="3" max="4" width="11.85546875" style="412" bestFit="1" customWidth="1"/>
    <col min="5" max="5" width="15.28515625" style="412" bestFit="1" customWidth="1"/>
    <col min="6" max="6" width="15.42578125" style="412" bestFit="1" customWidth="1"/>
    <col min="7" max="16384" width="11.42578125" style="412"/>
  </cols>
  <sheetData>
    <row r="7" spans="2:6">
      <c r="B7" s="804" t="s">
        <v>1320</v>
      </c>
    </row>
    <row r="8" spans="2:6">
      <c r="B8" s="551" t="s">
        <v>985</v>
      </c>
    </row>
    <row r="9" spans="2:6" ht="15.75" thickBot="1"/>
    <row r="10" spans="2:6">
      <c r="B10" s="921" t="s">
        <v>777</v>
      </c>
      <c r="C10" s="922" t="s">
        <v>800</v>
      </c>
      <c r="D10" s="922" t="s">
        <v>315</v>
      </c>
      <c r="E10" s="922" t="s">
        <v>185</v>
      </c>
      <c r="F10" s="923" t="s">
        <v>801</v>
      </c>
    </row>
    <row r="11" spans="2:6">
      <c r="B11" s="431"/>
      <c r="C11" s="885"/>
      <c r="D11" s="885"/>
      <c r="E11" s="885"/>
      <c r="F11" s="924"/>
    </row>
    <row r="12" spans="2:6">
      <c r="B12" s="434" t="s">
        <v>957</v>
      </c>
      <c r="C12" s="886">
        <v>0</v>
      </c>
      <c r="D12" s="887">
        <f>SUM(D11)</f>
        <v>0</v>
      </c>
      <c r="E12" s="887">
        <f>SUM(E11)</f>
        <v>0</v>
      </c>
      <c r="F12" s="925">
        <f>SUM(F11)</f>
        <v>0</v>
      </c>
    </row>
    <row r="13" spans="2:6" ht="15.75" thickBot="1">
      <c r="B13" s="437" t="s">
        <v>958</v>
      </c>
      <c r="C13" s="926">
        <v>0</v>
      </c>
      <c r="D13" s="927">
        <v>0</v>
      </c>
      <c r="E13" s="927">
        <v>0</v>
      </c>
      <c r="F13" s="928">
        <f>SUM(F12)</f>
        <v>0</v>
      </c>
    </row>
    <row r="23" spans="2:7">
      <c r="B23" s="1116" t="s">
        <v>1043</v>
      </c>
      <c r="C23" s="1116"/>
      <c r="D23" s="1116"/>
      <c r="E23" s="1116"/>
      <c r="F23" s="1116"/>
      <c r="G23" s="440"/>
    </row>
    <row r="24" spans="2:7">
      <c r="B24" s="1116" t="s">
        <v>1117</v>
      </c>
      <c r="C24" s="1116"/>
      <c r="D24" s="1116"/>
      <c r="E24" s="1116"/>
      <c r="F24" s="1116"/>
      <c r="G24" s="440"/>
    </row>
    <row r="25" spans="2:7">
      <c r="B25" s="1116" t="s">
        <v>1014</v>
      </c>
      <c r="C25" s="1116"/>
      <c r="D25" s="1116"/>
      <c r="E25" s="1116"/>
      <c r="F25" s="1116"/>
      <c r="G25" s="440"/>
    </row>
  </sheetData>
  <mergeCells count="3">
    <mergeCell ref="B23:F23"/>
    <mergeCell ref="B24:F24"/>
    <mergeCell ref="B25:F2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I25"/>
  <sheetViews>
    <sheetView zoomScale="89" zoomScaleNormal="89" workbookViewId="0">
      <selection activeCell="B11" sqref="B11:F14"/>
    </sheetView>
  </sheetViews>
  <sheetFormatPr baseColWidth="10" defaultRowHeight="15"/>
  <cols>
    <col min="1" max="1" width="11.42578125" style="412"/>
    <col min="2" max="2" width="23.85546875" style="412" customWidth="1"/>
    <col min="3" max="3" width="12.85546875" style="412" bestFit="1" customWidth="1"/>
    <col min="4" max="4" width="13.42578125" style="412" bestFit="1" customWidth="1"/>
    <col min="5" max="5" width="16" style="412" bestFit="1" customWidth="1"/>
    <col min="6" max="6" width="16.85546875" style="412" bestFit="1" customWidth="1"/>
    <col min="7" max="7" width="11.42578125" style="412"/>
    <col min="8" max="8" width="15.42578125" style="412" bestFit="1" customWidth="1"/>
    <col min="9" max="16384" width="11.42578125" style="412"/>
  </cols>
  <sheetData>
    <row r="8" spans="2:9">
      <c r="B8" s="514" t="s">
        <v>1206</v>
      </c>
    </row>
    <row r="10" spans="2:9" ht="20.100000000000001" customHeight="1" thickBot="1"/>
    <row r="11" spans="2:9" ht="20.100000000000001" customHeight="1">
      <c r="B11" s="921" t="s">
        <v>777</v>
      </c>
      <c r="C11" s="922" t="s">
        <v>800</v>
      </c>
      <c r="D11" s="922" t="s">
        <v>315</v>
      </c>
      <c r="E11" s="922" t="s">
        <v>185</v>
      </c>
      <c r="F11" s="923" t="s">
        <v>801</v>
      </c>
    </row>
    <row r="12" spans="2:9" ht="20.100000000000001" customHeight="1">
      <c r="B12" s="431" t="s">
        <v>356</v>
      </c>
      <c r="C12" s="885">
        <v>41367931</v>
      </c>
      <c r="D12" s="885">
        <v>-10455957</v>
      </c>
      <c r="E12" s="885">
        <v>-30911974</v>
      </c>
      <c r="F12" s="924">
        <f>+C12+D12+E12</f>
        <v>0</v>
      </c>
    </row>
    <row r="13" spans="2:9" ht="20.100000000000001" customHeight="1">
      <c r="B13" s="434" t="s">
        <v>957</v>
      </c>
      <c r="C13" s="887">
        <f>SUM(C12)</f>
        <v>41367931</v>
      </c>
      <c r="D13" s="887">
        <f>SUM(D12)</f>
        <v>-10455957</v>
      </c>
      <c r="E13" s="887">
        <f>SUM(E12)</f>
        <v>-30911974</v>
      </c>
      <c r="F13" s="925">
        <f>SUM(F12)</f>
        <v>0</v>
      </c>
      <c r="H13" s="786"/>
      <c r="I13" s="786"/>
    </row>
    <row r="14" spans="2:9" ht="20.100000000000001" customHeight="1" thickBot="1">
      <c r="B14" s="1098" t="s">
        <v>958</v>
      </c>
      <c r="C14" s="1099">
        <v>41367931</v>
      </c>
      <c r="D14" s="1099">
        <v>0</v>
      </c>
      <c r="E14" s="1099">
        <v>-30911974</v>
      </c>
      <c r="F14" s="1100">
        <v>10455957</v>
      </c>
      <c r="H14" s="421"/>
      <c r="I14" s="786"/>
    </row>
    <row r="15" spans="2:9" ht="20.100000000000001" customHeight="1"/>
    <row r="16" spans="2:9" ht="20.100000000000001" customHeight="1"/>
    <row r="17" spans="2:6" ht="20.100000000000001" customHeight="1"/>
    <row r="18" spans="2:6" ht="20.100000000000001" customHeight="1"/>
    <row r="19" spans="2:6" ht="20.100000000000001" customHeight="1"/>
    <row r="20" spans="2:6" ht="20.100000000000001" customHeight="1"/>
    <row r="21" spans="2:6" ht="20.100000000000001" customHeight="1"/>
    <row r="22" spans="2:6" ht="20.100000000000001" customHeight="1"/>
    <row r="23" spans="2:6" ht="20.100000000000001" customHeight="1">
      <c r="B23" s="1116" t="s">
        <v>1043</v>
      </c>
      <c r="C23" s="1116"/>
      <c r="D23" s="1116"/>
      <c r="E23" s="1116"/>
      <c r="F23" s="1116"/>
    </row>
    <row r="24" spans="2:6">
      <c r="B24" s="1116" t="s">
        <v>1117</v>
      </c>
      <c r="C24" s="1116"/>
      <c r="D24" s="1116"/>
      <c r="E24" s="1116"/>
      <c r="F24" s="1116"/>
    </row>
    <row r="25" spans="2:6">
      <c r="B25" s="1116" t="s">
        <v>1014</v>
      </c>
      <c r="C25" s="1116"/>
      <c r="D25" s="1116"/>
      <c r="E25" s="1116"/>
      <c r="F25" s="1116"/>
    </row>
  </sheetData>
  <mergeCells count="3">
    <mergeCell ref="B23:F23"/>
    <mergeCell ref="B24:F24"/>
    <mergeCell ref="B25:F25"/>
  </mergeCells>
  <pageMargins left="0.7" right="0.7" top="0.75" bottom="0.75" header="0.3" footer="0.3"/>
  <pageSetup orientation="portrait" r:id="rId1"/>
  <ignoredErrors>
    <ignoredError sqref="F13"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F25"/>
  <sheetViews>
    <sheetView workbookViewId="0">
      <selection activeCell="I20" sqref="I20"/>
    </sheetView>
  </sheetViews>
  <sheetFormatPr baseColWidth="10" defaultRowHeight="15"/>
  <cols>
    <col min="1" max="1" width="11.42578125" style="412"/>
    <col min="2" max="2" width="46.42578125" style="412" bestFit="1" customWidth="1"/>
    <col min="3" max="4" width="13.42578125" style="412" bestFit="1" customWidth="1"/>
    <col min="5" max="16384" width="11.42578125" style="412"/>
  </cols>
  <sheetData>
    <row r="8" spans="2:4">
      <c r="B8" s="514" t="s">
        <v>1207</v>
      </c>
    </row>
    <row r="10" spans="2:4" ht="15.75" thickBot="1">
      <c r="B10" s="552"/>
    </row>
    <row r="11" spans="2:4">
      <c r="B11" s="921" t="s">
        <v>777</v>
      </c>
      <c r="C11" s="922" t="s">
        <v>799</v>
      </c>
      <c r="D11" s="923" t="s">
        <v>802</v>
      </c>
    </row>
    <row r="12" spans="2:4">
      <c r="B12" s="431" t="s">
        <v>1312</v>
      </c>
      <c r="C12" s="890">
        <v>0</v>
      </c>
      <c r="D12" s="890">
        <v>23433280</v>
      </c>
    </row>
    <row r="13" spans="2:4">
      <c r="B13" s="434" t="s">
        <v>781</v>
      </c>
      <c r="C13" s="929">
        <f>SUM(C12)</f>
        <v>0</v>
      </c>
      <c r="D13" s="1081">
        <f>+D12</f>
        <v>23433280</v>
      </c>
    </row>
    <row r="14" spans="2:4" ht="15.75" thickBot="1">
      <c r="B14" s="1098" t="s">
        <v>780</v>
      </c>
      <c r="C14" s="1101">
        <v>0</v>
      </c>
      <c r="D14" s="1102">
        <v>0</v>
      </c>
    </row>
    <row r="23" spans="2:6">
      <c r="B23" s="1116" t="s">
        <v>1043</v>
      </c>
      <c r="C23" s="1116"/>
      <c r="D23" s="1116"/>
      <c r="E23" s="440"/>
      <c r="F23" s="440"/>
    </row>
    <row r="24" spans="2:6">
      <c r="B24" s="1116" t="s">
        <v>1117</v>
      </c>
      <c r="C24" s="1116"/>
      <c r="D24" s="1116"/>
      <c r="E24" s="440"/>
      <c r="F24" s="440"/>
    </row>
    <row r="25" spans="2:6">
      <c r="B25" s="1116" t="s">
        <v>1014</v>
      </c>
      <c r="C25" s="1116"/>
      <c r="D25" s="1116"/>
      <c r="E25" s="440"/>
      <c r="F25" s="440"/>
    </row>
  </sheetData>
  <mergeCells count="3">
    <mergeCell ref="B23:D23"/>
    <mergeCell ref="B24:D24"/>
    <mergeCell ref="B25:D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L107"/>
  <sheetViews>
    <sheetView zoomScale="85" zoomScaleNormal="85" workbookViewId="0">
      <selection activeCell="H7" sqref="H7"/>
    </sheetView>
  </sheetViews>
  <sheetFormatPr baseColWidth="10" defaultRowHeight="12.75"/>
  <cols>
    <col min="1" max="1" width="2.7109375" customWidth="1"/>
    <col min="2" max="2" width="2.7109375" style="1" customWidth="1"/>
    <col min="3" max="3" width="36.5703125" style="1" customWidth="1"/>
    <col min="4" max="4" width="14.42578125" style="1" bestFit="1" customWidth="1"/>
    <col min="5" max="5" width="14.42578125" style="1" customWidth="1"/>
    <col min="6" max="6" width="17.85546875" style="1" bestFit="1" customWidth="1"/>
    <col min="7" max="7" width="16.5703125" style="1" customWidth="1"/>
    <col min="8" max="8" width="18.140625" style="1" customWidth="1"/>
    <col min="9" max="9" width="32.7109375" customWidth="1"/>
    <col min="10" max="10" width="12.7109375" style="2" customWidth="1"/>
    <col min="12" max="12" width="12.7109375" style="2" customWidth="1"/>
  </cols>
  <sheetData>
    <row r="1" spans="1:8">
      <c r="A1" s="1115" t="s">
        <v>0</v>
      </c>
      <c r="B1" s="1115"/>
      <c r="C1" s="1115"/>
      <c r="D1" s="1115"/>
      <c r="E1" s="1115"/>
      <c r="F1" s="1115"/>
      <c r="G1" s="1115"/>
      <c r="H1" s="3"/>
    </row>
    <row r="2" spans="1:8">
      <c r="A2" s="1115" t="s">
        <v>1</v>
      </c>
      <c r="B2" s="1115"/>
      <c r="C2" s="1115"/>
      <c r="D2" s="1115"/>
      <c r="E2" s="1115"/>
      <c r="F2" s="1115"/>
      <c r="G2" s="1115"/>
      <c r="H2" s="3"/>
    </row>
    <row r="3" spans="1:8">
      <c r="A3" s="1115" t="s">
        <v>2</v>
      </c>
      <c r="B3" s="1115"/>
      <c r="C3" s="1115"/>
      <c r="D3" s="1115"/>
      <c r="E3" s="1115"/>
      <c r="F3" s="1115"/>
      <c r="G3" s="1115"/>
      <c r="H3" s="3"/>
    </row>
    <row r="4" spans="1:8">
      <c r="A4" s="1115" t="s">
        <v>3</v>
      </c>
      <c r="B4" s="1115"/>
      <c r="C4" s="1115"/>
      <c r="D4" s="1115"/>
      <c r="E4" s="1115"/>
      <c r="F4" s="1115"/>
      <c r="G4" s="1115"/>
      <c r="H4" s="3"/>
    </row>
    <row r="5" spans="1:8">
      <c r="A5" s="1115" t="s">
        <v>375</v>
      </c>
      <c r="B5" s="1115"/>
      <c r="C5" s="1115"/>
      <c r="D5" s="1115"/>
      <c r="E5" s="1115"/>
      <c r="F5" s="1115"/>
      <c r="G5" s="1115"/>
      <c r="H5" s="3"/>
    </row>
    <row r="6" spans="1:8">
      <c r="A6" s="4"/>
      <c r="B6" s="5"/>
      <c r="C6" s="5"/>
      <c r="D6" s="5"/>
      <c r="E6" s="5"/>
      <c r="F6" s="5"/>
    </row>
    <row r="7" spans="1:8">
      <c r="A7" s="6" t="s">
        <v>4</v>
      </c>
      <c r="B7" s="7"/>
      <c r="C7" s="7"/>
      <c r="D7" s="7"/>
      <c r="E7" s="7"/>
      <c r="F7" s="7"/>
      <c r="G7" s="8">
        <f>SUM(G9:G107)</f>
        <v>0</v>
      </c>
    </row>
    <row r="8" spans="1:8">
      <c r="A8" s="4"/>
      <c r="B8" s="5"/>
      <c r="C8" s="5"/>
      <c r="D8" s="5"/>
      <c r="E8" s="5"/>
      <c r="F8" s="5"/>
      <c r="G8" s="5"/>
    </row>
    <row r="9" spans="1:8">
      <c r="A9" s="4" t="s">
        <v>5</v>
      </c>
      <c r="B9" s="5"/>
      <c r="C9" s="5"/>
      <c r="D9" s="5">
        <v>2010</v>
      </c>
      <c r="E9" s="5">
        <v>2011</v>
      </c>
      <c r="F9" s="5"/>
      <c r="G9" s="5">
        <f>SUM(F10:F33)</f>
        <v>0</v>
      </c>
    </row>
    <row r="10" spans="1:8">
      <c r="A10" s="4"/>
      <c r="B10" s="5" t="s">
        <v>6</v>
      </c>
      <c r="C10" s="5"/>
      <c r="D10" s="5"/>
      <c r="E10" s="5"/>
      <c r="F10" s="9">
        <f>SUM(D11:D29)</f>
        <v>0</v>
      </c>
    </row>
    <row r="11" spans="1:8">
      <c r="C11" s="1" t="s">
        <v>376</v>
      </c>
    </row>
    <row r="12" spans="1:8">
      <c r="C12" s="1" t="s">
        <v>378</v>
      </c>
    </row>
    <row r="13" spans="1:8">
      <c r="C13" t="s">
        <v>379</v>
      </c>
    </row>
    <row r="14" spans="1:8">
      <c r="C14" t="s">
        <v>380</v>
      </c>
    </row>
    <row r="15" spans="1:8">
      <c r="C15" t="s">
        <v>381</v>
      </c>
    </row>
    <row r="16" spans="1:8">
      <c r="C16" t="s">
        <v>382</v>
      </c>
    </row>
    <row r="17" spans="2:10">
      <c r="B17"/>
      <c r="C17" t="s">
        <v>383</v>
      </c>
      <c r="D17"/>
      <c r="E17"/>
      <c r="F17"/>
      <c r="G17"/>
      <c r="H17"/>
      <c r="J17"/>
    </row>
    <row r="18" spans="2:10">
      <c r="B18"/>
      <c r="C18" t="s">
        <v>384</v>
      </c>
      <c r="D18"/>
      <c r="E18"/>
      <c r="F18"/>
      <c r="G18"/>
      <c r="H18"/>
      <c r="J18"/>
    </row>
    <row r="19" spans="2:10">
      <c r="B19"/>
      <c r="C19" t="s">
        <v>385</v>
      </c>
      <c r="D19"/>
      <c r="E19"/>
      <c r="F19"/>
      <c r="G19"/>
      <c r="H19"/>
      <c r="J19"/>
    </row>
    <row r="20" spans="2:10">
      <c r="B20"/>
      <c r="C20" t="s">
        <v>386</v>
      </c>
      <c r="D20"/>
      <c r="E20"/>
      <c r="F20"/>
      <c r="G20"/>
      <c r="H20"/>
      <c r="J20"/>
    </row>
    <row r="21" spans="2:10">
      <c r="B21"/>
      <c r="C21" t="s">
        <v>387</v>
      </c>
      <c r="D21"/>
      <c r="E21"/>
      <c r="F21"/>
      <c r="G21"/>
      <c r="H21"/>
      <c r="J21"/>
    </row>
    <row r="22" spans="2:10">
      <c r="B22"/>
      <c r="C22" t="s">
        <v>388</v>
      </c>
      <c r="D22"/>
      <c r="E22"/>
      <c r="F22"/>
      <c r="G22"/>
      <c r="H22"/>
      <c r="J22"/>
    </row>
    <row r="24" spans="2:10">
      <c r="C24" s="1" t="s">
        <v>7</v>
      </c>
      <c r="J24"/>
    </row>
    <row r="25" spans="2:10">
      <c r="C25" s="1" t="s">
        <v>8</v>
      </c>
      <c r="J25"/>
    </row>
    <row r="26" spans="2:10">
      <c r="C26" s="1" t="s">
        <v>9</v>
      </c>
      <c r="H26" s="1">
        <f>+D26+D28</f>
        <v>0</v>
      </c>
      <c r="I26" t="s">
        <v>10</v>
      </c>
      <c r="J26"/>
    </row>
    <row r="27" spans="2:10">
      <c r="C27" s="1" t="s">
        <v>11</v>
      </c>
      <c r="D27" s="1">
        <v>0</v>
      </c>
      <c r="H27" s="1">
        <v>0</v>
      </c>
      <c r="I27" s="4" t="s">
        <v>8</v>
      </c>
      <c r="J27"/>
    </row>
    <row r="28" spans="2:10">
      <c r="C28" s="1" t="s">
        <v>8</v>
      </c>
      <c r="H28" s="10">
        <v>0</v>
      </c>
      <c r="I28" s="11" t="s">
        <v>12</v>
      </c>
      <c r="J28" s="12">
        <v>0</v>
      </c>
    </row>
    <row r="29" spans="2:10">
      <c r="H29" s="10">
        <v>0</v>
      </c>
      <c r="I29" s="11" t="s">
        <v>13</v>
      </c>
      <c r="J29" s="12">
        <v>0</v>
      </c>
    </row>
    <row r="30" spans="2:10">
      <c r="H30" s="10">
        <v>0</v>
      </c>
      <c r="I30" s="11" t="s">
        <v>14</v>
      </c>
      <c r="J30" s="2">
        <v>0</v>
      </c>
    </row>
    <row r="31" spans="2:10">
      <c r="B31" s="5" t="s">
        <v>15</v>
      </c>
      <c r="C31" s="5"/>
      <c r="F31" s="13">
        <f>SUM(D32:D33)</f>
        <v>0</v>
      </c>
      <c r="H31" s="10">
        <v>0</v>
      </c>
      <c r="I31" s="11" t="s">
        <v>16</v>
      </c>
      <c r="J31" s="2">
        <v>0</v>
      </c>
    </row>
    <row r="32" spans="2:10">
      <c r="C32" s="1" t="s">
        <v>17</v>
      </c>
      <c r="H32" s="14">
        <v>0</v>
      </c>
      <c r="I32" s="11" t="s">
        <v>18</v>
      </c>
      <c r="J32" s="2">
        <v>0</v>
      </c>
    </row>
    <row r="33" spans="1:10">
      <c r="C33" s="1" t="s">
        <v>19</v>
      </c>
      <c r="H33" s="14">
        <v>0</v>
      </c>
      <c r="I33" s="11" t="s">
        <v>20</v>
      </c>
      <c r="J33" s="12">
        <v>0</v>
      </c>
    </row>
    <row r="34" spans="1:10">
      <c r="H34" s="14">
        <v>0</v>
      </c>
      <c r="I34" s="11" t="s">
        <v>21</v>
      </c>
      <c r="J34" s="12">
        <v>0</v>
      </c>
    </row>
    <row r="35" spans="1:10">
      <c r="A35" s="4" t="s">
        <v>22</v>
      </c>
      <c r="B35" s="5"/>
      <c r="C35" s="5"/>
      <c r="G35" s="5">
        <f>SUM(F36:F48)</f>
        <v>0</v>
      </c>
      <c r="H35" s="14">
        <v>0</v>
      </c>
      <c r="I35" s="11" t="s">
        <v>23</v>
      </c>
      <c r="J35" s="12">
        <v>0</v>
      </c>
    </row>
    <row r="36" spans="1:10">
      <c r="B36" s="1" t="s">
        <v>24</v>
      </c>
      <c r="F36" s="13">
        <f>SUM(D37:D45)</f>
        <v>0</v>
      </c>
      <c r="H36" s="14">
        <v>0</v>
      </c>
      <c r="I36" s="11" t="s">
        <v>25</v>
      </c>
      <c r="J36" s="12">
        <v>0</v>
      </c>
    </row>
    <row r="37" spans="1:10">
      <c r="C37" s="1" t="s">
        <v>26</v>
      </c>
      <c r="H37" s="14">
        <v>0</v>
      </c>
      <c r="I37" s="11" t="s">
        <v>27</v>
      </c>
      <c r="J37" s="12">
        <v>0</v>
      </c>
    </row>
    <row r="38" spans="1:10">
      <c r="C38" s="1" t="s">
        <v>28</v>
      </c>
      <c r="D38" s="1">
        <v>0</v>
      </c>
      <c r="H38" s="14">
        <v>0</v>
      </c>
      <c r="I38" s="11" t="s">
        <v>29</v>
      </c>
      <c r="J38" s="12">
        <v>0</v>
      </c>
    </row>
    <row r="39" spans="1:10">
      <c r="C39" s="1" t="s">
        <v>30</v>
      </c>
      <c r="H39" s="14">
        <v>0</v>
      </c>
      <c r="I39" s="11" t="s">
        <v>31</v>
      </c>
      <c r="J39" s="12">
        <v>0</v>
      </c>
    </row>
    <row r="40" spans="1:10">
      <c r="C40" s="1" t="s">
        <v>32</v>
      </c>
      <c r="H40" s="14">
        <v>0</v>
      </c>
      <c r="I40" s="11" t="s">
        <v>33</v>
      </c>
      <c r="J40" s="12">
        <v>0</v>
      </c>
    </row>
    <row r="41" spans="1:10">
      <c r="C41" s="1" t="s">
        <v>34</v>
      </c>
      <c r="D41" s="1">
        <v>0</v>
      </c>
      <c r="I41" s="15"/>
      <c r="J41" s="12"/>
    </row>
    <row r="42" spans="1:10">
      <c r="C42" s="1" t="s">
        <v>35</v>
      </c>
      <c r="D42" s="1">
        <v>0</v>
      </c>
      <c r="H42" s="1">
        <f>F36+F46</f>
        <v>0</v>
      </c>
      <c r="I42" s="11" t="s">
        <v>36</v>
      </c>
    </row>
    <row r="43" spans="1:10">
      <c r="C43" s="1" t="s">
        <v>37</v>
      </c>
      <c r="D43" s="1">
        <v>0</v>
      </c>
    </row>
    <row r="44" spans="1:10">
      <c r="C44" s="1" t="s">
        <v>38</v>
      </c>
      <c r="D44" s="16">
        <v>0</v>
      </c>
      <c r="E44" s="16"/>
      <c r="H44" s="1">
        <v>0</v>
      </c>
      <c r="I44" t="s">
        <v>39</v>
      </c>
    </row>
    <row r="45" spans="1:10">
      <c r="B45" s="1" t="s">
        <v>40</v>
      </c>
      <c r="H45" s="1">
        <v>0</v>
      </c>
      <c r="I45" t="s">
        <v>41</v>
      </c>
    </row>
    <row r="46" spans="1:10">
      <c r="A46" s="4"/>
      <c r="B46" s="1" t="s">
        <v>42</v>
      </c>
      <c r="F46" s="9">
        <f>SUM(D46)</f>
        <v>0</v>
      </c>
      <c r="H46" s="1">
        <v>0</v>
      </c>
      <c r="I46" t="s">
        <v>42</v>
      </c>
    </row>
    <row r="47" spans="1:10">
      <c r="H47" s="1">
        <v>0</v>
      </c>
    </row>
    <row r="48" spans="1:10">
      <c r="A48" s="4" t="s">
        <v>43</v>
      </c>
      <c r="F48" s="9">
        <f>D49</f>
        <v>0</v>
      </c>
      <c r="H48" s="1">
        <v>0</v>
      </c>
      <c r="I48" t="s">
        <v>44</v>
      </c>
    </row>
    <row r="49" spans="1:10">
      <c r="B49" s="17" t="s">
        <v>45</v>
      </c>
      <c r="D49" s="1">
        <f>H47+H48+H49+H50</f>
        <v>0</v>
      </c>
      <c r="H49" s="1">
        <v>0</v>
      </c>
    </row>
    <row r="50" spans="1:10">
      <c r="H50" s="1">
        <v>0</v>
      </c>
    </row>
    <row r="51" spans="1:10">
      <c r="A51" s="4" t="s">
        <v>46</v>
      </c>
      <c r="B51" s="5"/>
      <c r="C51" s="5"/>
      <c r="D51" s="5"/>
      <c r="E51" s="5"/>
      <c r="F51" s="5"/>
      <c r="G51" s="5">
        <f>+F52+F54+F60+F64+F67+F69+F71+F73-F89</f>
        <v>0</v>
      </c>
    </row>
    <row r="52" spans="1:10">
      <c r="A52" s="4"/>
      <c r="B52" s="17" t="s">
        <v>6</v>
      </c>
      <c r="C52" s="5"/>
      <c r="D52" s="5"/>
      <c r="E52" s="5"/>
      <c r="F52" s="9">
        <f>D53</f>
        <v>0</v>
      </c>
      <c r="G52" s="5"/>
      <c r="H52" s="18" t="s">
        <v>47</v>
      </c>
      <c r="I52" t="s">
        <v>12</v>
      </c>
      <c r="J52" s="2" t="s">
        <v>48</v>
      </c>
    </row>
    <row r="53" spans="1:10">
      <c r="A53" s="4"/>
      <c r="B53" s="5"/>
      <c r="C53" s="1" t="s">
        <v>7</v>
      </c>
      <c r="D53" s="17"/>
      <c r="E53" s="17"/>
      <c r="F53" s="5"/>
      <c r="G53" s="5"/>
      <c r="H53" s="1">
        <v>0</v>
      </c>
      <c r="I53" s="1">
        <v>0</v>
      </c>
      <c r="J53" s="1">
        <v>0</v>
      </c>
    </row>
    <row r="54" spans="1:10">
      <c r="B54" s="1" t="s">
        <v>49</v>
      </c>
      <c r="F54" s="9">
        <f>+D55+D56+D57+D58</f>
        <v>0</v>
      </c>
    </row>
    <row r="55" spans="1:10">
      <c r="C55" s="1" t="s">
        <v>50</v>
      </c>
      <c r="D55" s="1">
        <v>0</v>
      </c>
    </row>
    <row r="56" spans="1:10">
      <c r="C56" s="1" t="s">
        <v>42</v>
      </c>
    </row>
    <row r="57" spans="1:10">
      <c r="C57" s="1" t="s">
        <v>51</v>
      </c>
    </row>
    <row r="58" spans="1:10">
      <c r="C58" s="1" t="s">
        <v>52</v>
      </c>
    </row>
    <row r="59" spans="1:10">
      <c r="B59" s="1" t="s">
        <v>53</v>
      </c>
      <c r="J59"/>
    </row>
    <row r="60" spans="1:10">
      <c r="B60" s="1" t="s">
        <v>54</v>
      </c>
      <c r="F60" s="9">
        <f>+D61+D62+D63+D65</f>
        <v>0</v>
      </c>
      <c r="J60"/>
    </row>
    <row r="61" spans="1:10">
      <c r="C61" s="1" t="s">
        <v>55</v>
      </c>
      <c r="J61"/>
    </row>
    <row r="62" spans="1:10">
      <c r="C62" s="1" t="s">
        <v>56</v>
      </c>
      <c r="H62" s="1">
        <f>F60+F64</f>
        <v>0</v>
      </c>
      <c r="J62"/>
    </row>
    <row r="63" spans="1:10">
      <c r="C63" s="1" t="s">
        <v>56</v>
      </c>
      <c r="J63"/>
    </row>
    <row r="64" spans="1:10">
      <c r="B64" s="1" t="s">
        <v>57</v>
      </c>
      <c r="F64" s="9">
        <f>D66</f>
        <v>0</v>
      </c>
      <c r="J64"/>
    </row>
    <row r="65" spans="2:9" customFormat="1">
      <c r="B65" s="1"/>
      <c r="C65" s="1" t="s">
        <v>58</v>
      </c>
      <c r="D65" s="1"/>
      <c r="E65" s="1"/>
      <c r="F65" s="1"/>
      <c r="G65" s="1"/>
      <c r="H65" s="1">
        <f>D61+D62+D63+D65</f>
        <v>0</v>
      </c>
    </row>
    <row r="66" spans="2:9" customFormat="1">
      <c r="B66" s="1"/>
      <c r="C66" s="1" t="s">
        <v>59</v>
      </c>
      <c r="D66" s="1">
        <f>SUM(H67:H69)</f>
        <v>0</v>
      </c>
      <c r="E66" s="1"/>
      <c r="F66" s="1"/>
      <c r="G66" s="1"/>
      <c r="H66" s="14"/>
      <c r="I66" t="s">
        <v>60</v>
      </c>
    </row>
    <row r="67" spans="2:9" customFormat="1">
      <c r="B67" s="1" t="s">
        <v>61</v>
      </c>
      <c r="C67" s="1"/>
      <c r="D67" s="1"/>
      <c r="E67" s="1"/>
      <c r="F67" s="1">
        <f>+D68</f>
        <v>0</v>
      </c>
      <c r="G67" s="1"/>
      <c r="H67" s="1"/>
    </row>
    <row r="68" spans="2:9" customFormat="1">
      <c r="B68" s="1"/>
      <c r="C68" s="1" t="s">
        <v>62</v>
      </c>
      <c r="D68" s="1">
        <v>0</v>
      </c>
      <c r="E68" s="1"/>
      <c r="F68" s="1"/>
      <c r="G68" s="1"/>
      <c r="H68" s="1"/>
      <c r="I68" t="s">
        <v>63</v>
      </c>
    </row>
    <row r="69" spans="2:9" customFormat="1">
      <c r="B69" s="1" t="s">
        <v>64</v>
      </c>
      <c r="C69" s="1"/>
      <c r="D69" s="1"/>
      <c r="E69" s="1"/>
      <c r="F69" s="1">
        <f>D70</f>
        <v>0</v>
      </c>
      <c r="G69" s="1"/>
      <c r="H69" s="1"/>
      <c r="I69" t="s">
        <v>65</v>
      </c>
    </row>
    <row r="70" spans="2:9" customFormat="1">
      <c r="B70" s="1"/>
      <c r="C70" s="1" t="s">
        <v>66</v>
      </c>
      <c r="D70" s="1">
        <v>0</v>
      </c>
      <c r="E70" s="1"/>
      <c r="F70" s="1"/>
      <c r="G70" s="1"/>
      <c r="H70" s="1"/>
    </row>
    <row r="71" spans="2:9" customFormat="1">
      <c r="B71" s="1" t="s">
        <v>67</v>
      </c>
      <c r="C71" s="1"/>
      <c r="D71" s="1"/>
      <c r="E71" s="1"/>
      <c r="F71" s="9">
        <f>D72</f>
        <v>0</v>
      </c>
      <c r="G71" s="1"/>
      <c r="H71" s="1">
        <v>0</v>
      </c>
    </row>
    <row r="72" spans="2:9" customFormat="1">
      <c r="B72" s="1"/>
      <c r="C72" s="1" t="s">
        <v>68</v>
      </c>
      <c r="D72" s="1">
        <f>SUM(H71:H76)</f>
        <v>0</v>
      </c>
      <c r="E72" s="1"/>
      <c r="F72" s="1"/>
      <c r="G72" s="1"/>
      <c r="H72" s="1"/>
    </row>
    <row r="73" spans="2:9" customFormat="1">
      <c r="B73" s="1" t="s">
        <v>69</v>
      </c>
      <c r="C73" s="1"/>
      <c r="D73" s="1"/>
      <c r="E73" s="1"/>
      <c r="F73" s="5">
        <f>SUM(D74:D88)</f>
        <v>0</v>
      </c>
      <c r="G73" s="1"/>
      <c r="H73" s="1"/>
    </row>
    <row r="74" spans="2:9" customFormat="1">
      <c r="B74" s="1"/>
      <c r="C74" s="1" t="s">
        <v>70</v>
      </c>
      <c r="D74" s="1"/>
      <c r="E74" s="1"/>
      <c r="F74" s="1"/>
      <c r="G74" s="1"/>
      <c r="H74" s="1"/>
    </row>
    <row r="75" spans="2:9" customFormat="1">
      <c r="B75" s="1"/>
      <c r="C75" s="1" t="s">
        <v>71</v>
      </c>
      <c r="D75" s="1"/>
      <c r="E75" s="1"/>
      <c r="F75" s="1"/>
      <c r="G75" s="1"/>
      <c r="H75" s="1"/>
    </row>
    <row r="76" spans="2:9" customFormat="1">
      <c r="B76" s="1"/>
      <c r="C76" s="1" t="s">
        <v>72</v>
      </c>
      <c r="D76" s="1"/>
      <c r="E76" s="1"/>
      <c r="F76" s="1"/>
      <c r="G76" s="1"/>
      <c r="H76" s="1"/>
    </row>
    <row r="77" spans="2:9" customFormat="1">
      <c r="B77" s="1"/>
      <c r="C77" s="1" t="s">
        <v>73</v>
      </c>
      <c r="D77" s="1"/>
      <c r="E77" s="1"/>
      <c r="F77" s="1"/>
      <c r="G77" s="1"/>
      <c r="H77" s="1"/>
    </row>
    <row r="78" spans="2:9" customFormat="1">
      <c r="B78" s="1"/>
      <c r="C78" s="1" t="s">
        <v>74</v>
      </c>
      <c r="D78" s="1"/>
      <c r="E78" s="1"/>
      <c r="F78" s="1"/>
      <c r="G78" s="1"/>
      <c r="H78" s="1"/>
    </row>
    <row r="79" spans="2:9" customFormat="1">
      <c r="B79" s="1"/>
      <c r="C79" s="1" t="s">
        <v>75</v>
      </c>
      <c r="D79" s="1"/>
      <c r="E79" s="1"/>
      <c r="F79" s="1"/>
      <c r="G79" s="1"/>
      <c r="H79" s="1"/>
    </row>
    <row r="80" spans="2:9" customFormat="1">
      <c r="B80" s="1"/>
      <c r="C80" s="1" t="s">
        <v>76</v>
      </c>
      <c r="D80" s="1"/>
      <c r="E80" s="1"/>
      <c r="F80" s="1"/>
      <c r="G80" s="1"/>
      <c r="H80" s="1"/>
    </row>
    <row r="81" spans="2:9" customFormat="1">
      <c r="B81" s="1"/>
      <c r="C81" s="1" t="s">
        <v>77</v>
      </c>
      <c r="D81" s="1"/>
      <c r="E81" s="1"/>
      <c r="F81" s="1"/>
      <c r="G81" s="1"/>
      <c r="H81" s="1"/>
    </row>
    <row r="82" spans="2:9" customFormat="1">
      <c r="B82" s="1"/>
      <c r="C82" s="1" t="s">
        <v>78</v>
      </c>
      <c r="D82" s="1"/>
      <c r="E82" s="1"/>
      <c r="F82" s="1"/>
      <c r="G82" s="1"/>
      <c r="H82" s="1"/>
    </row>
    <row r="83" spans="2:9" customFormat="1">
      <c r="B83" s="1"/>
      <c r="C83" s="1" t="s">
        <v>79</v>
      </c>
      <c r="D83" s="1"/>
      <c r="E83" s="1"/>
      <c r="F83" s="1"/>
      <c r="G83" s="1"/>
      <c r="H83" s="1"/>
    </row>
    <row r="84" spans="2:9" customFormat="1">
      <c r="B84" s="1"/>
      <c r="C84" s="1" t="s">
        <v>80</v>
      </c>
      <c r="D84" s="1"/>
      <c r="E84" s="1"/>
      <c r="F84" s="1"/>
      <c r="G84" s="1"/>
      <c r="H84" s="1"/>
    </row>
    <row r="85" spans="2:9" customFormat="1">
      <c r="B85" s="1"/>
      <c r="C85" s="1" t="s">
        <v>81</v>
      </c>
      <c r="D85" s="1"/>
      <c r="E85" s="1"/>
      <c r="F85" s="1"/>
      <c r="G85" s="1"/>
      <c r="H85" s="1"/>
    </row>
    <row r="86" spans="2:9" customFormat="1">
      <c r="B86" s="1"/>
      <c r="C86" s="1" t="s">
        <v>82</v>
      </c>
      <c r="D86" s="1"/>
      <c r="E86" s="1"/>
      <c r="F86" s="1"/>
      <c r="G86" s="1"/>
      <c r="H86" s="1"/>
    </row>
    <row r="87" spans="2:9" customFormat="1">
      <c r="B87" s="1"/>
      <c r="C87" s="1" t="s">
        <v>83</v>
      </c>
      <c r="D87" s="1"/>
      <c r="E87" s="1"/>
      <c r="F87" s="1"/>
      <c r="G87" s="1"/>
      <c r="H87" s="1"/>
    </row>
    <row r="88" spans="2:9" customFormat="1">
      <c r="B88" s="1"/>
      <c r="C88" s="1" t="s">
        <v>84</v>
      </c>
      <c r="D88" s="1"/>
      <c r="E88" s="1"/>
      <c r="F88" s="1"/>
      <c r="G88" s="1"/>
      <c r="H88" s="1"/>
    </row>
    <row r="89" spans="2:9" customFormat="1">
      <c r="B89" s="1" t="s">
        <v>85</v>
      </c>
      <c r="C89" s="1"/>
      <c r="D89" s="1"/>
      <c r="E89" s="1"/>
      <c r="F89" s="5">
        <f>SUM(D90:D102)</f>
        <v>0</v>
      </c>
      <c r="G89" s="1"/>
      <c r="H89" s="1"/>
    </row>
    <row r="90" spans="2:9" customFormat="1">
      <c r="B90" s="1"/>
      <c r="C90" s="1" t="s">
        <v>70</v>
      </c>
      <c r="D90" s="1">
        <v>0</v>
      </c>
      <c r="E90" s="1"/>
      <c r="F90" s="1"/>
      <c r="G90" s="1"/>
      <c r="H90" s="1"/>
    </row>
    <row r="91" spans="2:9" customFormat="1">
      <c r="B91" s="1"/>
      <c r="C91" s="1" t="s">
        <v>71</v>
      </c>
      <c r="D91" s="1">
        <v>0</v>
      </c>
      <c r="E91" s="1"/>
      <c r="F91" s="1"/>
      <c r="G91" s="1"/>
      <c r="H91" s="1"/>
    </row>
    <row r="92" spans="2:9" customFormat="1">
      <c r="B92" s="1"/>
      <c r="C92" s="1" t="s">
        <v>72</v>
      </c>
      <c r="D92" s="1">
        <v>0</v>
      </c>
      <c r="E92" s="1"/>
      <c r="F92" s="1"/>
      <c r="G92" s="1"/>
      <c r="H92" s="1"/>
    </row>
    <row r="93" spans="2:9" customFormat="1">
      <c r="B93" s="1"/>
      <c r="C93" s="1" t="s">
        <v>73</v>
      </c>
      <c r="D93" s="1">
        <v>0</v>
      </c>
      <c r="E93" s="1"/>
      <c r="F93" s="1"/>
      <c r="G93" s="1"/>
      <c r="H93" s="1"/>
    </row>
    <row r="94" spans="2:9" customFormat="1">
      <c r="B94" s="1"/>
      <c r="C94" s="1" t="s">
        <v>74</v>
      </c>
      <c r="D94" s="1">
        <v>0</v>
      </c>
      <c r="E94" s="1"/>
      <c r="F94" s="1"/>
      <c r="G94" s="1"/>
      <c r="H94" s="1"/>
    </row>
    <row r="95" spans="2:9" customFormat="1">
      <c r="B95" s="1"/>
      <c r="C95" s="1" t="s">
        <v>75</v>
      </c>
      <c r="D95" s="1">
        <v>0</v>
      </c>
      <c r="E95" s="1"/>
      <c r="F95" s="1"/>
      <c r="G95" s="1"/>
      <c r="H95" s="1"/>
    </row>
    <row r="96" spans="2:9" customFormat="1">
      <c r="B96" s="1"/>
      <c r="C96" s="1" t="s">
        <v>84</v>
      </c>
      <c r="D96" s="1">
        <v>0</v>
      </c>
      <c r="E96" s="1"/>
      <c r="F96" s="1"/>
      <c r="G96" s="1"/>
      <c r="H96" s="1">
        <f>D96*83.24/100</f>
        <v>0</v>
      </c>
      <c r="I96" t="s">
        <v>86</v>
      </c>
    </row>
    <row r="97" spans="1:9" customFormat="1">
      <c r="B97" s="1"/>
      <c r="C97" s="1" t="s">
        <v>87</v>
      </c>
      <c r="D97" s="1">
        <v>0</v>
      </c>
      <c r="E97" s="1"/>
      <c r="F97" s="1"/>
      <c r="G97" s="1"/>
      <c r="H97" s="1">
        <f>D96-H96</f>
        <v>0</v>
      </c>
      <c r="I97" t="s">
        <v>88</v>
      </c>
    </row>
    <row r="98" spans="1:9" customFormat="1" ht="13.5" thickBot="1">
      <c r="B98" s="1"/>
      <c r="C98" s="1" t="s">
        <v>89</v>
      </c>
      <c r="D98" s="1">
        <v>0</v>
      </c>
      <c r="E98" s="1"/>
      <c r="F98" s="1"/>
      <c r="G98" s="1"/>
      <c r="H98" s="19">
        <f>SUM(H96:H97)</f>
        <v>0</v>
      </c>
    </row>
    <row r="99" spans="1:9" customFormat="1" ht="13.5" thickTop="1">
      <c r="B99" s="1"/>
      <c r="C99" s="1" t="s">
        <v>79</v>
      </c>
      <c r="D99" s="1">
        <v>0</v>
      </c>
      <c r="E99" s="1"/>
      <c r="F99" s="1"/>
      <c r="G99" s="1"/>
      <c r="H99" s="1"/>
    </row>
    <row r="100" spans="1:9" customFormat="1">
      <c r="B100" s="1"/>
      <c r="C100" s="1" t="s">
        <v>80</v>
      </c>
      <c r="D100" s="1">
        <v>0</v>
      </c>
      <c r="E100" s="1"/>
      <c r="F100" s="1"/>
      <c r="G100" s="1"/>
      <c r="H100" s="1"/>
    </row>
    <row r="101" spans="1:9" customFormat="1">
      <c r="B101" s="1"/>
      <c r="C101" s="1" t="s">
        <v>81</v>
      </c>
      <c r="D101" s="1">
        <v>0</v>
      </c>
      <c r="E101" s="1"/>
      <c r="F101" s="1"/>
      <c r="G101" s="1"/>
      <c r="H101" s="1"/>
    </row>
    <row r="102" spans="1:9" customFormat="1">
      <c r="B102" s="1"/>
      <c r="C102" s="1" t="s">
        <v>83</v>
      </c>
      <c r="D102" s="1">
        <v>0</v>
      </c>
      <c r="E102" s="1"/>
      <c r="F102" s="1"/>
      <c r="G102" s="1"/>
      <c r="H102" s="1"/>
    </row>
    <row r="104" spans="1:9" customFormat="1">
      <c r="A104" s="4" t="s">
        <v>90</v>
      </c>
      <c r="B104" s="5"/>
      <c r="C104" s="5"/>
      <c r="D104" s="5"/>
      <c r="E104" s="5"/>
      <c r="F104" s="5"/>
      <c r="G104" s="5"/>
      <c r="H104" s="1"/>
    </row>
    <row r="106" spans="1:9" customFormat="1">
      <c r="A106" s="4" t="s">
        <v>91</v>
      </c>
      <c r="B106" s="1"/>
      <c r="C106" s="1"/>
      <c r="D106" s="1"/>
      <c r="E106" s="1"/>
      <c r="F106" s="1"/>
      <c r="G106" s="5">
        <f>F107</f>
        <v>0</v>
      </c>
      <c r="H106" s="1"/>
    </row>
    <row r="107" spans="1:9" customFormat="1">
      <c r="B107" s="1" t="s">
        <v>92</v>
      </c>
      <c r="C107" s="1"/>
      <c r="D107" s="1"/>
      <c r="E107" s="1"/>
      <c r="F107" s="1">
        <v>0</v>
      </c>
      <c r="G107" s="5"/>
    </row>
  </sheetData>
  <mergeCells count="5">
    <mergeCell ref="A5:G5"/>
    <mergeCell ref="A1:G1"/>
    <mergeCell ref="A2:G2"/>
    <mergeCell ref="A3:G3"/>
    <mergeCell ref="A4:G4"/>
  </mergeCells>
  <phoneticPr fontId="22" type="noConversion"/>
  <printOptions horizontalCentered="1"/>
  <pageMargins left="0.86597222222222225" right="0.74791666666666667" top="0.40972222222222227" bottom="0.98402777777777783" header="0.51180555555555562" footer="0.51180555555555562"/>
  <pageSetup paperSize="9" scale="63"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24"/>
  <sheetViews>
    <sheetView workbookViewId="0">
      <selection activeCell="B10" sqref="B10:D14"/>
    </sheetView>
  </sheetViews>
  <sheetFormatPr baseColWidth="10" defaultRowHeight="15"/>
  <cols>
    <col min="1" max="1" width="11.42578125" style="412"/>
    <col min="2" max="2" width="15" style="412" customWidth="1"/>
    <col min="3" max="3" width="13.28515625" style="412" bestFit="1" customWidth="1"/>
    <col min="4" max="4" width="13.42578125" style="412" bestFit="1" customWidth="1"/>
    <col min="5" max="16384" width="11.42578125" style="412"/>
  </cols>
  <sheetData>
    <row r="6" spans="2:4">
      <c r="B6" s="514" t="s">
        <v>1208</v>
      </c>
    </row>
    <row r="8" spans="2:4">
      <c r="B8" s="552" t="s">
        <v>1001</v>
      </c>
    </row>
    <row r="9" spans="2:4" ht="15.75" thickBot="1">
      <c r="B9" s="552"/>
    </row>
    <row r="10" spans="2:4">
      <c r="B10" s="921" t="s">
        <v>803</v>
      </c>
      <c r="C10" s="922" t="s">
        <v>799</v>
      </c>
      <c r="D10" s="923" t="s">
        <v>802</v>
      </c>
    </row>
    <row r="11" spans="2:4">
      <c r="B11" s="932"/>
      <c r="C11" s="933"/>
      <c r="D11" s="934"/>
    </row>
    <row r="12" spans="2:4">
      <c r="B12" s="431"/>
      <c r="C12" s="432"/>
      <c r="D12" s="433"/>
    </row>
    <row r="13" spans="2:4">
      <c r="B13" s="434" t="s">
        <v>781</v>
      </c>
      <c r="C13" s="886"/>
      <c r="D13" s="930"/>
    </row>
    <row r="14" spans="2:4" ht="15.75" thickBot="1">
      <c r="B14" s="1098" t="s">
        <v>780</v>
      </c>
      <c r="C14" s="1101"/>
      <c r="D14" s="1102"/>
    </row>
    <row r="22" spans="2:4">
      <c r="B22" s="1116" t="s">
        <v>1043</v>
      </c>
      <c r="C22" s="1116"/>
      <c r="D22" s="1116"/>
    </row>
    <row r="23" spans="2:4">
      <c r="B23" s="1116" t="s">
        <v>1117</v>
      </c>
      <c r="C23" s="1116"/>
      <c r="D23" s="1116"/>
    </row>
    <row r="24" spans="2:4">
      <c r="B24" s="1116" t="s">
        <v>1014</v>
      </c>
      <c r="C24" s="1116"/>
      <c r="D24" s="1116"/>
    </row>
  </sheetData>
  <mergeCells count="3">
    <mergeCell ref="B22:D22"/>
    <mergeCell ref="B23:D23"/>
    <mergeCell ref="B24:D2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45"/>
  <sheetViews>
    <sheetView topLeftCell="A25" workbookViewId="0">
      <selection activeCell="E42" sqref="E42"/>
    </sheetView>
  </sheetViews>
  <sheetFormatPr baseColWidth="10" defaultRowHeight="15"/>
  <cols>
    <col min="1" max="1" width="11.42578125" style="412"/>
    <col min="2" max="2" width="31.85546875" style="412" customWidth="1"/>
    <col min="3" max="3" width="13.42578125" style="412" bestFit="1" customWidth="1"/>
    <col min="4" max="4" width="13.5703125" style="412" bestFit="1" customWidth="1"/>
    <col min="5" max="5" width="11.42578125" style="412"/>
    <col min="6" max="6" width="32.28515625" style="412" bestFit="1" customWidth="1"/>
    <col min="7" max="7" width="13.42578125" style="412" bestFit="1" customWidth="1"/>
    <col min="8" max="8" width="13.5703125" style="412" bestFit="1" customWidth="1"/>
    <col min="9" max="9" width="11.5703125" style="412" bestFit="1" customWidth="1"/>
    <col min="10" max="16384" width="11.42578125" style="412"/>
  </cols>
  <sheetData>
    <row r="6" spans="2:4">
      <c r="B6" s="551"/>
    </row>
    <row r="7" spans="2:4">
      <c r="B7" s="514" t="s">
        <v>1189</v>
      </c>
    </row>
    <row r="8" spans="2:4">
      <c r="B8" s="515"/>
    </row>
    <row r="9" spans="2:4">
      <c r="B9" s="514" t="s">
        <v>1190</v>
      </c>
    </row>
    <row r="10" spans="2:4" ht="64.5" customHeight="1">
      <c r="B10" s="1170" t="s">
        <v>1302</v>
      </c>
      <c r="C10" s="1170"/>
      <c r="D10" s="1170"/>
    </row>
    <row r="11" spans="2:4">
      <c r="B11" s="515"/>
    </row>
    <row r="13" spans="2:4">
      <c r="B13" s="515" t="s">
        <v>804</v>
      </c>
    </row>
    <row r="14" spans="2:4" ht="15.75" thickBot="1">
      <c r="B14" s="515"/>
    </row>
    <row r="15" spans="2:4">
      <c r="B15" s="921" t="s">
        <v>777</v>
      </c>
      <c r="C15" s="922" t="s">
        <v>799</v>
      </c>
      <c r="D15" s="923" t="s">
        <v>802</v>
      </c>
    </row>
    <row r="16" spans="2:4">
      <c r="B16" s="431" t="s">
        <v>805</v>
      </c>
      <c r="C16" s="885">
        <v>11009430</v>
      </c>
      <c r="D16" s="924">
        <v>0</v>
      </c>
    </row>
    <row r="17" spans="2:7">
      <c r="B17" s="431" t="s">
        <v>807</v>
      </c>
      <c r="C17" s="885">
        <v>1415000</v>
      </c>
      <c r="D17" s="924">
        <v>0</v>
      </c>
    </row>
    <row r="18" spans="2:7">
      <c r="B18" s="431" t="s">
        <v>808</v>
      </c>
      <c r="C18" s="885">
        <v>3680009</v>
      </c>
      <c r="D18" s="924">
        <v>0</v>
      </c>
    </row>
    <row r="19" spans="2:7">
      <c r="B19" s="431" t="s">
        <v>809</v>
      </c>
      <c r="C19" s="885"/>
      <c r="D19" s="924">
        <v>0</v>
      </c>
    </row>
    <row r="20" spans="2:7">
      <c r="B20" s="431" t="s">
        <v>908</v>
      </c>
      <c r="C20" s="885"/>
      <c r="D20" s="924">
        <v>0</v>
      </c>
    </row>
    <row r="21" spans="2:7">
      <c r="B21" s="431" t="s">
        <v>811</v>
      </c>
      <c r="C21" s="885"/>
      <c r="D21" s="924">
        <v>0</v>
      </c>
    </row>
    <row r="22" spans="2:7">
      <c r="B22" s="434" t="s">
        <v>781</v>
      </c>
      <c r="C22" s="887">
        <f>SUM(C16:C21)</f>
        <v>16104439</v>
      </c>
      <c r="D22" s="925">
        <v>0</v>
      </c>
      <c r="F22" s="786"/>
      <c r="G22" s="786"/>
    </row>
    <row r="23" spans="2:7" ht="15.75" thickBot="1">
      <c r="B23" s="1098" t="s">
        <v>780</v>
      </c>
      <c r="C23" s="1099">
        <v>10724318</v>
      </c>
      <c r="D23" s="1100">
        <v>0</v>
      </c>
      <c r="F23" s="786"/>
      <c r="G23" s="786"/>
    </row>
    <row r="26" spans="2:7">
      <c r="B26" s="514" t="s">
        <v>1191</v>
      </c>
      <c r="D26" s="421"/>
    </row>
    <row r="27" spans="2:7">
      <c r="D27" s="421"/>
    </row>
    <row r="28" spans="2:7">
      <c r="B28" s="515" t="s">
        <v>1002</v>
      </c>
    </row>
    <row r="29" spans="2:7" ht="15.75" thickBot="1">
      <c r="B29" s="515"/>
    </row>
    <row r="30" spans="2:7">
      <c r="B30" s="921" t="s">
        <v>777</v>
      </c>
      <c r="C30" s="922" t="s">
        <v>799</v>
      </c>
      <c r="D30" s="923" t="s">
        <v>802</v>
      </c>
    </row>
    <row r="31" spans="2:7">
      <c r="B31" s="431" t="s">
        <v>962</v>
      </c>
      <c r="C31" s="885">
        <v>5548351</v>
      </c>
      <c r="D31" s="433">
        <v>0</v>
      </c>
    </row>
    <row r="32" spans="2:7">
      <c r="B32" s="431" t="s">
        <v>810</v>
      </c>
      <c r="C32" s="885">
        <v>0</v>
      </c>
      <c r="D32" s="433">
        <v>0</v>
      </c>
    </row>
    <row r="33" spans="2:5">
      <c r="B33" s="431" t="s">
        <v>806</v>
      </c>
      <c r="C33" s="885">
        <v>0</v>
      </c>
      <c r="D33" s="924">
        <v>0</v>
      </c>
    </row>
    <row r="34" spans="2:5">
      <c r="B34" s="431" t="s">
        <v>1039</v>
      </c>
      <c r="C34" s="885">
        <v>29513403</v>
      </c>
      <c r="D34" s="433">
        <v>0</v>
      </c>
      <c r="E34" s="935"/>
    </row>
    <row r="35" spans="2:5">
      <c r="B35" s="431" t="s">
        <v>961</v>
      </c>
      <c r="C35" s="885">
        <v>184571841</v>
      </c>
      <c r="D35" s="433">
        <v>0</v>
      </c>
      <c r="E35" s="935"/>
    </row>
    <row r="36" spans="2:5">
      <c r="B36" s="434" t="s">
        <v>781</v>
      </c>
      <c r="C36" s="887">
        <f>SUM(C31:C35)</f>
        <v>219633595</v>
      </c>
      <c r="D36" s="930">
        <v>0</v>
      </c>
      <c r="E36" s="797"/>
    </row>
    <row r="37" spans="2:5" ht="15.75" thickBot="1">
      <c r="B37" s="1098" t="s">
        <v>780</v>
      </c>
      <c r="C37" s="1099">
        <v>58592699</v>
      </c>
      <c r="D37" s="1102">
        <v>0</v>
      </c>
      <c r="E37" s="797"/>
    </row>
    <row r="43" spans="2:5">
      <c r="B43" s="1116" t="s">
        <v>1043</v>
      </c>
      <c r="C43" s="1116"/>
      <c r="D43" s="1116"/>
    </row>
    <row r="44" spans="2:5">
      <c r="B44" s="1116" t="s">
        <v>1117</v>
      </c>
      <c r="C44" s="1116"/>
      <c r="D44" s="1116"/>
    </row>
    <row r="45" spans="2:5">
      <c r="B45" s="1116" t="s">
        <v>1014</v>
      </c>
      <c r="C45" s="1116"/>
      <c r="D45" s="1116"/>
    </row>
  </sheetData>
  <mergeCells count="4">
    <mergeCell ref="B10:D10"/>
    <mergeCell ref="B43:D43"/>
    <mergeCell ref="B44:D44"/>
    <mergeCell ref="B45:D4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O34"/>
  <sheetViews>
    <sheetView zoomScaleNormal="100" workbookViewId="0">
      <selection activeCell="I15" sqref="I15"/>
    </sheetView>
  </sheetViews>
  <sheetFormatPr baseColWidth="10" defaultRowHeight="15"/>
  <cols>
    <col min="1" max="1" width="11.42578125" style="412"/>
    <col min="2" max="2" width="37" style="412" customWidth="1"/>
    <col min="3" max="3" width="15.28515625" style="412" bestFit="1" customWidth="1"/>
    <col min="4" max="4" width="17.42578125" style="412" customWidth="1"/>
    <col min="5" max="5" width="17.5703125" style="412" customWidth="1"/>
    <col min="6" max="6" width="15.28515625" style="412" customWidth="1"/>
    <col min="7" max="7" width="13.28515625" style="412" bestFit="1" customWidth="1"/>
    <col min="8" max="9" width="11.5703125" style="412" bestFit="1" customWidth="1"/>
    <col min="10" max="10" width="32.5703125" style="412" customWidth="1"/>
    <col min="11" max="11" width="11.5703125" style="936" bestFit="1" customWidth="1"/>
    <col min="12" max="12" width="13.7109375" style="936" customWidth="1"/>
    <col min="13" max="13" width="11.5703125" style="936" bestFit="1" customWidth="1"/>
    <col min="14" max="15" width="11.42578125" style="936"/>
    <col min="16" max="16384" width="11.42578125" style="412"/>
  </cols>
  <sheetData>
    <row r="6" spans="2:7">
      <c r="B6" s="514" t="s">
        <v>1192</v>
      </c>
    </row>
    <row r="7" spans="2:7" ht="15.75" thickBot="1"/>
    <row r="8" spans="2:7">
      <c r="B8" s="937" t="s">
        <v>777</v>
      </c>
      <c r="C8" s="938" t="s">
        <v>799</v>
      </c>
      <c r="D8" s="939" t="s">
        <v>802</v>
      </c>
    </row>
    <row r="9" spans="2:7">
      <c r="B9" s="431" t="s">
        <v>1174</v>
      </c>
      <c r="C9" s="885">
        <v>0</v>
      </c>
      <c r="D9" s="924">
        <v>0</v>
      </c>
    </row>
    <row r="10" spans="2:7">
      <c r="B10" s="431" t="s">
        <v>947</v>
      </c>
      <c r="C10" s="885">
        <v>0</v>
      </c>
      <c r="D10" s="924">
        <v>0</v>
      </c>
    </row>
    <row r="11" spans="2:7">
      <c r="B11" s="431" t="s">
        <v>756</v>
      </c>
      <c r="C11" s="885">
        <v>53448374262.381203</v>
      </c>
      <c r="D11" s="924">
        <v>0</v>
      </c>
      <c r="E11" s="421"/>
      <c r="F11" s="421"/>
    </row>
    <row r="12" spans="2:7">
      <c r="B12" s="434" t="s">
        <v>781</v>
      </c>
      <c r="C12" s="887">
        <f>SUM(C11)</f>
        <v>53448374262.381203</v>
      </c>
      <c r="D12" s="1084">
        <v>0</v>
      </c>
      <c r="E12" s="935"/>
      <c r="F12" s="421"/>
      <c r="G12" s="941"/>
    </row>
    <row r="13" spans="2:7" ht="15.75" thickBot="1">
      <c r="B13" s="1098" t="s">
        <v>780</v>
      </c>
      <c r="C13" s="1100">
        <v>9261222188.316</v>
      </c>
      <c r="D13" s="1103">
        <v>0</v>
      </c>
      <c r="E13" s="935"/>
      <c r="F13" s="421"/>
      <c r="G13" s="941"/>
    </row>
    <row r="22" spans="2:15">
      <c r="B22" s="1116" t="s">
        <v>1043</v>
      </c>
      <c r="C22" s="1116"/>
      <c r="D22" s="1116"/>
    </row>
    <row r="23" spans="2:15">
      <c r="B23" s="1116" t="s">
        <v>1117</v>
      </c>
      <c r="C23" s="1116"/>
      <c r="D23" s="1116"/>
    </row>
    <row r="24" spans="2:15" s="515" customFormat="1">
      <c r="B24" s="1116" t="s">
        <v>1014</v>
      </c>
      <c r="C24" s="1116"/>
      <c r="D24" s="1116"/>
      <c r="N24" s="942"/>
      <c r="O24" s="942"/>
    </row>
    <row r="27" spans="2:15">
      <c r="M27" s="943"/>
    </row>
    <row r="28" spans="2:15">
      <c r="M28" s="943"/>
    </row>
    <row r="29" spans="2:15">
      <c r="M29" s="943"/>
    </row>
    <row r="33" spans="10:15">
      <c r="J33" s="515"/>
      <c r="K33" s="942"/>
      <c r="L33" s="942"/>
    </row>
    <row r="34" spans="10:15" s="515" customFormat="1">
      <c r="J34" s="412"/>
      <c r="K34" s="936"/>
      <c r="L34" s="936"/>
      <c r="M34" s="942"/>
      <c r="N34" s="942"/>
      <c r="O34" s="942"/>
    </row>
  </sheetData>
  <mergeCells count="3">
    <mergeCell ref="B22:D22"/>
    <mergeCell ref="B23:D23"/>
    <mergeCell ref="B24:D2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3"/>
  <sheetViews>
    <sheetView workbookViewId="0">
      <selection activeCell="I18" sqref="I18"/>
    </sheetView>
  </sheetViews>
  <sheetFormatPr baseColWidth="10" defaultRowHeight="15"/>
  <cols>
    <col min="1" max="1" width="11.42578125" style="412"/>
    <col min="2" max="2" width="42.5703125" style="412" bestFit="1" customWidth="1"/>
    <col min="3" max="3" width="13.85546875" style="412" bestFit="1" customWidth="1"/>
    <col min="4" max="4" width="14" style="412" bestFit="1" customWidth="1"/>
    <col min="5" max="16384" width="11.42578125" style="412"/>
  </cols>
  <sheetData>
    <row r="5" spans="2:4">
      <c r="B5" s="514" t="s">
        <v>1193</v>
      </c>
    </row>
    <row r="7" spans="2:4">
      <c r="B7" s="551" t="s">
        <v>1003</v>
      </c>
    </row>
    <row r="8" spans="2:4" ht="15.75" thickBot="1">
      <c r="B8" s="551"/>
    </row>
    <row r="9" spans="2:4">
      <c r="B9" s="937" t="s">
        <v>777</v>
      </c>
      <c r="C9" s="938" t="s">
        <v>799</v>
      </c>
      <c r="D9" s="939" t="s">
        <v>802</v>
      </c>
    </row>
    <row r="10" spans="2:4">
      <c r="B10" s="431" t="s">
        <v>1013</v>
      </c>
      <c r="C10" s="433">
        <v>0</v>
      </c>
      <c r="D10" s="433">
        <v>0</v>
      </c>
    </row>
    <row r="11" spans="2:4" s="515" customFormat="1">
      <c r="B11" s="434" t="s">
        <v>781</v>
      </c>
      <c r="C11" s="930">
        <v>0</v>
      </c>
      <c r="D11" s="930">
        <v>0</v>
      </c>
    </row>
    <row r="12" spans="2:4" ht="15.75" thickBot="1">
      <c r="B12" s="1098" t="s">
        <v>780</v>
      </c>
      <c r="C12" s="1101">
        <v>0</v>
      </c>
      <c r="D12" s="1102">
        <v>0</v>
      </c>
    </row>
    <row r="21" spans="2:4">
      <c r="B21" s="1116" t="s">
        <v>1043</v>
      </c>
      <c r="C21" s="1116"/>
      <c r="D21" s="1116"/>
    </row>
    <row r="22" spans="2:4">
      <c r="B22" s="1116" t="s">
        <v>1117</v>
      </c>
      <c r="C22" s="1116"/>
      <c r="D22" s="1116"/>
    </row>
    <row r="23" spans="2:4">
      <c r="B23" s="1116" t="s">
        <v>1014</v>
      </c>
      <c r="C23" s="1116"/>
      <c r="D23" s="1116"/>
    </row>
  </sheetData>
  <mergeCells count="3">
    <mergeCell ref="B21:D21"/>
    <mergeCell ref="B22:D22"/>
    <mergeCell ref="B23:D2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K41"/>
  <sheetViews>
    <sheetView topLeftCell="A24" workbookViewId="0">
      <selection activeCell="B26" sqref="B26"/>
    </sheetView>
  </sheetViews>
  <sheetFormatPr baseColWidth="10" defaultRowHeight="15"/>
  <cols>
    <col min="1" max="1" width="11.42578125" style="412"/>
    <col min="2" max="2" width="34.140625" style="412" customWidth="1"/>
    <col min="3" max="3" width="20.7109375" style="412" customWidth="1"/>
    <col min="4" max="4" width="24" style="412" customWidth="1"/>
    <col min="5" max="5" width="18.140625" style="412" customWidth="1"/>
    <col min="6" max="6" width="12.85546875" style="412" customWidth="1"/>
    <col min="7" max="7" width="14" style="412" customWidth="1"/>
    <col min="8" max="8" width="14.140625" style="412" bestFit="1" customWidth="1"/>
    <col min="9" max="9" width="14.85546875" style="412" bestFit="1" customWidth="1"/>
    <col min="10" max="10" width="9.7109375" style="412" bestFit="1" customWidth="1"/>
    <col min="11" max="11" width="18.85546875" style="412" customWidth="1"/>
    <col min="12" max="16384" width="11.42578125" style="412"/>
  </cols>
  <sheetData>
    <row r="7" spans="2:10">
      <c r="B7" s="514" t="s">
        <v>1194</v>
      </c>
    </row>
    <row r="10" spans="2:10">
      <c r="F10" s="797"/>
      <c r="G10" s="797"/>
      <c r="H10" s="797"/>
    </row>
    <row r="11" spans="2:10" ht="15.75" thickBot="1">
      <c r="G11" s="797"/>
      <c r="H11" s="797"/>
      <c r="I11" s="936"/>
    </row>
    <row r="12" spans="2:10" ht="30">
      <c r="B12" s="944" t="s">
        <v>813</v>
      </c>
      <c r="C12" s="945" t="s">
        <v>812</v>
      </c>
      <c r="D12" s="945" t="s">
        <v>814</v>
      </c>
      <c r="E12" s="945" t="s">
        <v>815</v>
      </c>
      <c r="F12" s="945" t="s">
        <v>984</v>
      </c>
      <c r="G12" s="945" t="s">
        <v>1305</v>
      </c>
      <c r="H12" s="946" t="s">
        <v>1278</v>
      </c>
      <c r="I12" s="797"/>
    </row>
    <row r="13" spans="2:10" ht="30">
      <c r="B13" s="947" t="s">
        <v>1334</v>
      </c>
      <c r="C13" s="948" t="s">
        <v>818</v>
      </c>
      <c r="D13" s="949" t="s">
        <v>756</v>
      </c>
      <c r="E13" s="948">
        <v>100</v>
      </c>
      <c r="F13" s="950">
        <v>45026</v>
      </c>
      <c r="G13" s="951">
        <v>20061016.364999998</v>
      </c>
      <c r="H13" s="952">
        <v>326000478</v>
      </c>
      <c r="I13" s="515"/>
      <c r="J13" s="953"/>
    </row>
    <row r="14" spans="2:10" ht="30">
      <c r="B14" s="954" t="s">
        <v>1043</v>
      </c>
      <c r="C14" s="948" t="s">
        <v>818</v>
      </c>
      <c r="D14" s="949" t="s">
        <v>756</v>
      </c>
      <c r="E14" s="948">
        <v>100</v>
      </c>
      <c r="F14" s="950">
        <v>45026</v>
      </c>
      <c r="G14" s="955">
        <v>439079408.39160001</v>
      </c>
      <c r="H14" s="956">
        <v>605</v>
      </c>
      <c r="I14" s="889"/>
      <c r="J14" s="421"/>
    </row>
    <row r="15" spans="2:10" ht="30">
      <c r="B15" s="954" t="s">
        <v>1043</v>
      </c>
      <c r="C15" s="948" t="s">
        <v>818</v>
      </c>
      <c r="D15" s="949" t="s">
        <v>1255</v>
      </c>
      <c r="E15" s="948">
        <v>30</v>
      </c>
      <c r="F15" s="950">
        <v>44956</v>
      </c>
      <c r="G15" s="955">
        <v>6600000</v>
      </c>
      <c r="H15" s="956">
        <v>0</v>
      </c>
      <c r="I15" s="515"/>
      <c r="J15" s="797"/>
    </row>
    <row r="16" spans="2:10" ht="30">
      <c r="B16" s="954" t="s">
        <v>888</v>
      </c>
      <c r="C16" s="948" t="s">
        <v>818</v>
      </c>
      <c r="D16" s="949" t="s">
        <v>756</v>
      </c>
      <c r="E16" s="948">
        <v>100</v>
      </c>
      <c r="F16" s="950">
        <v>45026</v>
      </c>
      <c r="G16" s="955">
        <v>25530060.811799999</v>
      </c>
      <c r="H16" s="956">
        <v>0</v>
      </c>
      <c r="I16" s="515"/>
      <c r="J16" s="797"/>
    </row>
    <row r="17" spans="2:11" ht="30">
      <c r="B17" s="957" t="s">
        <v>1234</v>
      </c>
      <c r="C17" s="958" t="s">
        <v>1243</v>
      </c>
      <c r="D17" s="949" t="s">
        <v>756</v>
      </c>
      <c r="E17" s="948">
        <v>100</v>
      </c>
      <c r="F17" s="950">
        <v>45026</v>
      </c>
      <c r="G17" s="955">
        <v>216059109.59939998</v>
      </c>
      <c r="H17" s="956">
        <v>178152974.26199999</v>
      </c>
      <c r="I17" s="515"/>
      <c r="J17" s="953"/>
    </row>
    <row r="18" spans="2:11" ht="30">
      <c r="B18" s="957" t="s">
        <v>1239</v>
      </c>
      <c r="C18" s="958" t="s">
        <v>1243</v>
      </c>
      <c r="D18" s="949" t="s">
        <v>756</v>
      </c>
      <c r="E18" s="948">
        <v>100</v>
      </c>
      <c r="F18" s="950">
        <v>45026</v>
      </c>
      <c r="G18" s="955">
        <v>349738838.09219998</v>
      </c>
      <c r="H18" s="956">
        <v>74971225.939999998</v>
      </c>
      <c r="I18" s="515"/>
    </row>
    <row r="19" spans="2:11" ht="30">
      <c r="B19" s="957" t="s">
        <v>1235</v>
      </c>
      <c r="C19" s="958" t="s">
        <v>1243</v>
      </c>
      <c r="D19" s="949" t="s">
        <v>756</v>
      </c>
      <c r="E19" s="948">
        <v>100</v>
      </c>
      <c r="F19" s="950">
        <v>45026</v>
      </c>
      <c r="G19" s="955">
        <v>1796738.976</v>
      </c>
      <c r="H19" s="956">
        <v>10388492.68</v>
      </c>
      <c r="I19" s="515"/>
    </row>
    <row r="20" spans="2:11" ht="30">
      <c r="B20" s="954" t="s">
        <v>1215</v>
      </c>
      <c r="C20" s="958" t="s">
        <v>1243</v>
      </c>
      <c r="D20" s="949" t="s">
        <v>756</v>
      </c>
      <c r="E20" s="948">
        <v>100</v>
      </c>
      <c r="F20" s="950">
        <v>45026</v>
      </c>
      <c r="G20" s="955">
        <v>542618.10660000006</v>
      </c>
      <c r="H20" s="956">
        <v>63</v>
      </c>
      <c r="I20" s="515"/>
    </row>
    <row r="21" spans="2:11" ht="30">
      <c r="B21" s="954" t="s">
        <v>1213</v>
      </c>
      <c r="C21" s="958" t="s">
        <v>1243</v>
      </c>
      <c r="D21" s="949" t="s">
        <v>756</v>
      </c>
      <c r="E21" s="948">
        <v>100</v>
      </c>
      <c r="F21" s="950">
        <v>45026</v>
      </c>
      <c r="G21" s="955">
        <v>67142067.044200003</v>
      </c>
      <c r="H21" s="956">
        <v>94159912.189999998</v>
      </c>
      <c r="I21" s="515"/>
    </row>
    <row r="22" spans="2:11" ht="30">
      <c r="B22" s="954" t="s">
        <v>1212</v>
      </c>
      <c r="C22" s="958" t="s">
        <v>1243</v>
      </c>
      <c r="D22" s="949" t="s">
        <v>756</v>
      </c>
      <c r="E22" s="948">
        <v>100</v>
      </c>
      <c r="F22" s="950">
        <v>45026</v>
      </c>
      <c r="G22" s="955">
        <v>2452839644.7768002</v>
      </c>
      <c r="H22" s="956">
        <v>4475215566.8999996</v>
      </c>
      <c r="I22" s="515"/>
    </row>
    <row r="23" spans="2:11" ht="45">
      <c r="B23" s="954" t="s">
        <v>1178</v>
      </c>
      <c r="C23" s="958" t="s">
        <v>1243</v>
      </c>
      <c r="D23" s="959" t="s">
        <v>1288</v>
      </c>
      <c r="E23" s="960">
        <v>30</v>
      </c>
      <c r="F23" s="950">
        <v>44956</v>
      </c>
      <c r="G23" s="955">
        <f>35991316+1100000</f>
        <v>37091316</v>
      </c>
      <c r="H23" s="956">
        <v>29374015</v>
      </c>
      <c r="I23" s="515"/>
    </row>
    <row r="24" spans="2:11">
      <c r="B24" s="954" t="s">
        <v>1178</v>
      </c>
      <c r="C24" s="958" t="s">
        <v>1243</v>
      </c>
      <c r="D24" s="959" t="s">
        <v>1292</v>
      </c>
      <c r="E24" s="960">
        <v>30</v>
      </c>
      <c r="F24" s="950">
        <v>44956</v>
      </c>
      <c r="G24" s="955">
        <v>28771775</v>
      </c>
      <c r="H24" s="956">
        <v>0</v>
      </c>
      <c r="I24" s="515"/>
    </row>
    <row r="25" spans="2:11" ht="30">
      <c r="B25" s="954" t="s">
        <v>1281</v>
      </c>
      <c r="C25" s="961" t="s">
        <v>1243</v>
      </c>
      <c r="D25" s="962" t="s">
        <v>756</v>
      </c>
      <c r="E25" s="960">
        <v>100</v>
      </c>
      <c r="F25" s="950">
        <v>45026</v>
      </c>
      <c r="G25" s="955">
        <v>0</v>
      </c>
      <c r="H25" s="956">
        <v>0</v>
      </c>
      <c r="I25" s="515"/>
    </row>
    <row r="26" spans="2:11" ht="30">
      <c r="B26" s="954" t="s">
        <v>1282</v>
      </c>
      <c r="C26" s="961" t="s">
        <v>1243</v>
      </c>
      <c r="D26" s="962" t="s">
        <v>756</v>
      </c>
      <c r="E26" s="960">
        <v>100</v>
      </c>
      <c r="F26" s="950">
        <v>45026</v>
      </c>
      <c r="G26" s="955">
        <v>1408913.4552</v>
      </c>
      <c r="H26" s="956">
        <v>0</v>
      </c>
      <c r="I26" s="515"/>
    </row>
    <row r="27" spans="2:11" ht="15.75" thickBot="1">
      <c r="B27" s="437" t="s">
        <v>760</v>
      </c>
      <c r="C27" s="926"/>
      <c r="D27" s="926"/>
      <c r="E27" s="926"/>
      <c r="F27" s="926"/>
      <c r="G27" s="963">
        <f>SUM(G13:G26)</f>
        <v>3646661506.6188002</v>
      </c>
      <c r="H27" s="964">
        <f>SUM(H13:H26)</f>
        <v>5188263332.9719992</v>
      </c>
      <c r="J27" s="797"/>
      <c r="K27" s="797"/>
    </row>
    <row r="28" spans="2:11">
      <c r="J28" s="421"/>
    </row>
    <row r="29" spans="2:11">
      <c r="G29" s="786"/>
      <c r="I29" s="421"/>
      <c r="J29" s="797"/>
      <c r="K29" s="421"/>
    </row>
    <row r="30" spans="2:11">
      <c r="J30" s="953"/>
      <c r="K30" s="786"/>
    </row>
    <row r="31" spans="2:11">
      <c r="I31" s="786"/>
      <c r="J31" s="797"/>
      <c r="K31" s="786"/>
    </row>
    <row r="32" spans="2:11">
      <c r="J32" s="524"/>
    </row>
    <row r="33" spans="2:10">
      <c r="I33" s="421"/>
      <c r="J33" s="797"/>
    </row>
    <row r="34" spans="2:10">
      <c r="I34" s="421"/>
    </row>
    <row r="35" spans="2:10">
      <c r="I35" s="421"/>
    </row>
    <row r="36" spans="2:10">
      <c r="I36" s="421"/>
    </row>
    <row r="37" spans="2:10">
      <c r="I37" s="421"/>
    </row>
    <row r="38" spans="2:10">
      <c r="B38" s="1116" t="s">
        <v>1043</v>
      </c>
      <c r="C38" s="1116"/>
      <c r="D38" s="1116"/>
      <c r="E38" s="1116"/>
      <c r="F38" s="1116"/>
      <c r="G38" s="1116"/>
      <c r="H38" s="1116"/>
      <c r="I38" s="421"/>
    </row>
    <row r="39" spans="2:10">
      <c r="B39" s="1116" t="s">
        <v>1117</v>
      </c>
      <c r="C39" s="1116"/>
      <c r="D39" s="1116"/>
      <c r="E39" s="1116"/>
      <c r="F39" s="1116"/>
      <c r="G39" s="1116"/>
      <c r="H39" s="1116"/>
      <c r="I39" s="421"/>
    </row>
    <row r="40" spans="2:10">
      <c r="B40" s="1116" t="s">
        <v>1014</v>
      </c>
      <c r="C40" s="1116"/>
      <c r="D40" s="1116"/>
      <c r="E40" s="1116"/>
      <c r="F40" s="1116"/>
      <c r="G40" s="1116"/>
      <c r="H40" s="1116"/>
      <c r="I40" s="421"/>
    </row>
    <row r="41" spans="2:10">
      <c r="I41" s="941"/>
    </row>
  </sheetData>
  <mergeCells count="3">
    <mergeCell ref="B38:H38"/>
    <mergeCell ref="B39:H39"/>
    <mergeCell ref="B40:H40"/>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3"/>
  <sheetViews>
    <sheetView workbookViewId="0">
      <selection activeCell="L15" sqref="L15"/>
    </sheetView>
  </sheetViews>
  <sheetFormatPr baseColWidth="10" defaultRowHeight="15"/>
  <cols>
    <col min="1" max="1" width="11.42578125" style="412"/>
    <col min="2" max="2" width="23.85546875" style="412" customWidth="1"/>
    <col min="3" max="3" width="11.42578125" style="412"/>
    <col min="4" max="4" width="13.42578125" style="412" customWidth="1"/>
    <col min="5" max="16384" width="11.42578125" style="412"/>
  </cols>
  <sheetData>
    <row r="6" spans="2:6">
      <c r="B6" s="514" t="s">
        <v>1195</v>
      </c>
      <c r="C6" s="936"/>
      <c r="D6" s="936"/>
      <c r="E6" s="936"/>
      <c r="F6" s="936"/>
    </row>
    <row r="7" spans="2:6">
      <c r="C7" s="936"/>
      <c r="D7" s="936"/>
      <c r="E7" s="936"/>
      <c r="F7" s="936"/>
    </row>
    <row r="8" spans="2:6">
      <c r="B8" s="552" t="s">
        <v>1003</v>
      </c>
      <c r="C8" s="936"/>
      <c r="D8" s="936"/>
      <c r="E8" s="936"/>
      <c r="F8" s="936"/>
    </row>
    <row r="9" spans="2:6" ht="15.75" thickBot="1">
      <c r="C9" s="936"/>
      <c r="D9" s="936"/>
      <c r="E9" s="936"/>
      <c r="F9" s="936"/>
    </row>
    <row r="10" spans="2:6" ht="45">
      <c r="B10" s="965" t="s">
        <v>819</v>
      </c>
      <c r="C10" s="945" t="s">
        <v>814</v>
      </c>
      <c r="D10" s="945" t="s">
        <v>820</v>
      </c>
      <c r="E10" s="945" t="s">
        <v>821</v>
      </c>
      <c r="F10" s="946" t="s">
        <v>822</v>
      </c>
    </row>
    <row r="11" spans="2:6">
      <c r="B11" s="431"/>
      <c r="C11" s="883"/>
      <c r="D11" s="883"/>
      <c r="E11" s="883"/>
      <c r="F11" s="966"/>
    </row>
    <row r="12" spans="2:6">
      <c r="B12" s="434" t="s">
        <v>781</v>
      </c>
      <c r="C12" s="967"/>
      <c r="D12" s="967"/>
      <c r="E12" s="967"/>
      <c r="F12" s="968"/>
    </row>
    <row r="13" spans="2:6" ht="15.75" thickBot="1">
      <c r="B13" s="1098" t="s">
        <v>780</v>
      </c>
      <c r="C13" s="1104"/>
      <c r="D13" s="1104"/>
      <c r="E13" s="1104"/>
      <c r="F13" s="1105"/>
    </row>
    <row r="21" spans="2:6">
      <c r="B21" s="1116" t="s">
        <v>1043</v>
      </c>
      <c r="C21" s="1116"/>
      <c r="D21" s="1116"/>
      <c r="E21" s="1116"/>
      <c r="F21" s="1116"/>
    </row>
    <row r="22" spans="2:6">
      <c r="B22" s="1116" t="s">
        <v>1117</v>
      </c>
      <c r="C22" s="1116"/>
      <c r="D22" s="1116"/>
      <c r="E22" s="1116"/>
      <c r="F22" s="1116"/>
    </row>
    <row r="23" spans="2:6">
      <c r="B23" s="1116" t="s">
        <v>1014</v>
      </c>
      <c r="C23" s="1116"/>
      <c r="D23" s="1116"/>
      <c r="E23" s="1116"/>
      <c r="F23" s="1116"/>
    </row>
  </sheetData>
  <mergeCells count="3">
    <mergeCell ref="B21:F21"/>
    <mergeCell ref="B22:F22"/>
    <mergeCell ref="B23:F2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2"/>
  <sheetViews>
    <sheetView workbookViewId="0">
      <selection activeCell="I14" sqref="I14"/>
    </sheetView>
  </sheetViews>
  <sheetFormatPr baseColWidth="10" defaultRowHeight="15"/>
  <cols>
    <col min="1" max="1" width="11.42578125" style="412"/>
    <col min="2" max="2" width="37.42578125" style="412" bestFit="1" customWidth="1"/>
    <col min="3" max="3" width="12.42578125" style="412" bestFit="1" customWidth="1"/>
    <col min="4" max="4" width="16.5703125" style="412" customWidth="1"/>
    <col min="5" max="16384" width="11.42578125" style="412"/>
  </cols>
  <sheetData>
    <row r="6" spans="2:5">
      <c r="B6" s="514" t="s">
        <v>1196</v>
      </c>
      <c r="C6" s="936"/>
      <c r="D6" s="936"/>
      <c r="E6" s="936"/>
    </row>
    <row r="7" spans="2:5">
      <c r="C7" s="936"/>
      <c r="D7" s="936"/>
      <c r="E7" s="936"/>
    </row>
    <row r="8" spans="2:5">
      <c r="C8" s="936"/>
      <c r="D8" s="936"/>
      <c r="E8" s="936"/>
    </row>
    <row r="9" spans="2:5">
      <c r="B9" s="969" t="s">
        <v>777</v>
      </c>
      <c r="C9" s="429" t="s">
        <v>823</v>
      </c>
      <c r="D9" s="429" t="s">
        <v>824</v>
      </c>
      <c r="E9" s="936"/>
    </row>
    <row r="10" spans="2:5">
      <c r="B10" s="432" t="s">
        <v>480</v>
      </c>
      <c r="C10" s="970">
        <v>182299520</v>
      </c>
      <c r="D10" s="971">
        <v>2046048166</v>
      </c>
      <c r="E10" s="936"/>
    </row>
    <row r="11" spans="2:5">
      <c r="B11" s="886" t="s">
        <v>825</v>
      </c>
      <c r="C11" s="972">
        <f>SUM(C10:C10)</f>
        <v>182299520</v>
      </c>
      <c r="D11" s="972">
        <f>SUM(D10:D10)</f>
        <v>2046048166</v>
      </c>
      <c r="E11" s="936"/>
    </row>
    <row r="12" spans="2:5">
      <c r="B12" s="1082" t="s">
        <v>826</v>
      </c>
      <c r="C12" s="1083">
        <v>85138851</v>
      </c>
      <c r="D12" s="1083">
        <v>280116659</v>
      </c>
      <c r="E12" s="973"/>
    </row>
    <row r="20" spans="2:6">
      <c r="B20" s="1116" t="s">
        <v>1043</v>
      </c>
      <c r="C20" s="1116"/>
      <c r="D20" s="1116"/>
      <c r="E20" s="440"/>
      <c r="F20" s="440"/>
    </row>
    <row r="21" spans="2:6">
      <c r="B21" s="1116" t="s">
        <v>1117</v>
      </c>
      <c r="C21" s="1116"/>
      <c r="D21" s="1116"/>
      <c r="E21" s="440"/>
      <c r="F21" s="440"/>
    </row>
    <row r="22" spans="2:6">
      <c r="B22" s="1116" t="s">
        <v>1014</v>
      </c>
      <c r="C22" s="1116"/>
      <c r="D22" s="1116"/>
      <c r="E22" s="440"/>
      <c r="F22" s="440"/>
    </row>
  </sheetData>
  <mergeCells count="3">
    <mergeCell ref="B20:D20"/>
    <mergeCell ref="B21:D21"/>
    <mergeCell ref="B22:D2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3"/>
  <sheetViews>
    <sheetView topLeftCell="A7" workbookViewId="0">
      <selection activeCell="B23" sqref="B23"/>
    </sheetView>
  </sheetViews>
  <sheetFormatPr baseColWidth="10" defaultRowHeight="15"/>
  <cols>
    <col min="1" max="1" width="11.42578125" style="412"/>
    <col min="2" max="2" width="35.7109375" style="412" customWidth="1"/>
    <col min="3" max="3" width="21.7109375" style="412" customWidth="1"/>
    <col min="4" max="4" width="26.5703125" style="412" customWidth="1"/>
    <col min="5" max="5" width="17" style="412" bestFit="1" customWidth="1"/>
    <col min="6" max="6" width="18.85546875" style="412" bestFit="1" customWidth="1"/>
    <col min="7" max="16384" width="11.42578125" style="412"/>
  </cols>
  <sheetData>
    <row r="6" spans="2:6">
      <c r="B6" s="514" t="s">
        <v>1197</v>
      </c>
    </row>
    <row r="7" spans="2:6" ht="15.75" thickBot="1">
      <c r="B7" s="515"/>
    </row>
    <row r="8" spans="2:6" ht="30" customHeight="1">
      <c r="B8" s="1250" t="s">
        <v>813</v>
      </c>
      <c r="C8" s="1252" t="s">
        <v>812</v>
      </c>
      <c r="D8" s="1252" t="s">
        <v>814</v>
      </c>
      <c r="E8" s="1248" t="s">
        <v>827</v>
      </c>
      <c r="F8" s="1249"/>
    </row>
    <row r="9" spans="2:6">
      <c r="B9" s="1251"/>
      <c r="C9" s="1186"/>
      <c r="D9" s="1186"/>
      <c r="E9" s="886" t="s">
        <v>1305</v>
      </c>
      <c r="F9" s="930" t="s">
        <v>1278</v>
      </c>
    </row>
    <row r="10" spans="2:6" ht="30">
      <c r="B10" s="957" t="s">
        <v>1334</v>
      </c>
      <c r="C10" s="974" t="s">
        <v>818</v>
      </c>
      <c r="D10" s="962" t="s">
        <v>756</v>
      </c>
      <c r="E10" s="951">
        <v>20061016</v>
      </c>
      <c r="F10" s="952">
        <v>326000478</v>
      </c>
    </row>
    <row r="11" spans="2:6" ht="30">
      <c r="B11" s="957" t="s">
        <v>1043</v>
      </c>
      <c r="C11" s="974" t="s">
        <v>818</v>
      </c>
      <c r="D11" s="962" t="s">
        <v>756</v>
      </c>
      <c r="E11" s="951">
        <v>439079408</v>
      </c>
      <c r="F11" s="952">
        <v>605</v>
      </c>
    </row>
    <row r="12" spans="2:6" ht="22.5" customHeight="1">
      <c r="B12" s="957" t="s">
        <v>1043</v>
      </c>
      <c r="C12" s="974" t="s">
        <v>818</v>
      </c>
      <c r="D12" s="962" t="s">
        <v>1255</v>
      </c>
      <c r="E12" s="951">
        <v>6600000</v>
      </c>
      <c r="F12" s="952">
        <v>0</v>
      </c>
    </row>
    <row r="13" spans="2:6" ht="22.5" customHeight="1">
      <c r="B13" s="957" t="s">
        <v>888</v>
      </c>
      <c r="C13" s="974" t="s">
        <v>818</v>
      </c>
      <c r="D13" s="962" t="s">
        <v>756</v>
      </c>
      <c r="E13" s="951">
        <v>25530061</v>
      </c>
      <c r="F13" s="952">
        <v>0</v>
      </c>
    </row>
    <row r="14" spans="2:6" ht="30">
      <c r="B14" s="957" t="s">
        <v>1234</v>
      </c>
      <c r="C14" s="961" t="s">
        <v>1243</v>
      </c>
      <c r="D14" s="962" t="s">
        <v>756</v>
      </c>
      <c r="E14" s="951">
        <v>216059110</v>
      </c>
      <c r="F14" s="952">
        <v>178152974.26199999</v>
      </c>
    </row>
    <row r="15" spans="2:6" ht="30">
      <c r="B15" s="957" t="s">
        <v>1239</v>
      </c>
      <c r="C15" s="961" t="s">
        <v>1243</v>
      </c>
      <c r="D15" s="962" t="s">
        <v>756</v>
      </c>
      <c r="E15" s="951">
        <v>349738838</v>
      </c>
      <c r="F15" s="952">
        <v>74971225.939999998</v>
      </c>
    </row>
    <row r="16" spans="2:6">
      <c r="B16" s="957" t="s">
        <v>1239</v>
      </c>
      <c r="C16" s="961" t="s">
        <v>1243</v>
      </c>
      <c r="D16" s="962" t="s">
        <v>1241</v>
      </c>
      <c r="E16" s="951">
        <v>195229</v>
      </c>
      <c r="F16" s="952">
        <v>100659565.1592</v>
      </c>
    </row>
    <row r="17" spans="2:6" ht="30">
      <c r="B17" s="957" t="s">
        <v>1235</v>
      </c>
      <c r="C17" s="961" t="s">
        <v>1243</v>
      </c>
      <c r="D17" s="962" t="s">
        <v>756</v>
      </c>
      <c r="E17" s="951">
        <v>1796739</v>
      </c>
      <c r="F17" s="952">
        <v>10388492.68</v>
      </c>
    </row>
    <row r="18" spans="2:6" ht="30">
      <c r="B18" s="954" t="s">
        <v>1215</v>
      </c>
      <c r="C18" s="961" t="s">
        <v>1243</v>
      </c>
      <c r="D18" s="962" t="s">
        <v>756</v>
      </c>
      <c r="E18" s="951">
        <v>542618</v>
      </c>
      <c r="F18" s="952">
        <v>63</v>
      </c>
    </row>
    <row r="19" spans="2:6" ht="30">
      <c r="B19" s="954" t="s">
        <v>1213</v>
      </c>
      <c r="C19" s="961" t="s">
        <v>1243</v>
      </c>
      <c r="D19" s="962" t="s">
        <v>756</v>
      </c>
      <c r="E19" s="951">
        <v>67142067</v>
      </c>
      <c r="F19" s="952">
        <v>94159912.189999998</v>
      </c>
    </row>
    <row r="20" spans="2:6" ht="30">
      <c r="B20" s="954" t="s">
        <v>1212</v>
      </c>
      <c r="C20" s="961" t="s">
        <v>1243</v>
      </c>
      <c r="D20" s="962" t="s">
        <v>756</v>
      </c>
      <c r="E20" s="951">
        <v>2452839645</v>
      </c>
      <c r="F20" s="952">
        <v>4475215566.8999996</v>
      </c>
    </row>
    <row r="21" spans="2:6" ht="45">
      <c r="B21" s="954" t="s">
        <v>1178</v>
      </c>
      <c r="C21" s="961" t="s">
        <v>1243</v>
      </c>
      <c r="D21" s="962" t="s">
        <v>1293</v>
      </c>
      <c r="E21" s="951">
        <v>65863091</v>
      </c>
      <c r="F21" s="952">
        <v>29374015</v>
      </c>
    </row>
    <row r="22" spans="2:6" ht="30">
      <c r="B22" s="954" t="s">
        <v>1281</v>
      </c>
      <c r="C22" s="961" t="s">
        <v>1243</v>
      </c>
      <c r="D22" s="962" t="s">
        <v>756</v>
      </c>
      <c r="E22" s="951">
        <v>0</v>
      </c>
      <c r="F22" s="952">
        <v>0</v>
      </c>
    </row>
    <row r="23" spans="2:6" ht="30">
      <c r="B23" s="954" t="s">
        <v>1282</v>
      </c>
      <c r="C23" s="961" t="s">
        <v>1243</v>
      </c>
      <c r="D23" s="962" t="s">
        <v>756</v>
      </c>
      <c r="E23" s="951">
        <v>1408913</v>
      </c>
      <c r="F23" s="952">
        <v>0</v>
      </c>
    </row>
    <row r="24" spans="2:6">
      <c r="B24" s="434" t="s">
        <v>972</v>
      </c>
      <c r="C24" s="435"/>
      <c r="D24" s="435"/>
      <c r="E24" s="887">
        <f>+E16</f>
        <v>195229</v>
      </c>
      <c r="F24" s="925">
        <v>100659565.1592</v>
      </c>
    </row>
    <row r="25" spans="2:6" ht="15.75" thickBot="1">
      <c r="B25" s="437" t="s">
        <v>973</v>
      </c>
      <c r="C25" s="438"/>
      <c r="D25" s="438"/>
      <c r="E25" s="927">
        <f>+E10+E11+E12+E13+E14+E15+E17+E18+E19+E20+E21+E22+E23</f>
        <v>3646661506</v>
      </c>
      <c r="F25" s="928">
        <f>+F10+F11+F14+F15+F17+F18+F19+F20+F21</f>
        <v>5188263332.9719992</v>
      </c>
    </row>
    <row r="27" spans="2:6">
      <c r="E27" s="786"/>
    </row>
    <row r="31" spans="2:6">
      <c r="B31" s="1116" t="s">
        <v>1043</v>
      </c>
      <c r="C31" s="1116"/>
      <c r="D31" s="1116"/>
      <c r="E31" s="1116"/>
      <c r="F31" s="1116"/>
    </row>
    <row r="32" spans="2:6">
      <c r="B32" s="1116" t="s">
        <v>1117</v>
      </c>
      <c r="C32" s="1116"/>
      <c r="D32" s="1116"/>
      <c r="E32" s="1116"/>
      <c r="F32" s="1116"/>
    </row>
    <row r="33" spans="2:6">
      <c r="B33" s="1116" t="s">
        <v>1014</v>
      </c>
      <c r="C33" s="1116"/>
      <c r="D33" s="1116"/>
      <c r="E33" s="1116"/>
      <c r="F33" s="1116"/>
    </row>
  </sheetData>
  <mergeCells count="7">
    <mergeCell ref="E8:F8"/>
    <mergeCell ref="B31:F31"/>
    <mergeCell ref="B32:F32"/>
    <mergeCell ref="B33:F33"/>
    <mergeCell ref="B8:B9"/>
    <mergeCell ref="C8:C9"/>
    <mergeCell ref="D8:D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0"/>
  <sheetViews>
    <sheetView topLeftCell="A4" workbookViewId="0">
      <selection activeCell="B18" sqref="B18"/>
    </sheetView>
  </sheetViews>
  <sheetFormatPr baseColWidth="10" defaultRowHeight="15"/>
  <cols>
    <col min="1" max="1" width="11.42578125" style="412"/>
    <col min="2" max="2" width="31.28515625" style="412" customWidth="1"/>
    <col min="3" max="3" width="22.85546875" style="412" customWidth="1"/>
    <col min="4" max="4" width="14.28515625" style="412" bestFit="1" customWidth="1"/>
    <col min="5" max="6" width="13.42578125" style="412" bestFit="1" customWidth="1"/>
    <col min="7" max="7" width="12.5703125" style="412" bestFit="1" customWidth="1"/>
    <col min="8" max="16384" width="11.42578125" style="412"/>
  </cols>
  <sheetData>
    <row r="6" spans="2:5">
      <c r="B6" s="514" t="s">
        <v>1198</v>
      </c>
    </row>
    <row r="8" spans="2:5" ht="15.75" thickBot="1"/>
    <row r="9" spans="2:5">
      <c r="B9" s="944" t="s">
        <v>828</v>
      </c>
      <c r="C9" s="975" t="s">
        <v>812</v>
      </c>
      <c r="D9" s="975" t="s">
        <v>829</v>
      </c>
      <c r="E9" s="976" t="s">
        <v>830</v>
      </c>
    </row>
    <row r="10" spans="2:5" s="409" customFormat="1">
      <c r="B10" s="957" t="s">
        <v>1178</v>
      </c>
      <c r="C10" s="974" t="s">
        <v>1179</v>
      </c>
      <c r="D10" s="977">
        <v>0</v>
      </c>
      <c r="E10" s="952">
        <v>4000000</v>
      </c>
    </row>
    <row r="11" spans="2:5" s="409" customFormat="1">
      <c r="B11" s="957" t="s">
        <v>1043</v>
      </c>
      <c r="C11" s="974" t="s">
        <v>818</v>
      </c>
      <c r="D11" s="977">
        <v>0</v>
      </c>
      <c r="E11" s="952">
        <v>39000000</v>
      </c>
    </row>
    <row r="12" spans="2:5" s="409" customFormat="1">
      <c r="B12" s="957" t="s">
        <v>1234</v>
      </c>
      <c r="C12" s="961" t="s">
        <v>1243</v>
      </c>
      <c r="D12" s="977">
        <v>6216891</v>
      </c>
      <c r="E12" s="952">
        <v>2503740</v>
      </c>
    </row>
    <row r="13" spans="2:5" s="409" customFormat="1">
      <c r="B13" s="957" t="s">
        <v>1235</v>
      </c>
      <c r="C13" s="961" t="s">
        <v>1243</v>
      </c>
      <c r="D13" s="978">
        <v>173405</v>
      </c>
      <c r="E13" s="979">
        <v>1015249</v>
      </c>
    </row>
    <row r="14" spans="2:5" s="409" customFormat="1">
      <c r="B14" s="957" t="s">
        <v>1238</v>
      </c>
      <c r="C14" s="961" t="s">
        <v>1243</v>
      </c>
      <c r="D14" s="978">
        <v>27834454</v>
      </c>
      <c r="E14" s="979">
        <v>0</v>
      </c>
    </row>
    <row r="15" spans="2:5" s="409" customFormat="1">
      <c r="B15" s="957" t="s">
        <v>1239</v>
      </c>
      <c r="C15" s="961" t="s">
        <v>1243</v>
      </c>
      <c r="D15" s="977">
        <v>1289023006</v>
      </c>
      <c r="E15" s="979">
        <v>0</v>
      </c>
    </row>
    <row r="16" spans="2:5" s="409" customFormat="1">
      <c r="B16" s="957" t="s">
        <v>1213</v>
      </c>
      <c r="C16" s="961" t="s">
        <v>1243</v>
      </c>
      <c r="D16" s="977">
        <v>564125</v>
      </c>
      <c r="E16" s="979">
        <v>0</v>
      </c>
    </row>
    <row r="17" spans="2:6" s="409" customFormat="1">
      <c r="B17" s="957" t="s">
        <v>1281</v>
      </c>
      <c r="C17" s="961" t="s">
        <v>1243</v>
      </c>
      <c r="D17" s="977">
        <v>337297471</v>
      </c>
      <c r="E17" s="979">
        <v>0</v>
      </c>
    </row>
    <row r="18" spans="2:6" s="409" customFormat="1">
      <c r="B18" s="957" t="s">
        <v>1282</v>
      </c>
      <c r="C18" s="961" t="s">
        <v>1243</v>
      </c>
      <c r="D18" s="977">
        <v>224239176</v>
      </c>
      <c r="E18" s="979">
        <v>0</v>
      </c>
    </row>
    <row r="19" spans="2:6">
      <c r="B19" s="434" t="s">
        <v>1330</v>
      </c>
      <c r="C19" s="886"/>
      <c r="D19" s="887">
        <f>SUM(D10:D18)</f>
        <v>1885348528</v>
      </c>
      <c r="E19" s="925">
        <f>SUM(E10:E18)</f>
        <v>46518989</v>
      </c>
    </row>
    <row r="20" spans="2:6" ht="15.75" thickBot="1">
      <c r="B20" s="1098" t="s">
        <v>767</v>
      </c>
      <c r="C20" s="1101"/>
      <c r="D20" s="1099">
        <v>1062246770.4545454</v>
      </c>
      <c r="E20" s="1100">
        <v>48369610</v>
      </c>
    </row>
    <row r="21" spans="2:6">
      <c r="E21" s="786"/>
    </row>
    <row r="28" spans="2:6">
      <c r="B28" s="1116" t="s">
        <v>1043</v>
      </c>
      <c r="C28" s="1116"/>
      <c r="D28" s="1116"/>
      <c r="E28" s="1116"/>
      <c r="F28" s="1116"/>
    </row>
    <row r="29" spans="2:6">
      <c r="B29" s="1116" t="s">
        <v>1117</v>
      </c>
      <c r="C29" s="1116"/>
      <c r="D29" s="1116"/>
      <c r="E29" s="1116"/>
      <c r="F29" s="1116"/>
    </row>
    <row r="30" spans="2:6">
      <c r="B30" s="1116" t="s">
        <v>1014</v>
      </c>
      <c r="C30" s="1116"/>
      <c r="D30" s="1116"/>
      <c r="E30" s="1116"/>
      <c r="F30" s="1116"/>
    </row>
  </sheetData>
  <mergeCells count="3">
    <mergeCell ref="B28:F28"/>
    <mergeCell ref="B29:F29"/>
    <mergeCell ref="B30:F30"/>
  </mergeCell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J25"/>
  <sheetViews>
    <sheetView zoomScaleNormal="100" workbookViewId="0">
      <selection activeCell="K13" sqref="K13"/>
    </sheetView>
  </sheetViews>
  <sheetFormatPr baseColWidth="10" defaultRowHeight="15"/>
  <cols>
    <col min="1" max="1" width="11.42578125" style="412"/>
    <col min="2" max="2" width="25.28515625" style="412" customWidth="1"/>
    <col min="3" max="3" width="17.140625" style="412" customWidth="1"/>
    <col min="4" max="4" width="14.140625" style="412" bestFit="1" customWidth="1"/>
    <col min="5" max="5" width="14.140625" style="412" customWidth="1"/>
    <col min="6" max="6" width="16.7109375" style="412" customWidth="1"/>
    <col min="7" max="7" width="12.28515625" style="412" bestFit="1" customWidth="1"/>
    <col min="8" max="8" width="12.85546875" style="412" bestFit="1" customWidth="1"/>
    <col min="9" max="10" width="12.7109375" style="412" bestFit="1" customWidth="1"/>
    <col min="11" max="11" width="11.42578125" style="412"/>
    <col min="12" max="12" width="12.7109375" style="412" bestFit="1" customWidth="1"/>
    <col min="13" max="16384" width="11.42578125" style="412"/>
  </cols>
  <sheetData>
    <row r="6" spans="2:9">
      <c r="B6" s="514" t="s">
        <v>1199</v>
      </c>
    </row>
    <row r="7" spans="2:9">
      <c r="B7" s="412" t="s">
        <v>837</v>
      </c>
    </row>
    <row r="8" spans="2:9" ht="15.75" thickBot="1"/>
    <row r="9" spans="2:9" ht="30">
      <c r="B9" s="965" t="s">
        <v>777</v>
      </c>
      <c r="C9" s="945" t="s">
        <v>831</v>
      </c>
      <c r="D9" s="975" t="s">
        <v>315</v>
      </c>
      <c r="E9" s="975" t="s">
        <v>639</v>
      </c>
      <c r="F9" s="946" t="s">
        <v>832</v>
      </c>
    </row>
    <row r="10" spans="2:9">
      <c r="B10" s="431" t="s">
        <v>519</v>
      </c>
      <c r="C10" s="885">
        <v>2970000000</v>
      </c>
      <c r="D10" s="885">
        <v>0</v>
      </c>
      <c r="E10" s="885">
        <v>0</v>
      </c>
      <c r="F10" s="924">
        <f>+C10+D10-E10</f>
        <v>2970000000</v>
      </c>
      <c r="G10" s="421"/>
      <c r="H10" s="421"/>
      <c r="I10" s="421"/>
    </row>
    <row r="11" spans="2:9">
      <c r="B11" s="431" t="s">
        <v>833</v>
      </c>
      <c r="C11" s="885">
        <v>0</v>
      </c>
      <c r="D11" s="885">
        <v>0</v>
      </c>
      <c r="E11" s="885">
        <v>0</v>
      </c>
      <c r="F11" s="924">
        <f t="shared" ref="F11:F14" si="0">+C11+D11-E11</f>
        <v>0</v>
      </c>
      <c r="G11" s="421"/>
      <c r="H11" s="421"/>
      <c r="I11" s="421"/>
    </row>
    <row r="12" spans="2:9">
      <c r="B12" s="431" t="s">
        <v>834</v>
      </c>
      <c r="C12" s="885">
        <v>875050145</v>
      </c>
      <c r="D12" s="885">
        <v>821133827</v>
      </c>
      <c r="E12" s="885">
        <v>0</v>
      </c>
      <c r="F12" s="924">
        <f>+C12+D12-E12</f>
        <v>1696183972</v>
      </c>
      <c r="G12" s="421"/>
      <c r="H12" s="421"/>
      <c r="I12" s="421"/>
    </row>
    <row r="13" spans="2:9">
      <c r="B13" s="431" t="s">
        <v>835</v>
      </c>
      <c r="C13" s="885">
        <v>0</v>
      </c>
      <c r="D13" s="885">
        <v>636307825</v>
      </c>
      <c r="E13" s="885">
        <v>636307825</v>
      </c>
      <c r="F13" s="924">
        <f t="shared" si="0"/>
        <v>0</v>
      </c>
      <c r="G13" s="421"/>
      <c r="H13" s="421"/>
      <c r="I13" s="421"/>
    </row>
    <row r="14" spans="2:9">
      <c r="B14" s="431" t="s">
        <v>836</v>
      </c>
      <c r="C14" s="885">
        <v>636307825</v>
      </c>
      <c r="D14" s="980">
        <v>1573694033</v>
      </c>
      <c r="E14" s="980">
        <v>636307825</v>
      </c>
      <c r="F14" s="924">
        <f t="shared" si="0"/>
        <v>1573694033</v>
      </c>
      <c r="G14" s="421"/>
      <c r="H14" s="421"/>
      <c r="I14" s="421"/>
    </row>
    <row r="15" spans="2:9" s="515" customFormat="1" ht="15.75" thickBot="1">
      <c r="B15" s="437" t="s">
        <v>665</v>
      </c>
      <c r="C15" s="927">
        <f>SUM(C10:C14)</f>
        <v>4481357970</v>
      </c>
      <c r="D15" s="927">
        <f>SUM(D10:D14)</f>
        <v>3031135685</v>
      </c>
      <c r="E15" s="927">
        <f>SUM(E10:E14)</f>
        <v>1272615650</v>
      </c>
      <c r="F15" s="928">
        <f>SUM(F10:F14)</f>
        <v>6239878005</v>
      </c>
      <c r="G15" s="421"/>
      <c r="H15" s="421"/>
      <c r="I15" s="421"/>
    </row>
    <row r="16" spans="2:9">
      <c r="H16" s="421"/>
    </row>
    <row r="17" spans="2:10">
      <c r="I17" s="786"/>
      <c r="J17" s="786"/>
    </row>
    <row r="18" spans="2:10">
      <c r="I18" s="786"/>
      <c r="J18" s="786"/>
    </row>
    <row r="23" spans="2:10">
      <c r="B23" s="1116" t="s">
        <v>1043</v>
      </c>
      <c r="C23" s="1116"/>
      <c r="D23" s="1116"/>
      <c r="E23" s="1116"/>
      <c r="F23" s="1116"/>
      <c r="G23" s="440"/>
    </row>
    <row r="24" spans="2:10">
      <c r="B24" s="1116" t="s">
        <v>1117</v>
      </c>
      <c r="C24" s="1116"/>
      <c r="D24" s="1116"/>
      <c r="E24" s="1116"/>
      <c r="F24" s="1116"/>
      <c r="G24" s="440"/>
    </row>
    <row r="25" spans="2:10">
      <c r="B25" s="1116" t="s">
        <v>1014</v>
      </c>
      <c r="C25" s="1116"/>
      <c r="D25" s="1116"/>
      <c r="E25" s="1116"/>
      <c r="F25" s="1116"/>
      <c r="G25" s="440"/>
    </row>
  </sheetData>
  <mergeCells count="3">
    <mergeCell ref="B23:F23"/>
    <mergeCell ref="B24:F24"/>
    <mergeCell ref="B25:F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H69"/>
  <sheetViews>
    <sheetView topLeftCell="A34"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20.140625" style="1" customWidth="1"/>
    <col min="6" max="6" width="18.42578125" style="1" customWidth="1"/>
    <col min="7" max="7" width="14.28515625" style="1" customWidth="1"/>
  </cols>
  <sheetData>
    <row r="1" spans="1:7">
      <c r="A1" s="1115" t="s">
        <v>0</v>
      </c>
      <c r="B1" s="1115"/>
      <c r="C1" s="1115"/>
      <c r="D1" s="1115"/>
      <c r="E1" s="1115"/>
      <c r="F1" s="1115"/>
    </row>
    <row r="2" spans="1:7">
      <c r="A2" s="1115" t="s">
        <v>1</v>
      </c>
      <c r="B2" s="1115"/>
      <c r="C2" s="1115"/>
      <c r="D2" s="1115"/>
      <c r="E2" s="1115"/>
      <c r="F2" s="1115"/>
    </row>
    <row r="3" spans="1:7">
      <c r="A3" s="1115" t="s">
        <v>2</v>
      </c>
      <c r="B3" s="1115"/>
      <c r="C3" s="1115"/>
      <c r="D3" s="1115"/>
      <c r="E3" s="1115"/>
      <c r="F3" s="1115"/>
    </row>
    <row r="4" spans="1:7">
      <c r="A4" s="1115" t="s">
        <v>3</v>
      </c>
      <c r="B4" s="1115"/>
      <c r="C4" s="1115"/>
      <c r="D4" s="1115"/>
      <c r="E4" s="1115"/>
      <c r="F4" s="1115"/>
    </row>
    <row r="5" spans="1:7">
      <c r="A5" s="1115" t="str">
        <f>ACTIVO!A5</f>
        <v>01/01/11 AL 31/12/11</v>
      </c>
      <c r="B5" s="1115"/>
      <c r="C5" s="1115"/>
      <c r="D5" s="1115"/>
      <c r="E5" s="1115"/>
      <c r="F5" s="1115"/>
    </row>
    <row r="6" spans="1:7">
      <c r="A6" s="4"/>
      <c r="B6" s="5"/>
      <c r="C6" s="5"/>
      <c r="D6" s="5"/>
      <c r="E6" s="5"/>
    </row>
    <row r="7" spans="1:7">
      <c r="A7" s="6" t="s">
        <v>93</v>
      </c>
      <c r="B7" s="7"/>
      <c r="C7" s="7"/>
      <c r="D7" s="7"/>
      <c r="E7" s="7"/>
      <c r="F7" s="8">
        <f>SUM(F9:F69)</f>
        <v>0</v>
      </c>
      <c r="G7" s="1">
        <f>+ACTIVO!G7-PASIVO!F7</f>
        <v>0</v>
      </c>
    </row>
    <row r="8" spans="1:7">
      <c r="A8" s="4"/>
      <c r="B8" s="5"/>
      <c r="C8" s="5"/>
      <c r="D8" s="5"/>
      <c r="E8" s="5"/>
      <c r="F8" s="5"/>
    </row>
    <row r="9" spans="1:7">
      <c r="A9" s="4" t="s">
        <v>94</v>
      </c>
      <c r="B9" s="5"/>
      <c r="C9" s="5"/>
      <c r="D9" s="5"/>
      <c r="E9" s="5"/>
      <c r="F9" s="5">
        <f>SUM(E10:E34)</f>
        <v>0</v>
      </c>
    </row>
    <row r="10" spans="1:7">
      <c r="A10" s="4"/>
      <c r="B10" s="5" t="s">
        <v>95</v>
      </c>
      <c r="C10" s="5"/>
      <c r="D10" s="5"/>
      <c r="E10" s="5">
        <f>SUM(D11:D16)</f>
        <v>0</v>
      </c>
    </row>
    <row r="11" spans="1:7">
      <c r="C11" s="1" t="s">
        <v>96</v>
      </c>
      <c r="D11" s="1">
        <v>0</v>
      </c>
    </row>
    <row r="12" spans="1:7">
      <c r="C12" s="1" t="s">
        <v>97</v>
      </c>
      <c r="D12" s="1">
        <v>0</v>
      </c>
    </row>
    <row r="13" spans="1:7">
      <c r="C13" s="1" t="s">
        <v>98</v>
      </c>
      <c r="D13" s="1">
        <v>0</v>
      </c>
    </row>
    <row r="14" spans="1:7">
      <c r="C14" s="1" t="s">
        <v>99</v>
      </c>
      <c r="D14" s="1">
        <v>0</v>
      </c>
    </row>
    <row r="15" spans="1:7">
      <c r="C15" s="1" t="s">
        <v>100</v>
      </c>
      <c r="D15" s="1">
        <v>0</v>
      </c>
    </row>
    <row r="16" spans="1:7">
      <c r="C16" s="1" t="s">
        <v>101</v>
      </c>
      <c r="D16" s="1">
        <v>0</v>
      </c>
    </row>
    <row r="18" spans="1:6">
      <c r="B18" s="5" t="s">
        <v>102</v>
      </c>
      <c r="C18" s="5"/>
      <c r="E18" s="5">
        <f>+D19+D20</f>
        <v>0</v>
      </c>
    </row>
    <row r="19" spans="1:6">
      <c r="C19" s="1" t="s">
        <v>103</v>
      </c>
      <c r="D19" s="1">
        <v>0</v>
      </c>
    </row>
    <row r="20" spans="1:6">
      <c r="C20" s="1" t="s">
        <v>104</v>
      </c>
      <c r="D20" s="1">
        <v>0</v>
      </c>
    </row>
    <row r="22" spans="1:6">
      <c r="A22" s="4"/>
      <c r="B22" s="5" t="s">
        <v>105</v>
      </c>
      <c r="C22" s="5"/>
      <c r="E22" s="5">
        <f>+D23+D24</f>
        <v>0</v>
      </c>
      <c r="F22" s="5"/>
    </row>
    <row r="23" spans="1:6">
      <c r="C23" s="1" t="s">
        <v>106</v>
      </c>
      <c r="D23" s="1">
        <v>0</v>
      </c>
    </row>
    <row r="24" spans="1:6">
      <c r="C24" s="1" t="s">
        <v>106</v>
      </c>
      <c r="D24" s="1">
        <v>0</v>
      </c>
    </row>
    <row r="26" spans="1:6">
      <c r="A26" s="4"/>
      <c r="B26" s="5" t="s">
        <v>107</v>
      </c>
      <c r="C26" s="5"/>
      <c r="D26" s="5"/>
      <c r="E26" s="5">
        <f>+D27+D28</f>
        <v>0</v>
      </c>
    </row>
    <row r="27" spans="1:6">
      <c r="C27" s="1" t="s">
        <v>108</v>
      </c>
      <c r="D27" s="1">
        <v>0</v>
      </c>
    </row>
    <row r="28" spans="1:6">
      <c r="C28" s="1" t="s">
        <v>109</v>
      </c>
      <c r="D28" s="1">
        <v>0</v>
      </c>
    </row>
    <row r="30" spans="1:6">
      <c r="B30" s="5" t="s">
        <v>110</v>
      </c>
      <c r="C30" s="5"/>
      <c r="D30" s="5"/>
      <c r="E30" s="5">
        <f>SUM(D31:D32)</f>
        <v>0</v>
      </c>
    </row>
    <row r="31" spans="1:6">
      <c r="C31" s="1" t="s">
        <v>102</v>
      </c>
      <c r="D31" s="1">
        <v>0</v>
      </c>
    </row>
    <row r="32" spans="1:6">
      <c r="C32" s="1" t="s">
        <v>111</v>
      </c>
      <c r="D32" s="1">
        <v>0</v>
      </c>
    </row>
    <row r="33" spans="1:6">
      <c r="B33" s="5" t="s">
        <v>112</v>
      </c>
      <c r="C33" s="5"/>
      <c r="D33" s="5"/>
      <c r="E33" s="5">
        <f>+D34</f>
        <v>0</v>
      </c>
    </row>
    <row r="34" spans="1:6">
      <c r="C34" s="1" t="s">
        <v>113</v>
      </c>
      <c r="D34" s="1">
        <v>0</v>
      </c>
    </row>
    <row r="36" spans="1:6">
      <c r="A36" s="4" t="s">
        <v>114</v>
      </c>
      <c r="B36" s="5"/>
      <c r="C36" s="5"/>
      <c r="D36" s="5"/>
      <c r="E36" s="5"/>
      <c r="F36" s="5">
        <f>+E38+E41+E44</f>
        <v>0</v>
      </c>
    </row>
    <row r="38" spans="1:6">
      <c r="B38" s="5" t="s">
        <v>115</v>
      </c>
      <c r="C38" s="5"/>
      <c r="D38" s="5"/>
      <c r="E38" s="5">
        <f>+D39</f>
        <v>0</v>
      </c>
    </row>
    <row r="39" spans="1:6">
      <c r="C39" s="1" t="s">
        <v>96</v>
      </c>
      <c r="D39" s="1">
        <v>0</v>
      </c>
    </row>
    <row r="41" spans="1:6">
      <c r="B41" s="5" t="s">
        <v>116</v>
      </c>
      <c r="C41" s="5"/>
      <c r="D41" s="5"/>
      <c r="E41" s="5">
        <f>+D42</f>
        <v>0</v>
      </c>
    </row>
    <row r="42" spans="1:6">
      <c r="C42" s="1" t="s">
        <v>117</v>
      </c>
      <c r="D42" s="1">
        <v>0</v>
      </c>
    </row>
    <row r="44" spans="1:6">
      <c r="B44" s="5" t="s">
        <v>118</v>
      </c>
      <c r="C44" s="5"/>
      <c r="D44" s="5"/>
      <c r="E44" s="5">
        <f>SUM(D45:D53)</f>
        <v>0</v>
      </c>
    </row>
    <row r="45" spans="1:6">
      <c r="C45" s="1" t="s">
        <v>119</v>
      </c>
      <c r="D45" s="1">
        <v>0</v>
      </c>
    </row>
    <row r="46" spans="1:6">
      <c r="C46" s="1" t="s">
        <v>120</v>
      </c>
      <c r="D46" s="1">
        <v>0</v>
      </c>
    </row>
    <row r="47" spans="1:6">
      <c r="C47" s="1" t="s">
        <v>121</v>
      </c>
      <c r="D47" s="1">
        <v>0</v>
      </c>
    </row>
    <row r="48" spans="1:6">
      <c r="C48" s="1" t="s">
        <v>122</v>
      </c>
      <c r="D48" s="1">
        <v>0</v>
      </c>
    </row>
    <row r="49" spans="1:8">
      <c r="C49" s="1" t="s">
        <v>9</v>
      </c>
      <c r="D49" s="1">
        <v>0</v>
      </c>
    </row>
    <row r="50" spans="1:8">
      <c r="C50" s="1" t="s">
        <v>123</v>
      </c>
      <c r="D50" s="1">
        <v>0</v>
      </c>
    </row>
    <row r="51" spans="1:8">
      <c r="C51" s="1" t="s">
        <v>124</v>
      </c>
      <c r="D51" s="1">
        <v>0</v>
      </c>
      <c r="G51" s="1">
        <v>0</v>
      </c>
      <c r="H51" t="s">
        <v>125</v>
      </c>
    </row>
    <row r="52" spans="1:8">
      <c r="C52" s="1" t="s">
        <v>126</v>
      </c>
      <c r="D52" s="1">
        <v>0</v>
      </c>
      <c r="G52" s="1">
        <v>0</v>
      </c>
      <c r="H52" t="s">
        <v>127</v>
      </c>
    </row>
    <row r="53" spans="1:8">
      <c r="C53" s="1" t="s">
        <v>44</v>
      </c>
      <c r="D53" s="1">
        <v>0</v>
      </c>
    </row>
    <row r="54" spans="1:8">
      <c r="A54" s="5" t="s">
        <v>128</v>
      </c>
      <c r="B54" s="5"/>
      <c r="C54" s="5"/>
      <c r="D54" s="5"/>
      <c r="E54" s="5"/>
      <c r="F54" s="5">
        <f>SUM(D55:D64)</f>
        <v>0</v>
      </c>
    </row>
    <row r="55" spans="1:8">
      <c r="C55" s="1" t="s">
        <v>129</v>
      </c>
      <c r="D55" s="1">
        <v>0</v>
      </c>
    </row>
    <row r="56" spans="1:8">
      <c r="C56" s="1" t="s">
        <v>130</v>
      </c>
      <c r="D56" s="1">
        <v>0</v>
      </c>
    </row>
    <row r="57" spans="1:8">
      <c r="C57" s="1" t="s">
        <v>131</v>
      </c>
      <c r="D57" s="1">
        <v>0</v>
      </c>
    </row>
    <row r="58" spans="1:8">
      <c r="C58" s="1" t="s">
        <v>132</v>
      </c>
      <c r="D58" s="1">
        <v>0</v>
      </c>
    </row>
    <row r="59" spans="1:8">
      <c r="C59" s="1" t="s">
        <v>133</v>
      </c>
      <c r="D59" s="1">
        <v>0</v>
      </c>
    </row>
    <row r="60" spans="1:8">
      <c r="C60" s="1" t="s">
        <v>134</v>
      </c>
      <c r="D60" s="20">
        <v>0</v>
      </c>
    </row>
    <row r="61" spans="1:8">
      <c r="C61" s="1" t="s">
        <v>135</v>
      </c>
      <c r="D61" s="1">
        <v>0</v>
      </c>
    </row>
    <row r="62" spans="1:8">
      <c r="C62" s="1" t="s">
        <v>136</v>
      </c>
      <c r="D62" s="1">
        <v>0</v>
      </c>
    </row>
    <row r="63" spans="1:8">
      <c r="C63" s="1" t="s">
        <v>137</v>
      </c>
      <c r="D63" s="1">
        <v>0</v>
      </c>
    </row>
    <row r="64" spans="1:8">
      <c r="C64" s="1" t="s">
        <v>138</v>
      </c>
      <c r="D64" s="1">
        <v>0</v>
      </c>
    </row>
    <row r="66" spans="1:6">
      <c r="A66" s="4" t="s">
        <v>139</v>
      </c>
      <c r="F66" s="5">
        <v>0</v>
      </c>
    </row>
    <row r="68" spans="1:6">
      <c r="A68" s="4" t="s">
        <v>91</v>
      </c>
      <c r="F68" s="5">
        <f>D69</f>
        <v>0</v>
      </c>
    </row>
    <row r="69" spans="1:6">
      <c r="B69" s="1" t="s">
        <v>92</v>
      </c>
      <c r="D69" s="1">
        <v>0</v>
      </c>
    </row>
  </sheetData>
  <mergeCells count="5">
    <mergeCell ref="A5:F5"/>
    <mergeCell ref="A1:F1"/>
    <mergeCell ref="A2:F2"/>
    <mergeCell ref="A3:F3"/>
    <mergeCell ref="A4:F4"/>
  </mergeCells>
  <phoneticPr fontId="22" type="noConversion"/>
  <pageMargins left="0.7597222222222223" right="0.74791666666666667" top="0.37986111111111115" bottom="0.77013888888888893" header="0.51180555555555562" footer="0.5118055555555556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27"/>
  <sheetViews>
    <sheetView zoomScaleNormal="100" workbookViewId="0">
      <selection activeCell="I10" sqref="I10"/>
    </sheetView>
  </sheetViews>
  <sheetFormatPr baseColWidth="10" defaultRowHeight="15"/>
  <cols>
    <col min="1" max="1" width="11.42578125" style="412"/>
    <col min="2" max="2" width="32.42578125" style="412" customWidth="1"/>
    <col min="3" max="16384" width="11.42578125" style="412"/>
  </cols>
  <sheetData>
    <row r="6" spans="2:7">
      <c r="B6" s="514" t="s">
        <v>1200</v>
      </c>
    </row>
    <row r="7" spans="2:7">
      <c r="B7" s="515"/>
    </row>
    <row r="8" spans="2:7">
      <c r="B8" s="412" t="s">
        <v>1004</v>
      </c>
    </row>
    <row r="9" spans="2:7" ht="15.75" thickBot="1"/>
    <row r="10" spans="2:7" ht="45">
      <c r="B10" s="965" t="s">
        <v>777</v>
      </c>
      <c r="C10" s="945" t="s">
        <v>831</v>
      </c>
      <c r="D10" s="975" t="s">
        <v>315</v>
      </c>
      <c r="E10" s="975" t="s">
        <v>639</v>
      </c>
      <c r="F10" s="945" t="s">
        <v>1348</v>
      </c>
      <c r="G10" s="946" t="s">
        <v>776</v>
      </c>
    </row>
    <row r="11" spans="2:7">
      <c r="B11" s="431" t="s">
        <v>324</v>
      </c>
      <c r="C11" s="432"/>
      <c r="D11" s="432"/>
      <c r="E11" s="432"/>
      <c r="F11" s="432"/>
      <c r="G11" s="433"/>
    </row>
    <row r="12" spans="2:7">
      <c r="B12" s="434" t="s">
        <v>247</v>
      </c>
      <c r="C12" s="886"/>
      <c r="D12" s="886"/>
      <c r="E12" s="886"/>
      <c r="F12" s="886"/>
      <c r="G12" s="930"/>
    </row>
    <row r="13" spans="2:7">
      <c r="B13" s="431" t="s">
        <v>838</v>
      </c>
      <c r="C13" s="1253" t="s">
        <v>789</v>
      </c>
      <c r="D13" s="1220"/>
      <c r="E13" s="1220"/>
      <c r="F13" s="1220"/>
      <c r="G13" s="1221"/>
    </row>
    <row r="14" spans="2:7">
      <c r="B14" s="431" t="s">
        <v>839</v>
      </c>
      <c r="C14" s="432"/>
      <c r="D14" s="432"/>
      <c r="E14" s="432"/>
      <c r="F14" s="432"/>
      <c r="G14" s="433"/>
    </row>
    <row r="15" spans="2:7" ht="15.75" thickBot="1">
      <c r="B15" s="437" t="s">
        <v>247</v>
      </c>
      <c r="C15" s="926"/>
      <c r="D15" s="926"/>
      <c r="E15" s="926"/>
      <c r="F15" s="926"/>
      <c r="G15" s="931"/>
    </row>
    <row r="25" spans="2:7">
      <c r="B25" s="1116" t="s">
        <v>1043</v>
      </c>
      <c r="C25" s="1116"/>
      <c r="D25" s="1116"/>
      <c r="E25" s="1116"/>
      <c r="F25" s="1116"/>
      <c r="G25" s="1116"/>
    </row>
    <row r="26" spans="2:7">
      <c r="B26" s="1116" t="s">
        <v>1117</v>
      </c>
      <c r="C26" s="1116"/>
      <c r="D26" s="1116"/>
      <c r="E26" s="1116"/>
      <c r="F26" s="1116"/>
      <c r="G26" s="1116"/>
    </row>
    <row r="27" spans="2:7">
      <c r="B27" s="1116" t="s">
        <v>1014</v>
      </c>
      <c r="C27" s="1116"/>
      <c r="D27" s="1116"/>
      <c r="E27" s="1116"/>
      <c r="F27" s="1116"/>
      <c r="G27" s="1116"/>
    </row>
  </sheetData>
  <mergeCells count="4">
    <mergeCell ref="C13:G13"/>
    <mergeCell ref="B25:G25"/>
    <mergeCell ref="B26:G26"/>
    <mergeCell ref="B27:G2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E60"/>
  <sheetViews>
    <sheetView topLeftCell="A37" zoomScaleNormal="100" workbookViewId="0">
      <selection activeCell="H58" sqref="H58"/>
    </sheetView>
  </sheetViews>
  <sheetFormatPr baseColWidth="10" defaultRowHeight="15"/>
  <cols>
    <col min="1" max="1" width="11.42578125" style="412"/>
    <col min="2" max="2" width="57.42578125" style="412" customWidth="1"/>
    <col min="3" max="3" width="17.7109375" style="412" customWidth="1"/>
    <col min="4" max="4" width="18.85546875" style="412" bestFit="1" customWidth="1"/>
    <col min="5" max="5" width="11.28515625" style="412" customWidth="1"/>
    <col min="6" max="6" width="11.42578125" style="412"/>
    <col min="7" max="7" width="12.5703125" style="412" bestFit="1" customWidth="1"/>
    <col min="8" max="8" width="14.28515625" style="412" bestFit="1" customWidth="1"/>
    <col min="9" max="9" width="11.42578125" style="412"/>
    <col min="10" max="10" width="12.28515625" style="412" bestFit="1" customWidth="1"/>
    <col min="11" max="16384" width="11.42578125" style="412"/>
  </cols>
  <sheetData>
    <row r="8" spans="2:4" s="515" customFormat="1">
      <c r="B8" s="514" t="s">
        <v>1201</v>
      </c>
    </row>
    <row r="9" spans="2:4">
      <c r="B9" s="515" t="s">
        <v>840</v>
      </c>
    </row>
    <row r="12" spans="2:4" ht="15.75" thickBot="1">
      <c r="C12" s="797">
        <v>44926</v>
      </c>
      <c r="D12" s="797">
        <v>44561</v>
      </c>
    </row>
    <row r="13" spans="2:4">
      <c r="B13" s="965" t="s">
        <v>777</v>
      </c>
      <c r="C13" s="945" t="s">
        <v>1305</v>
      </c>
      <c r="D13" s="976" t="s">
        <v>1278</v>
      </c>
    </row>
    <row r="14" spans="2:4">
      <c r="B14" s="981" t="s">
        <v>1236</v>
      </c>
      <c r="C14" s="982">
        <v>41254775</v>
      </c>
      <c r="D14" s="983">
        <v>17898520</v>
      </c>
    </row>
    <row r="15" spans="2:4">
      <c r="B15" s="981" t="s">
        <v>1237</v>
      </c>
      <c r="C15" s="982">
        <v>1844093753</v>
      </c>
      <c r="D15" s="983">
        <v>1044348250.9090909</v>
      </c>
    </row>
    <row r="16" spans="2:4" s="515" customFormat="1" ht="15.75" thickBot="1">
      <c r="B16" s="437" t="s">
        <v>247</v>
      </c>
      <c r="C16" s="984">
        <f>SUM(C14:C15)</f>
        <v>1885348528</v>
      </c>
      <c r="D16" s="985">
        <f>SUM(D14:D15)</f>
        <v>1062246770.9090909</v>
      </c>
    </row>
    <row r="17" spans="2:4">
      <c r="C17" s="421"/>
    </row>
    <row r="18" spans="2:4">
      <c r="C18" s="941"/>
    </row>
    <row r="19" spans="2:4">
      <c r="B19" s="515" t="s">
        <v>1347</v>
      </c>
    </row>
    <row r="20" spans="2:4" ht="15.75" thickBot="1">
      <c r="B20" s="551" t="s">
        <v>841</v>
      </c>
    </row>
    <row r="21" spans="2:4">
      <c r="B21" s="965" t="s">
        <v>777</v>
      </c>
      <c r="C21" s="945" t="s">
        <v>816</v>
      </c>
      <c r="D21" s="976" t="s">
        <v>817</v>
      </c>
    </row>
    <row r="22" spans="2:4">
      <c r="B22" s="431"/>
      <c r="C22" s="432">
        <v>0</v>
      </c>
      <c r="D22" s="433">
        <v>0</v>
      </c>
    </row>
    <row r="23" spans="2:4" s="515" customFormat="1" ht="15.75" thickBot="1">
      <c r="B23" s="437" t="s">
        <v>247</v>
      </c>
      <c r="C23" s="926">
        <v>0</v>
      </c>
      <c r="D23" s="931">
        <v>0</v>
      </c>
    </row>
    <row r="26" spans="2:4" s="986" customFormat="1">
      <c r="B26" s="515" t="s">
        <v>1321</v>
      </c>
    </row>
    <row r="27" spans="2:4" s="986" customFormat="1">
      <c r="B27" s="412" t="s">
        <v>1109</v>
      </c>
    </row>
    <row r="28" spans="2:4" s="986" customFormat="1">
      <c r="B28" s="412"/>
    </row>
    <row r="29" spans="2:4" s="986" customFormat="1">
      <c r="B29" s="412" t="s">
        <v>1322</v>
      </c>
    </row>
    <row r="30" spans="2:4" s="986" customFormat="1">
      <c r="B30" s="412" t="s">
        <v>1110</v>
      </c>
    </row>
    <row r="31" spans="2:4" s="986" customFormat="1">
      <c r="B31" s="412"/>
    </row>
    <row r="32" spans="2:4" s="986" customFormat="1">
      <c r="B32" s="515"/>
    </row>
    <row r="33" spans="2:4" ht="15.75" thickBot="1">
      <c r="C33" s="797">
        <v>44926</v>
      </c>
      <c r="D33" s="797">
        <v>44561</v>
      </c>
    </row>
    <row r="34" spans="2:4">
      <c r="B34" s="965" t="s">
        <v>777</v>
      </c>
      <c r="C34" s="945" t="s">
        <v>1305</v>
      </c>
      <c r="D34" s="976" t="s">
        <v>1278</v>
      </c>
    </row>
    <row r="35" spans="2:4">
      <c r="B35" s="987" t="s">
        <v>1017</v>
      </c>
      <c r="C35" s="977">
        <v>5773747</v>
      </c>
      <c r="D35" s="979">
        <v>10057454</v>
      </c>
    </row>
    <row r="36" spans="2:4">
      <c r="B36" s="987" t="s">
        <v>1018</v>
      </c>
      <c r="C36" s="977">
        <v>2343643982</v>
      </c>
      <c r="D36" s="979">
        <v>1185861250</v>
      </c>
    </row>
    <row r="37" spans="2:4">
      <c r="B37" s="947" t="s">
        <v>964</v>
      </c>
      <c r="C37" s="977">
        <v>110546150</v>
      </c>
      <c r="D37" s="979">
        <v>53413941</v>
      </c>
    </row>
    <row r="38" spans="2:4">
      <c r="B38" s="947" t="s">
        <v>842</v>
      </c>
      <c r="C38" s="977">
        <v>74758840</v>
      </c>
      <c r="D38" s="979">
        <v>19718321</v>
      </c>
    </row>
    <row r="39" spans="2:4">
      <c r="B39" s="947" t="s">
        <v>1237</v>
      </c>
      <c r="C39" s="977">
        <v>650802255</v>
      </c>
      <c r="D39" s="1087">
        <v>2313881703</v>
      </c>
    </row>
    <row r="40" spans="2:4" ht="15.75" thickBot="1">
      <c r="B40" s="437" t="s">
        <v>247</v>
      </c>
      <c r="C40" s="927">
        <f>SUM(C35:C39)</f>
        <v>3185524974</v>
      </c>
      <c r="D40" s="988">
        <f>SUM(D35:D39)</f>
        <v>3582932669</v>
      </c>
    </row>
    <row r="41" spans="2:4" ht="15.75" thickBot="1">
      <c r="B41" s="437" t="s">
        <v>1134</v>
      </c>
      <c r="C41" s="927">
        <f>+C16+C40</f>
        <v>5070873502</v>
      </c>
      <c r="D41" s="927">
        <v>3582932669</v>
      </c>
    </row>
    <row r="42" spans="2:4">
      <c r="C42" s="786"/>
    </row>
    <row r="44" spans="2:4">
      <c r="B44" s="515" t="s">
        <v>956</v>
      </c>
    </row>
    <row r="45" spans="2:4" ht="15.75" thickBot="1"/>
    <row r="46" spans="2:4">
      <c r="B46" s="965" t="s">
        <v>777</v>
      </c>
      <c r="C46" s="945" t="s">
        <v>1305</v>
      </c>
      <c r="D46" s="976" t="s">
        <v>1278</v>
      </c>
    </row>
    <row r="47" spans="2:4">
      <c r="B47" s="431" t="s">
        <v>843</v>
      </c>
      <c r="C47" s="432">
        <v>0</v>
      </c>
      <c r="D47" s="924">
        <v>0</v>
      </c>
    </row>
    <row r="48" spans="2:4" ht="15.75" thickBot="1">
      <c r="B48" s="437" t="s">
        <v>247</v>
      </c>
      <c r="C48" s="438">
        <v>0</v>
      </c>
      <c r="D48" s="439">
        <v>0</v>
      </c>
    </row>
    <row r="58" spans="2:5">
      <c r="B58" s="1116" t="s">
        <v>1043</v>
      </c>
      <c r="C58" s="1116"/>
      <c r="D58" s="1116"/>
      <c r="E58" s="440"/>
    </row>
    <row r="59" spans="2:5">
      <c r="B59" s="1116" t="s">
        <v>1117</v>
      </c>
      <c r="C59" s="1116"/>
      <c r="D59" s="1116"/>
      <c r="E59" s="440"/>
    </row>
    <row r="60" spans="2:5">
      <c r="B60" s="1116" t="s">
        <v>1014</v>
      </c>
      <c r="C60" s="1116"/>
      <c r="D60" s="1116"/>
      <c r="E60" s="440"/>
    </row>
  </sheetData>
  <mergeCells count="3">
    <mergeCell ref="B58:D58"/>
    <mergeCell ref="B59:D59"/>
    <mergeCell ref="B60:D60"/>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D48"/>
  <sheetViews>
    <sheetView topLeftCell="A27" zoomScale="115" zoomScaleNormal="115" workbookViewId="0">
      <selection activeCell="B36" sqref="B10:D41"/>
    </sheetView>
  </sheetViews>
  <sheetFormatPr baseColWidth="10" defaultRowHeight="15"/>
  <cols>
    <col min="1" max="1" width="11.42578125" style="412"/>
    <col min="2" max="2" width="57.28515625" style="412" customWidth="1"/>
    <col min="3" max="3" width="18.42578125" style="412" customWidth="1"/>
    <col min="4" max="4" width="19.28515625" style="412" customWidth="1"/>
    <col min="5" max="16384" width="11.42578125" style="412"/>
  </cols>
  <sheetData>
    <row r="9" spans="2:4">
      <c r="B9" s="514" t="s">
        <v>1202</v>
      </c>
    </row>
    <row r="10" spans="2:4" ht="15.75" thickBot="1">
      <c r="C10" s="797">
        <v>44926</v>
      </c>
      <c r="D10" s="797">
        <v>44561</v>
      </c>
    </row>
    <row r="11" spans="2:4" ht="28.5" customHeight="1" thickBot="1">
      <c r="B11" s="989" t="s">
        <v>777</v>
      </c>
      <c r="C11" s="990" t="s">
        <v>1305</v>
      </c>
      <c r="D11" s="991" t="s">
        <v>1278</v>
      </c>
    </row>
    <row r="12" spans="2:4">
      <c r="B12" s="992" t="s">
        <v>952</v>
      </c>
      <c r="C12" s="993"/>
      <c r="D12" s="994"/>
    </row>
    <row r="13" spans="2:4">
      <c r="B13" s="993" t="s">
        <v>851</v>
      </c>
      <c r="C13" s="995">
        <v>82648941</v>
      </c>
      <c r="D13" s="996">
        <v>83653200</v>
      </c>
    </row>
    <row r="14" spans="2:4">
      <c r="B14" s="997" t="s">
        <v>951</v>
      </c>
      <c r="C14" s="995">
        <v>3641710</v>
      </c>
      <c r="D14" s="996">
        <v>3409841</v>
      </c>
    </row>
    <row r="15" spans="2:4">
      <c r="B15" s="993" t="s">
        <v>844</v>
      </c>
      <c r="C15" s="995">
        <v>27467</v>
      </c>
      <c r="D15" s="996">
        <v>500356</v>
      </c>
    </row>
    <row r="16" spans="2:4">
      <c r="B16" s="998" t="s">
        <v>907</v>
      </c>
      <c r="C16" s="999">
        <f>SUM(C13:C15)</f>
        <v>86318118</v>
      </c>
      <c r="D16" s="999">
        <f>SUM(D13:D15)</f>
        <v>87563397</v>
      </c>
    </row>
    <row r="17" spans="2:4">
      <c r="B17" s="992" t="s">
        <v>953</v>
      </c>
      <c r="C17" s="1000"/>
      <c r="D17" s="1001"/>
    </row>
    <row r="18" spans="2:4">
      <c r="B18" s="993" t="s">
        <v>1040</v>
      </c>
      <c r="C18" s="995">
        <v>17141732</v>
      </c>
      <c r="D18" s="996">
        <v>26600995</v>
      </c>
    </row>
    <row r="19" spans="2:4">
      <c r="B19" s="998" t="s">
        <v>954</v>
      </c>
      <c r="C19" s="999">
        <f>SUM(C18)</f>
        <v>17141732</v>
      </c>
      <c r="D19" s="999">
        <f>SUM(D18)</f>
        <v>26600995</v>
      </c>
    </row>
    <row r="20" spans="2:4">
      <c r="B20" s="992" t="s">
        <v>1108</v>
      </c>
      <c r="C20" s="1002"/>
      <c r="D20" s="993"/>
    </row>
    <row r="21" spans="2:4">
      <c r="B21" s="993" t="s">
        <v>846</v>
      </c>
      <c r="C21" s="995">
        <v>6742919</v>
      </c>
      <c r="D21" s="996">
        <v>6434881</v>
      </c>
    </row>
    <row r="22" spans="2:4">
      <c r="B22" s="993" t="s">
        <v>1020</v>
      </c>
      <c r="C22" s="995">
        <v>12323263</v>
      </c>
      <c r="D22" s="996">
        <v>7098449</v>
      </c>
    </row>
    <row r="23" spans="2:4">
      <c r="B23" s="1003" t="s">
        <v>850</v>
      </c>
      <c r="C23" s="1004">
        <v>50717</v>
      </c>
      <c r="D23" s="996">
        <v>66139</v>
      </c>
    </row>
    <row r="24" spans="2:4">
      <c r="B24" s="993" t="s">
        <v>1264</v>
      </c>
      <c r="C24" s="995">
        <v>1284273</v>
      </c>
      <c r="D24" s="996">
        <v>0</v>
      </c>
    </row>
    <row r="25" spans="2:4">
      <c r="B25" s="993" t="s">
        <v>852</v>
      </c>
      <c r="C25" s="995">
        <v>24719435</v>
      </c>
      <c r="D25" s="996">
        <v>21659182</v>
      </c>
    </row>
    <row r="26" spans="2:4">
      <c r="B26" s="993" t="s">
        <v>856</v>
      </c>
      <c r="C26" s="995">
        <v>472727</v>
      </c>
      <c r="D26" s="996">
        <v>849546</v>
      </c>
    </row>
    <row r="27" spans="2:4">
      <c r="B27" s="993" t="s">
        <v>1260</v>
      </c>
      <c r="C27" s="995">
        <v>623088</v>
      </c>
      <c r="D27" s="996">
        <v>2095320</v>
      </c>
    </row>
    <row r="28" spans="2:4">
      <c r="B28" s="993" t="s">
        <v>855</v>
      </c>
      <c r="C28" s="995">
        <v>10298741</v>
      </c>
      <c r="D28" s="901">
        <v>4508767</v>
      </c>
    </row>
    <row r="29" spans="2:4">
      <c r="B29" s="993" t="s">
        <v>938</v>
      </c>
      <c r="C29" s="995">
        <v>16700237</v>
      </c>
      <c r="D29" s="996">
        <v>14599997</v>
      </c>
    </row>
    <row r="30" spans="2:4">
      <c r="B30" s="993" t="s">
        <v>1284</v>
      </c>
      <c r="C30" s="995">
        <v>1343632</v>
      </c>
      <c r="D30" s="996">
        <v>2943782</v>
      </c>
    </row>
    <row r="31" spans="2:4">
      <c r="B31" s="1005" t="s">
        <v>847</v>
      </c>
      <c r="C31" s="1004">
        <v>6798728</v>
      </c>
      <c r="D31" s="1006">
        <v>1675910</v>
      </c>
    </row>
    <row r="32" spans="2:4">
      <c r="B32" s="1005" t="s">
        <v>1303</v>
      </c>
      <c r="C32" s="1004">
        <v>10087740</v>
      </c>
      <c r="D32" s="1006">
        <v>1954545</v>
      </c>
    </row>
    <row r="33" spans="2:4">
      <c r="B33" s="1005" t="s">
        <v>848</v>
      </c>
      <c r="C33" s="1004">
        <v>12427382</v>
      </c>
      <c r="D33" s="1006">
        <v>22129223</v>
      </c>
    </row>
    <row r="34" spans="2:4">
      <c r="B34" s="1007" t="s">
        <v>1290</v>
      </c>
      <c r="C34" s="995">
        <v>8881011</v>
      </c>
      <c r="D34" s="996">
        <v>0</v>
      </c>
    </row>
    <row r="35" spans="2:4">
      <c r="B35" s="1007" t="s">
        <v>853</v>
      </c>
      <c r="C35" s="995">
        <v>50293604</v>
      </c>
      <c r="D35" s="1006">
        <v>44580307</v>
      </c>
    </row>
    <row r="36" spans="2:4">
      <c r="B36" s="1007" t="s">
        <v>845</v>
      </c>
      <c r="C36" s="995">
        <v>10705584</v>
      </c>
      <c r="D36" s="996">
        <v>7975691</v>
      </c>
    </row>
    <row r="37" spans="2:4">
      <c r="B37" s="1003" t="s">
        <v>854</v>
      </c>
      <c r="C37" s="1004">
        <v>4239580</v>
      </c>
      <c r="D37" s="1006">
        <v>1306796</v>
      </c>
    </row>
    <row r="38" spans="2:4">
      <c r="B38" s="1003" t="s">
        <v>1025</v>
      </c>
      <c r="C38" s="1004">
        <v>24750000</v>
      </c>
      <c r="D38" s="1006">
        <v>23304545</v>
      </c>
    </row>
    <row r="39" spans="2:4">
      <c r="B39" s="1003" t="s">
        <v>849</v>
      </c>
      <c r="C39" s="1004">
        <v>2735455</v>
      </c>
      <c r="D39" s="1006">
        <v>1056364</v>
      </c>
    </row>
    <row r="40" spans="2:4">
      <c r="B40" s="1008" t="s">
        <v>1041</v>
      </c>
      <c r="C40" s="1004">
        <v>9992542</v>
      </c>
      <c r="D40" s="1006">
        <v>6403338</v>
      </c>
    </row>
    <row r="41" spans="2:4" ht="15.75" thickBot="1">
      <c r="B41" s="1009" t="s">
        <v>1042</v>
      </c>
      <c r="C41" s="1010">
        <f>SUM(C21:C40)</f>
        <v>215470658</v>
      </c>
      <c r="D41" s="1010">
        <f>SUM(D21:D40)</f>
        <v>170642782</v>
      </c>
    </row>
    <row r="42" spans="2:4" ht="27.75" customHeight="1"/>
    <row r="46" spans="2:4">
      <c r="B46" s="1116" t="s">
        <v>1043</v>
      </c>
      <c r="C46" s="1116"/>
      <c r="D46" s="1116"/>
    </row>
    <row r="47" spans="2:4">
      <c r="B47" s="1116" t="s">
        <v>1117</v>
      </c>
      <c r="C47" s="1116"/>
      <c r="D47" s="1116"/>
    </row>
    <row r="48" spans="2:4">
      <c r="B48" s="1116" t="s">
        <v>1014</v>
      </c>
      <c r="C48" s="1116"/>
      <c r="D48" s="1116"/>
    </row>
  </sheetData>
  <sortState ref="B17:D37">
    <sortCondition ref="B17:B37"/>
  </sortState>
  <mergeCells count="3">
    <mergeCell ref="B46:D46"/>
    <mergeCell ref="B47:D47"/>
    <mergeCell ref="B48:D48"/>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58"/>
  <sheetViews>
    <sheetView zoomScaleNormal="100" workbookViewId="0">
      <selection activeCell="B7" sqref="B7:D16"/>
    </sheetView>
  </sheetViews>
  <sheetFormatPr baseColWidth="10" defaultRowHeight="15"/>
  <cols>
    <col min="1" max="1" width="11.42578125" style="412"/>
    <col min="2" max="2" width="33.140625" style="412" customWidth="1"/>
    <col min="3" max="3" width="17.85546875" style="412" customWidth="1"/>
    <col min="4" max="4" width="19.42578125" style="412" customWidth="1"/>
    <col min="5" max="16384" width="11.42578125" style="412"/>
  </cols>
  <sheetData>
    <row r="6" spans="2:4">
      <c r="B6" s="514" t="s">
        <v>1203</v>
      </c>
    </row>
    <row r="7" spans="2:4" ht="15.75" thickBot="1">
      <c r="C7" s="797">
        <v>44926</v>
      </c>
      <c r="D7" s="797">
        <v>44561</v>
      </c>
    </row>
    <row r="8" spans="2:4">
      <c r="B8" s="965" t="s">
        <v>551</v>
      </c>
      <c r="C8" s="945" t="s">
        <v>1305</v>
      </c>
      <c r="D8" s="976" t="s">
        <v>1278</v>
      </c>
    </row>
    <row r="9" spans="2:4">
      <c r="B9" s="431" t="s">
        <v>857</v>
      </c>
      <c r="C9" s="885">
        <v>1604698</v>
      </c>
      <c r="D9" s="924">
        <v>1343712</v>
      </c>
    </row>
    <row r="10" spans="2:4">
      <c r="B10" s="431" t="s">
        <v>858</v>
      </c>
      <c r="C10" s="885">
        <v>0</v>
      </c>
      <c r="D10" s="924">
        <v>0</v>
      </c>
    </row>
    <row r="11" spans="2:4">
      <c r="B11" s="431" t="s">
        <v>1158</v>
      </c>
      <c r="C11" s="885">
        <v>0</v>
      </c>
      <c r="D11" s="924">
        <v>45744832</v>
      </c>
    </row>
    <row r="12" spans="2:4" ht="15.75" thickBot="1">
      <c r="B12" s="437" t="s">
        <v>760</v>
      </c>
      <c r="C12" s="927">
        <f>SUM(C9:C11)</f>
        <v>1604698</v>
      </c>
      <c r="D12" s="928">
        <f>SUM(D9:D11)</f>
        <v>47088544</v>
      </c>
    </row>
    <row r="13" spans="2:4">
      <c r="B13" s="965" t="s">
        <v>859</v>
      </c>
      <c r="C13" s="945" t="s">
        <v>1305</v>
      </c>
      <c r="D13" s="976" t="s">
        <v>1278</v>
      </c>
    </row>
    <row r="14" spans="2:4">
      <c r="B14" s="431" t="s">
        <v>601</v>
      </c>
      <c r="C14" s="885">
        <v>5637321</v>
      </c>
      <c r="D14" s="1011">
        <v>42973771</v>
      </c>
    </row>
    <row r="15" spans="2:4">
      <c r="B15" s="1012" t="s">
        <v>959</v>
      </c>
      <c r="C15" s="1013">
        <v>9</v>
      </c>
      <c r="D15" s="1014">
        <v>479992</v>
      </c>
    </row>
    <row r="16" spans="2:4" ht="15.75" thickBot="1">
      <c r="B16" s="437" t="s">
        <v>760</v>
      </c>
      <c r="C16" s="927">
        <f>SUM(C14:C15)</f>
        <v>5637330</v>
      </c>
      <c r="D16" s="928">
        <f>SUM(D14:D15)</f>
        <v>43453763</v>
      </c>
    </row>
    <row r="24" spans="2:4">
      <c r="B24" s="1116" t="s">
        <v>1043</v>
      </c>
      <c r="C24" s="1116"/>
      <c r="D24" s="1116"/>
    </row>
    <row r="25" spans="2:4">
      <c r="B25" s="1116" t="s">
        <v>1117</v>
      </c>
      <c r="C25" s="1116"/>
      <c r="D25" s="1116"/>
    </row>
    <row r="26" spans="2:4">
      <c r="B26" s="1116" t="s">
        <v>1014</v>
      </c>
      <c r="C26" s="1116"/>
      <c r="D26" s="1116"/>
    </row>
    <row r="53" spans="2:2">
      <c r="B53" s="797"/>
    </row>
    <row r="54" spans="2:2">
      <c r="B54" s="786"/>
    </row>
    <row r="57" spans="2:2">
      <c r="B57" s="797"/>
    </row>
    <row r="58" spans="2:2">
      <c r="B58" s="786"/>
    </row>
  </sheetData>
  <mergeCells count="3">
    <mergeCell ref="B24:D24"/>
    <mergeCell ref="B25:D25"/>
    <mergeCell ref="B26:D2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4"/>
  <sheetViews>
    <sheetView workbookViewId="0">
      <selection activeCell="J23" sqref="J23"/>
    </sheetView>
  </sheetViews>
  <sheetFormatPr baseColWidth="10" defaultRowHeight="15"/>
  <cols>
    <col min="1" max="1" width="11.42578125" style="412"/>
    <col min="2" max="2" width="31.140625" style="412" bestFit="1" customWidth="1"/>
    <col min="3" max="3" width="17.140625" style="412" customWidth="1"/>
    <col min="4" max="4" width="18.85546875" style="412" bestFit="1" customWidth="1"/>
    <col min="5" max="16384" width="11.42578125" style="412"/>
  </cols>
  <sheetData>
    <row r="5" spans="2:4">
      <c r="B5" s="514" t="s">
        <v>1204</v>
      </c>
    </row>
    <row r="6" spans="2:4" ht="15.75" thickBot="1">
      <c r="C6" s="797">
        <v>44926</v>
      </c>
      <c r="D6" s="797">
        <v>44561</v>
      </c>
    </row>
    <row r="7" spans="2:4">
      <c r="B7" s="965" t="s">
        <v>860</v>
      </c>
      <c r="C7" s="945" t="s">
        <v>1305</v>
      </c>
      <c r="D7" s="976" t="s">
        <v>1278</v>
      </c>
    </row>
    <row r="8" spans="2:4">
      <c r="B8" s="431" t="s">
        <v>1037</v>
      </c>
      <c r="C8" s="885">
        <v>29969059</v>
      </c>
      <c r="D8" s="924">
        <v>1662714</v>
      </c>
    </row>
    <row r="9" spans="2:4" ht="30">
      <c r="B9" s="1015" t="s">
        <v>1038</v>
      </c>
      <c r="C9" s="1016">
        <v>141591666</v>
      </c>
      <c r="D9" s="924">
        <v>74666998</v>
      </c>
    </row>
    <row r="10" spans="2:4">
      <c r="B10" s="434" t="s">
        <v>861</v>
      </c>
      <c r="C10" s="1017">
        <f>SUM(C8:C9)</f>
        <v>171560725</v>
      </c>
      <c r="D10" s="925">
        <f>SUM(D8:D9)</f>
        <v>76329712</v>
      </c>
    </row>
    <row r="11" spans="2:4">
      <c r="B11" s="427" t="s">
        <v>600</v>
      </c>
      <c r="C11" s="886"/>
      <c r="D11" s="930"/>
    </row>
    <row r="12" spans="2:4">
      <c r="B12" s="431"/>
      <c r="C12" s="432">
        <v>0</v>
      </c>
      <c r="D12" s="433">
        <v>0</v>
      </c>
    </row>
    <row r="13" spans="2:4">
      <c r="B13" s="431"/>
      <c r="C13" s="885">
        <v>0</v>
      </c>
      <c r="D13" s="924">
        <v>0</v>
      </c>
    </row>
    <row r="14" spans="2:4" ht="15.75" thickBot="1">
      <c r="B14" s="437" t="s">
        <v>861</v>
      </c>
      <c r="C14" s="928">
        <f>SUM(C12:C13)</f>
        <v>0</v>
      </c>
      <c r="D14" s="928">
        <f>SUM(D12:D13)</f>
        <v>0</v>
      </c>
    </row>
    <row r="22" spans="2:4">
      <c r="B22" s="1116" t="s">
        <v>1043</v>
      </c>
      <c r="C22" s="1116"/>
      <c r="D22" s="1116"/>
    </row>
    <row r="23" spans="2:4">
      <c r="B23" s="1116" t="s">
        <v>1117</v>
      </c>
      <c r="C23" s="1116"/>
      <c r="D23" s="1116"/>
    </row>
    <row r="24" spans="2:4">
      <c r="B24" s="1116" t="s">
        <v>1014</v>
      </c>
      <c r="C24" s="1116"/>
      <c r="D24" s="1116"/>
    </row>
  </sheetData>
  <mergeCells count="3">
    <mergeCell ref="B22:D22"/>
    <mergeCell ref="B23:D23"/>
    <mergeCell ref="B24:D2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6"/>
  <sheetViews>
    <sheetView workbookViewId="0">
      <selection activeCell="B8" sqref="B8:D15"/>
    </sheetView>
  </sheetViews>
  <sheetFormatPr baseColWidth="10" defaultRowHeight="15"/>
  <cols>
    <col min="1" max="1" width="11.42578125" style="412"/>
    <col min="2" max="2" width="25.140625" style="412" bestFit="1" customWidth="1"/>
    <col min="3" max="3" width="18" style="412" customWidth="1"/>
    <col min="4" max="4" width="18.85546875" style="412" customWidth="1"/>
    <col min="5" max="16384" width="11.42578125" style="412"/>
  </cols>
  <sheetData>
    <row r="5" spans="2:4">
      <c r="B5" s="514" t="s">
        <v>1205</v>
      </c>
    </row>
    <row r="7" spans="2:4" ht="15.75" thickBot="1">
      <c r="C7" s="797">
        <v>44926</v>
      </c>
      <c r="D7" s="797">
        <v>44561</v>
      </c>
    </row>
    <row r="8" spans="2:4">
      <c r="B8" s="965" t="s">
        <v>554</v>
      </c>
      <c r="C8" s="945" t="s">
        <v>1305</v>
      </c>
      <c r="D8" s="976" t="s">
        <v>1278</v>
      </c>
    </row>
    <row r="9" spans="2:4">
      <c r="B9" s="431" t="s">
        <v>554</v>
      </c>
      <c r="C9" s="1018">
        <v>0</v>
      </c>
      <c r="D9" s="1018">
        <v>0</v>
      </c>
    </row>
    <row r="10" spans="2:4" ht="15.75" thickBot="1">
      <c r="B10" s="437" t="s">
        <v>760</v>
      </c>
      <c r="C10" s="928">
        <f>SUM(C9)</f>
        <v>0</v>
      </c>
      <c r="D10" s="928">
        <f>SUM(D9:D9)</f>
        <v>0</v>
      </c>
    </row>
    <row r="11" spans="2:4">
      <c r="C11" s="421"/>
    </row>
    <row r="12" spans="2:4" ht="15.75" thickBot="1">
      <c r="C12" s="421"/>
    </row>
    <row r="13" spans="2:4">
      <c r="B13" s="965" t="s">
        <v>862</v>
      </c>
      <c r="C13" s="1019" t="s">
        <v>1305</v>
      </c>
      <c r="D13" s="976" t="s">
        <v>1278</v>
      </c>
    </row>
    <row r="14" spans="2:4">
      <c r="B14" s="431" t="s">
        <v>1021</v>
      </c>
      <c r="C14" s="1018">
        <v>0</v>
      </c>
      <c r="D14" s="1018">
        <v>0</v>
      </c>
    </row>
    <row r="15" spans="2:4" ht="15.75" thickBot="1">
      <c r="B15" s="437" t="s">
        <v>760</v>
      </c>
      <c r="C15" s="928">
        <f>SUM(C14)</f>
        <v>0</v>
      </c>
      <c r="D15" s="928">
        <f>SUM(D14)</f>
        <v>0</v>
      </c>
    </row>
    <row r="24" spans="2:4">
      <c r="B24" s="1116" t="s">
        <v>1043</v>
      </c>
      <c r="C24" s="1116"/>
      <c r="D24" s="1116"/>
    </row>
    <row r="25" spans="2:4">
      <c r="B25" s="1116" t="s">
        <v>1117</v>
      </c>
      <c r="C25" s="1116"/>
      <c r="D25" s="1116"/>
    </row>
    <row r="26" spans="2:4">
      <c r="B26" s="1116" t="s">
        <v>1014</v>
      </c>
      <c r="C26" s="1116"/>
      <c r="D26" s="1116"/>
    </row>
  </sheetData>
  <mergeCells count="3">
    <mergeCell ref="B24:D24"/>
    <mergeCell ref="B25:D25"/>
    <mergeCell ref="B26:D26"/>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I46"/>
  <sheetViews>
    <sheetView topLeftCell="A34" zoomScaleNormal="100" workbookViewId="0">
      <selection activeCell="G19" sqref="G19"/>
    </sheetView>
  </sheetViews>
  <sheetFormatPr baseColWidth="10" defaultRowHeight="15"/>
  <cols>
    <col min="1" max="2" width="11.42578125" style="412"/>
    <col min="3" max="3" width="16.42578125" style="412" customWidth="1"/>
    <col min="4" max="4" width="30.28515625" style="412" bestFit="1" customWidth="1"/>
    <col min="5" max="5" width="20.5703125" style="412" customWidth="1"/>
    <col min="6" max="16384" width="11.42578125" style="412"/>
  </cols>
  <sheetData>
    <row r="10" spans="2:2">
      <c r="B10" s="514" t="s">
        <v>1091</v>
      </c>
    </row>
    <row r="12" spans="2:2">
      <c r="B12" s="412" t="s">
        <v>1092</v>
      </c>
    </row>
    <row r="13" spans="2:2">
      <c r="B13" s="412" t="s">
        <v>1093</v>
      </c>
    </row>
    <row r="14" spans="2:2">
      <c r="B14" s="412" t="s">
        <v>1094</v>
      </c>
    </row>
    <row r="15" spans="2:2">
      <c r="B15" s="412" t="s">
        <v>1095</v>
      </c>
    </row>
    <row r="16" spans="2:2">
      <c r="B16" s="412" t="s">
        <v>1096</v>
      </c>
    </row>
    <row r="17" spans="2:5">
      <c r="B17" s="412" t="s">
        <v>1097</v>
      </c>
    </row>
    <row r="19" spans="2:5" ht="15.75" thickBot="1"/>
    <row r="20" spans="2:5">
      <c r="B20" s="1020" t="s">
        <v>1026</v>
      </c>
      <c r="C20" s="1021" t="s">
        <v>864</v>
      </c>
      <c r="D20" s="1021" t="s">
        <v>1027</v>
      </c>
      <c r="E20" s="1022" t="s">
        <v>1028</v>
      </c>
    </row>
    <row r="21" spans="2:5">
      <c r="B21" s="1023">
        <v>44015</v>
      </c>
      <c r="C21" s="1024" t="s">
        <v>1119</v>
      </c>
      <c r="D21" s="933" t="s">
        <v>1029</v>
      </c>
      <c r="E21" s="934" t="s">
        <v>1031</v>
      </c>
    </row>
    <row r="22" spans="2:5" ht="15.75" thickBot="1">
      <c r="B22" s="1025">
        <v>44015</v>
      </c>
      <c r="C22" s="1026" t="s">
        <v>1120</v>
      </c>
      <c r="D22" s="1027" t="s">
        <v>1030</v>
      </c>
      <c r="E22" s="1028" t="s">
        <v>1032</v>
      </c>
    </row>
    <row r="26" spans="2:5">
      <c r="B26" s="514" t="s">
        <v>1098</v>
      </c>
    </row>
    <row r="27" spans="2:5">
      <c r="B27" s="412" t="s">
        <v>1349</v>
      </c>
    </row>
    <row r="29" spans="2:5">
      <c r="B29" s="514" t="s">
        <v>1099</v>
      </c>
    </row>
    <row r="30" spans="2:5">
      <c r="B30" s="412" t="s">
        <v>1100</v>
      </c>
    </row>
    <row r="32" spans="2:5">
      <c r="B32" s="514" t="s">
        <v>1104</v>
      </c>
    </row>
    <row r="33" spans="2:9">
      <c r="B33" s="412" t="s">
        <v>1101</v>
      </c>
    </row>
    <row r="35" spans="2:9">
      <c r="B35" s="514" t="s">
        <v>1105</v>
      </c>
    </row>
    <row r="36" spans="2:9">
      <c r="B36" s="412" t="s">
        <v>1102</v>
      </c>
    </row>
    <row r="38" spans="2:9">
      <c r="B38" s="514" t="s">
        <v>1106</v>
      </c>
    </row>
    <row r="39" spans="2:9">
      <c r="B39" s="412" t="s">
        <v>1103</v>
      </c>
    </row>
    <row r="44" spans="2:9">
      <c r="C44" s="1116" t="s">
        <v>1043</v>
      </c>
      <c r="D44" s="1116"/>
      <c r="E44" s="1116"/>
      <c r="F44" s="1116"/>
      <c r="G44" s="1116"/>
      <c r="H44" s="1116"/>
      <c r="I44" s="1116"/>
    </row>
    <row r="45" spans="2:9">
      <c r="C45" s="1116" t="s">
        <v>1117</v>
      </c>
      <c r="D45" s="1116"/>
      <c r="E45" s="1116"/>
      <c r="F45" s="1116"/>
      <c r="G45" s="1116"/>
      <c r="H45" s="1116"/>
      <c r="I45" s="1116"/>
    </row>
    <row r="46" spans="2:9">
      <c r="C46" s="1116" t="s">
        <v>1014</v>
      </c>
      <c r="D46" s="1116"/>
      <c r="E46" s="1116"/>
      <c r="F46" s="1116"/>
      <c r="G46" s="1116"/>
      <c r="H46" s="1116"/>
      <c r="I46" s="1116"/>
    </row>
  </sheetData>
  <mergeCells count="3">
    <mergeCell ref="C44:I44"/>
    <mergeCell ref="C45:I45"/>
    <mergeCell ref="C46:I4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9:K179"/>
  <sheetViews>
    <sheetView topLeftCell="A19" zoomScale="85" zoomScaleNormal="85" workbookViewId="0">
      <selection activeCell="B27" sqref="B27"/>
    </sheetView>
  </sheetViews>
  <sheetFormatPr baseColWidth="10" defaultRowHeight="15"/>
  <cols>
    <col min="1" max="1" width="11.42578125" style="412"/>
    <col min="2" max="2" width="42.28515625" style="412" customWidth="1"/>
    <col min="3" max="3" width="25.28515625" style="412" customWidth="1"/>
    <col min="4" max="4" width="20.5703125" style="412" customWidth="1"/>
    <col min="5" max="5" width="20.140625" style="412" customWidth="1"/>
    <col min="6" max="6" width="22.28515625" style="412" customWidth="1"/>
    <col min="7" max="7" width="18.7109375" style="412" customWidth="1"/>
    <col min="8" max="8" width="15.5703125" style="412" customWidth="1"/>
    <col min="9" max="9" width="14.28515625" style="412" bestFit="1" customWidth="1"/>
    <col min="10" max="10" width="14.5703125" style="412" customWidth="1"/>
    <col min="11" max="16384" width="11.42578125" style="412"/>
  </cols>
  <sheetData>
    <row r="9" spans="1:8">
      <c r="B9" s="1029" t="s">
        <v>1279</v>
      </c>
      <c r="C9" s="1029"/>
      <c r="D9" s="1029"/>
      <c r="E9" s="1029"/>
      <c r="F9" s="1029"/>
      <c r="G9" s="1030"/>
      <c r="H9" s="1029"/>
    </row>
    <row r="11" spans="1:8">
      <c r="B11" s="1029" t="s">
        <v>1005</v>
      </c>
      <c r="C11" s="1029"/>
      <c r="D11" s="1029"/>
      <c r="E11" s="1029"/>
      <c r="F11" s="1029"/>
    </row>
    <row r="13" spans="1:8">
      <c r="A13" s="1037"/>
      <c r="B13" s="1031" t="s">
        <v>1323</v>
      </c>
      <c r="C13" s="1029"/>
      <c r="D13" s="1029"/>
      <c r="E13" s="1029"/>
      <c r="F13" s="1029"/>
    </row>
    <row r="14" spans="1:8">
      <c r="A14" s="1037"/>
      <c r="B14" s="1029"/>
      <c r="C14" s="1029"/>
      <c r="D14" s="1029"/>
      <c r="E14" s="1029"/>
      <c r="F14" s="1029"/>
    </row>
    <row r="15" spans="1:8">
      <c r="A15" s="1037"/>
      <c r="B15" s="1029" t="s">
        <v>1217</v>
      </c>
      <c r="C15" s="1029"/>
      <c r="D15" s="1029"/>
      <c r="E15" s="1029"/>
      <c r="F15" s="1029"/>
    </row>
    <row r="16" spans="1:8">
      <c r="B16" s="1029"/>
      <c r="C16" s="1029"/>
      <c r="D16" s="1029"/>
      <c r="E16" s="1029"/>
      <c r="F16" s="1029"/>
    </row>
    <row r="17" spans="2:9" ht="15.75" thickBot="1"/>
    <row r="18" spans="2:9" ht="76.5" customHeight="1" thickBot="1">
      <c r="B18" s="532" t="s">
        <v>881</v>
      </c>
      <c r="C18" s="533" t="s">
        <v>882</v>
      </c>
      <c r="D18" s="533" t="s">
        <v>883</v>
      </c>
      <c r="E18" s="534" t="s">
        <v>884</v>
      </c>
      <c r="F18" s="533" t="s">
        <v>885</v>
      </c>
      <c r="G18" s="533" t="s">
        <v>886</v>
      </c>
      <c r="H18" s="533" t="s">
        <v>864</v>
      </c>
      <c r="I18" s="534" t="s">
        <v>887</v>
      </c>
    </row>
    <row r="19" spans="2:9" ht="21" customHeight="1" thickBot="1">
      <c r="B19" s="535">
        <v>1</v>
      </c>
      <c r="C19" s="1032" t="s">
        <v>867</v>
      </c>
      <c r="D19" s="537" t="s">
        <v>865</v>
      </c>
      <c r="E19" s="537">
        <v>252</v>
      </c>
      <c r="F19" s="537" t="s">
        <v>866</v>
      </c>
      <c r="G19" s="537">
        <v>252</v>
      </c>
      <c r="H19" s="538">
        <v>2520000000</v>
      </c>
      <c r="I19" s="537">
        <v>85</v>
      </c>
    </row>
    <row r="20" spans="2:9" ht="21" customHeight="1" thickBot="1">
      <c r="B20" s="535">
        <v>2</v>
      </c>
      <c r="C20" s="536" t="s">
        <v>978</v>
      </c>
      <c r="D20" s="537" t="s">
        <v>865</v>
      </c>
      <c r="E20" s="537">
        <v>30</v>
      </c>
      <c r="F20" s="537" t="s">
        <v>866</v>
      </c>
      <c r="G20" s="537">
        <v>30</v>
      </c>
      <c r="H20" s="538">
        <v>300000000</v>
      </c>
      <c r="I20" s="537">
        <v>10</v>
      </c>
    </row>
    <row r="21" spans="2:9" ht="21" customHeight="1">
      <c r="B21" s="1033"/>
      <c r="C21" s="1034"/>
      <c r="D21" s="1035"/>
      <c r="E21" s="1035"/>
      <c r="F21" s="1035"/>
      <c r="G21" s="1035"/>
      <c r="H21" s="1036"/>
      <c r="I21" s="1035"/>
    </row>
    <row r="22" spans="2:9">
      <c r="B22" s="440" t="s">
        <v>1218</v>
      </c>
      <c r="C22" s="409"/>
      <c r="D22" s="524"/>
      <c r="E22" s="409"/>
    </row>
    <row r="23" spans="2:9" ht="15.75" thickBot="1"/>
    <row r="24" spans="2:9" ht="30">
      <c r="B24" s="1038" t="s">
        <v>876</v>
      </c>
      <c r="C24" s="1039" t="s">
        <v>1209</v>
      </c>
    </row>
    <row r="25" spans="2:9">
      <c r="B25" s="431" t="s">
        <v>1210</v>
      </c>
      <c r="C25" s="1040">
        <v>0.75</v>
      </c>
    </row>
    <row r="26" spans="2:9">
      <c r="B26" s="431" t="s">
        <v>1178</v>
      </c>
      <c r="C26" s="1040">
        <v>0.6</v>
      </c>
    </row>
    <row r="27" spans="2:9">
      <c r="B27" s="431" t="s">
        <v>1335</v>
      </c>
      <c r="C27" s="1040">
        <v>0.5</v>
      </c>
    </row>
    <row r="28" spans="2:9">
      <c r="B28" s="431" t="s">
        <v>1213</v>
      </c>
      <c r="C28" s="1040">
        <v>0.5</v>
      </c>
    </row>
    <row r="29" spans="2:9">
      <c r="B29" s="431" t="s">
        <v>1281</v>
      </c>
      <c r="C29" s="1040">
        <v>0.5</v>
      </c>
    </row>
    <row r="30" spans="2:9">
      <c r="B30" s="431" t="s">
        <v>1332</v>
      </c>
      <c r="C30" s="1040">
        <v>0.5</v>
      </c>
    </row>
    <row r="31" spans="2:9">
      <c r="B31" s="431" t="s">
        <v>1212</v>
      </c>
      <c r="C31" s="1040">
        <v>0.25</v>
      </c>
    </row>
    <row r="32" spans="2:9">
      <c r="B32" s="431" t="s">
        <v>1214</v>
      </c>
      <c r="C32" s="1040">
        <v>0.2</v>
      </c>
    </row>
    <row r="33" spans="2:7">
      <c r="B33" s="1012" t="s">
        <v>1211</v>
      </c>
      <c r="C33" s="1041">
        <v>0.125</v>
      </c>
    </row>
    <row r="34" spans="2:7" ht="15.75" thickBot="1">
      <c r="B34" s="1042" t="s">
        <v>1333</v>
      </c>
      <c r="C34" s="1043">
        <v>7.1999999999999995E-2</v>
      </c>
    </row>
    <row r="35" spans="2:7">
      <c r="B35" s="913"/>
      <c r="C35" s="1044"/>
    </row>
    <row r="36" spans="2:7">
      <c r="B36" s="913"/>
      <c r="C36" s="1044"/>
    </row>
    <row r="37" spans="2:7" ht="15.75" thickBot="1">
      <c r="B37" s="913"/>
      <c r="C37" s="913"/>
    </row>
    <row r="38" spans="2:7" ht="55.5" customHeight="1">
      <c r="B38" s="1038" t="s">
        <v>876</v>
      </c>
      <c r="C38" s="1039" t="s">
        <v>1216</v>
      </c>
    </row>
    <row r="39" spans="2:7" ht="15.75" thickBot="1">
      <c r="B39" s="1042" t="s">
        <v>1215</v>
      </c>
      <c r="C39" s="1043">
        <v>0.33</v>
      </c>
    </row>
    <row r="40" spans="2:7">
      <c r="B40" s="913"/>
      <c r="C40" s="913"/>
    </row>
    <row r="41" spans="2:7">
      <c r="B41" s="1045" t="s">
        <v>1219</v>
      </c>
      <c r="C41" s="913"/>
    </row>
    <row r="43" spans="2:7">
      <c r="B43" s="552" t="s">
        <v>1336</v>
      </c>
      <c r="G43" s="524"/>
    </row>
    <row r="45" spans="2:7">
      <c r="B45" s="515" t="s">
        <v>1220</v>
      </c>
    </row>
    <row r="47" spans="2:7">
      <c r="B47" s="552" t="s">
        <v>1337</v>
      </c>
      <c r="G47" s="524"/>
    </row>
    <row r="48" spans="2:7">
      <c r="G48" s="524"/>
    </row>
    <row r="49" spans="2:8">
      <c r="B49" s="409" t="s">
        <v>1006</v>
      </c>
      <c r="C49" s="409"/>
      <c r="D49" s="409"/>
      <c r="E49" s="409"/>
      <c r="F49" s="409"/>
      <c r="G49" s="409"/>
    </row>
    <row r="52" spans="2:8">
      <c r="B52" s="554" t="s">
        <v>1007</v>
      </c>
      <c r="C52" s="554"/>
      <c r="D52" s="554"/>
      <c r="E52" s="554"/>
      <c r="F52" s="554"/>
      <c r="G52" s="554"/>
      <c r="H52" s="554"/>
    </row>
    <row r="54" spans="2:8" ht="76.5" customHeight="1">
      <c r="B54" s="948" t="s">
        <v>868</v>
      </c>
      <c r="C54" s="949" t="s">
        <v>869</v>
      </c>
      <c r="D54" s="949" t="s">
        <v>870</v>
      </c>
      <c r="E54" s="1254" t="s">
        <v>871</v>
      </c>
      <c r="F54" s="1254"/>
    </row>
    <row r="55" spans="2:8">
      <c r="B55" s="432" t="s">
        <v>872</v>
      </c>
      <c r="C55" s="432"/>
      <c r="D55" s="432"/>
      <c r="E55" s="1255"/>
      <c r="F55" s="1255"/>
    </row>
    <row r="58" spans="2:8">
      <c r="B58" s="804" t="s">
        <v>1008</v>
      </c>
    </row>
    <row r="60" spans="2:8" ht="12.75" customHeight="1">
      <c r="B60" s="948" t="s">
        <v>868</v>
      </c>
      <c r="C60" s="949" t="s">
        <v>873</v>
      </c>
      <c r="D60" s="949" t="s">
        <v>874</v>
      </c>
      <c r="E60" s="1254" t="s">
        <v>875</v>
      </c>
      <c r="F60" s="1254"/>
    </row>
    <row r="61" spans="2:8" ht="20.100000000000001" customHeight="1">
      <c r="B61" s="432" t="s">
        <v>872</v>
      </c>
      <c r="C61" s="432"/>
      <c r="D61" s="432"/>
      <c r="E61" s="1255"/>
      <c r="F61" s="1255"/>
    </row>
    <row r="65" spans="2:7" ht="20.100000000000001" customHeight="1">
      <c r="B65" s="804" t="s">
        <v>1009</v>
      </c>
    </row>
    <row r="67" spans="2:7" ht="20.100000000000001" customHeight="1">
      <c r="B67" s="432" t="s">
        <v>876</v>
      </c>
      <c r="C67" s="432" t="s">
        <v>877</v>
      </c>
    </row>
    <row r="68" spans="2:7" ht="20.100000000000001" customHeight="1">
      <c r="B68" s="432" t="s">
        <v>872</v>
      </c>
      <c r="C68" s="432"/>
    </row>
    <row r="70" spans="2:7">
      <c r="B70" s="807" t="s">
        <v>1010</v>
      </c>
    </row>
    <row r="71" spans="2:7">
      <c r="B71" s="807"/>
    </row>
    <row r="72" spans="2:7">
      <c r="B72" s="807" t="s">
        <v>1304</v>
      </c>
    </row>
    <row r="73" spans="2:7">
      <c r="B73" s="807"/>
    </row>
    <row r="74" spans="2:7">
      <c r="B74" s="552" t="s">
        <v>1011</v>
      </c>
    </row>
    <row r="75" spans="2:7">
      <c r="B75" s="807"/>
    </row>
    <row r="77" spans="2:7">
      <c r="C77" s="1046">
        <v>44926</v>
      </c>
      <c r="D77" s="1046">
        <v>44561</v>
      </c>
      <c r="E77" s="1046"/>
    </row>
    <row r="78" spans="2:7" ht="15.75" thickBot="1">
      <c r="C78" s="1046" t="s">
        <v>880</v>
      </c>
      <c r="D78" s="1046" t="s">
        <v>880</v>
      </c>
      <c r="E78" s="1046"/>
    </row>
    <row r="79" spans="2:7">
      <c r="B79" s="1047" t="s">
        <v>402</v>
      </c>
      <c r="C79" s="1048"/>
      <c r="D79" s="1049"/>
      <c r="E79" s="913"/>
      <c r="G79" s="524"/>
    </row>
    <row r="80" spans="2:7" ht="30">
      <c r="B80" s="1054" t="s">
        <v>1331</v>
      </c>
      <c r="C80" s="890"/>
      <c r="D80" s="433">
        <v>0</v>
      </c>
      <c r="E80" s="913"/>
      <c r="G80" s="524"/>
    </row>
    <row r="81" spans="2:7">
      <c r="B81" s="431" t="s">
        <v>1239</v>
      </c>
      <c r="C81" s="890">
        <v>195229</v>
      </c>
      <c r="D81" s="1050">
        <v>100659565</v>
      </c>
      <c r="E81" s="913"/>
      <c r="G81" s="524"/>
    </row>
    <row r="82" spans="2:7">
      <c r="B82" s="940" t="s">
        <v>878</v>
      </c>
      <c r="C82" s="1106">
        <f>+C81</f>
        <v>195229</v>
      </c>
      <c r="D82" s="1051">
        <f>+D81</f>
        <v>100659565</v>
      </c>
      <c r="E82" s="913"/>
    </row>
    <row r="83" spans="2:7">
      <c r="B83" s="1052" t="s">
        <v>839</v>
      </c>
      <c r="C83" s="1053"/>
      <c r="D83" s="433"/>
      <c r="E83" s="913"/>
    </row>
    <row r="84" spans="2:7" ht="30">
      <c r="B84" s="1054" t="s">
        <v>1242</v>
      </c>
      <c r="C84" s="885"/>
      <c r="D84" s="924"/>
      <c r="E84" s="914"/>
    </row>
    <row r="85" spans="2:7">
      <c r="B85" s="1015" t="s">
        <v>1334</v>
      </c>
      <c r="C85" s="885">
        <v>20061016</v>
      </c>
      <c r="D85" s="924">
        <v>326000478</v>
      </c>
      <c r="E85" s="914"/>
    </row>
    <row r="86" spans="2:7">
      <c r="B86" s="1015" t="s">
        <v>1043</v>
      </c>
      <c r="C86" s="885">
        <v>445679408</v>
      </c>
      <c r="D86" s="924">
        <v>605</v>
      </c>
      <c r="E86" s="914"/>
    </row>
    <row r="87" spans="2:7">
      <c r="B87" s="1015" t="s">
        <v>888</v>
      </c>
      <c r="C87" s="885">
        <v>25530061</v>
      </c>
      <c r="D87" s="924">
        <v>0</v>
      </c>
      <c r="E87" s="914"/>
    </row>
    <row r="88" spans="2:7">
      <c r="B88" s="1015" t="s">
        <v>1333</v>
      </c>
      <c r="C88" s="885">
        <v>216059110</v>
      </c>
      <c r="D88" s="924">
        <v>178152974.26199999</v>
      </c>
      <c r="E88" s="914"/>
    </row>
    <row r="89" spans="2:7">
      <c r="B89" s="1015" t="s">
        <v>1239</v>
      </c>
      <c r="C89" s="885">
        <v>349738838</v>
      </c>
      <c r="D89" s="924">
        <v>74971225.939999998</v>
      </c>
      <c r="E89" s="914"/>
    </row>
    <row r="90" spans="2:7">
      <c r="B90" s="1015" t="s">
        <v>1235</v>
      </c>
      <c r="C90" s="885">
        <v>1796739</v>
      </c>
      <c r="D90" s="924">
        <v>10388492.68</v>
      </c>
      <c r="E90" s="914"/>
    </row>
    <row r="91" spans="2:7">
      <c r="B91" s="1015" t="s">
        <v>1215</v>
      </c>
      <c r="C91" s="885">
        <v>542618</v>
      </c>
      <c r="D91" s="924">
        <v>63</v>
      </c>
      <c r="E91" s="914"/>
    </row>
    <row r="92" spans="2:7">
      <c r="B92" s="1015" t="s">
        <v>1213</v>
      </c>
      <c r="C92" s="885">
        <v>67142067</v>
      </c>
      <c r="D92" s="924">
        <v>94159912.189999998</v>
      </c>
      <c r="E92" s="914"/>
    </row>
    <row r="93" spans="2:7">
      <c r="B93" s="1015" t="s">
        <v>1212</v>
      </c>
      <c r="C93" s="885">
        <v>2452839645</v>
      </c>
      <c r="D93" s="924">
        <v>4475215566.8999996</v>
      </c>
      <c r="E93" s="914"/>
    </row>
    <row r="94" spans="2:7">
      <c r="B94" s="1015" t="s">
        <v>1178</v>
      </c>
      <c r="C94" s="885">
        <v>65863091</v>
      </c>
      <c r="D94" s="924">
        <v>29374015</v>
      </c>
      <c r="E94" s="914"/>
    </row>
    <row r="95" spans="2:7">
      <c r="B95" s="1055" t="s">
        <v>1281</v>
      </c>
      <c r="C95" s="1056">
        <v>0</v>
      </c>
      <c r="D95" s="1014">
        <v>0</v>
      </c>
      <c r="E95" s="914"/>
    </row>
    <row r="96" spans="2:7">
      <c r="B96" s="1055" t="s">
        <v>1332</v>
      </c>
      <c r="C96" s="1056">
        <v>1408913</v>
      </c>
      <c r="D96" s="1014">
        <v>0</v>
      </c>
      <c r="E96" s="914"/>
    </row>
    <row r="97" spans="2:5" s="515" customFormat="1" ht="15.75" thickBot="1">
      <c r="B97" s="1057" t="s">
        <v>879</v>
      </c>
      <c r="C97" s="1058">
        <f>SUM(C84:C96)</f>
        <v>3646661506</v>
      </c>
      <c r="D97" s="1059">
        <f>SUM(D85:D96)</f>
        <v>5188263332.9719992</v>
      </c>
      <c r="E97" s="1060"/>
    </row>
    <row r="98" spans="2:5" s="515" customFormat="1">
      <c r="B98" s="1045"/>
      <c r="C98" s="1060"/>
      <c r="D98" s="1060"/>
      <c r="E98" s="1060"/>
    </row>
    <row r="99" spans="2:5">
      <c r="C99" s="1046">
        <v>44926</v>
      </c>
      <c r="D99" s="1046">
        <v>44561</v>
      </c>
      <c r="E99" s="1046"/>
    </row>
    <row r="100" spans="2:5" ht="15.75" thickBot="1">
      <c r="C100" s="1046" t="s">
        <v>880</v>
      </c>
      <c r="D100" s="1046" t="s">
        <v>880</v>
      </c>
      <c r="E100" s="1046"/>
    </row>
    <row r="101" spans="2:5">
      <c r="B101" s="1047" t="s">
        <v>668</v>
      </c>
      <c r="C101" s="1061"/>
      <c r="D101" s="1049"/>
      <c r="E101" s="913"/>
    </row>
    <row r="102" spans="2:5">
      <c r="B102" s="940" t="s">
        <v>1245</v>
      </c>
      <c r="C102" s="1062">
        <f>SUM(C103:C110)</f>
        <v>41254775</v>
      </c>
      <c r="D102" s="1063">
        <f>SUM(D103:D110)</f>
        <v>17898520</v>
      </c>
      <c r="E102" s="913"/>
    </row>
    <row r="103" spans="2:5">
      <c r="B103" s="431" t="s">
        <v>1333</v>
      </c>
      <c r="C103" s="890">
        <v>6216891</v>
      </c>
      <c r="D103" s="1050">
        <v>5832015.4545454541</v>
      </c>
      <c r="E103" s="913"/>
    </row>
    <row r="104" spans="2:5">
      <c r="B104" s="431" t="s">
        <v>1043</v>
      </c>
      <c r="C104" s="885">
        <v>0</v>
      </c>
      <c r="D104" s="1050">
        <v>3545336.3636363633</v>
      </c>
      <c r="E104" s="913"/>
    </row>
    <row r="105" spans="2:5">
      <c r="B105" s="431" t="s">
        <v>1239</v>
      </c>
      <c r="C105" s="890">
        <v>6091259</v>
      </c>
      <c r="D105" s="1050">
        <v>1356380</v>
      </c>
      <c r="E105" s="913"/>
    </row>
    <row r="106" spans="2:5">
      <c r="B106" s="431" t="s">
        <v>1235</v>
      </c>
      <c r="C106" s="890">
        <v>173405</v>
      </c>
      <c r="D106" s="1050">
        <v>238557.27272727271</v>
      </c>
      <c r="E106" s="913"/>
    </row>
    <row r="107" spans="2:5">
      <c r="B107" s="431" t="s">
        <v>1213</v>
      </c>
      <c r="C107" s="885">
        <v>564125</v>
      </c>
      <c r="D107" s="1050">
        <v>5569850.9090909082</v>
      </c>
      <c r="E107" s="913"/>
    </row>
    <row r="108" spans="2:5">
      <c r="B108" s="431" t="s">
        <v>1212</v>
      </c>
      <c r="C108" s="885">
        <v>27834454</v>
      </c>
      <c r="D108" s="1050">
        <v>1356380</v>
      </c>
      <c r="E108" s="913"/>
    </row>
    <row r="109" spans="2:5">
      <c r="B109" s="431" t="s">
        <v>1281</v>
      </c>
      <c r="C109" s="885">
        <v>346181</v>
      </c>
      <c r="D109" s="1014">
        <v>0</v>
      </c>
      <c r="E109" s="913"/>
    </row>
    <row r="110" spans="2:5">
      <c r="B110" s="431" t="s">
        <v>1332</v>
      </c>
      <c r="C110" s="885">
        <v>28460</v>
      </c>
      <c r="D110" s="1014">
        <v>0</v>
      </c>
      <c r="E110" s="913"/>
    </row>
    <row r="111" spans="2:5">
      <c r="B111" s="940" t="s">
        <v>1237</v>
      </c>
      <c r="C111" s="1062">
        <f>+C112+C113+C114+C115</f>
        <v>1844093753</v>
      </c>
      <c r="D111" s="1063">
        <f>+D112+D113</f>
        <v>1044348250.9090909</v>
      </c>
      <c r="E111" s="913"/>
    </row>
    <row r="112" spans="2:5">
      <c r="B112" s="431" t="s">
        <v>1239</v>
      </c>
      <c r="C112" s="890">
        <v>1282931747</v>
      </c>
      <c r="D112" s="1050">
        <v>950953150.90909088</v>
      </c>
      <c r="E112" s="913"/>
    </row>
    <row r="113" spans="2:6">
      <c r="B113" s="431" t="s">
        <v>1333</v>
      </c>
      <c r="C113" s="885"/>
      <c r="D113" s="1050">
        <v>93395099.999999985</v>
      </c>
      <c r="E113" s="913"/>
    </row>
    <row r="114" spans="2:6">
      <c r="B114" s="1055" t="s">
        <v>1281</v>
      </c>
      <c r="C114" s="885">
        <v>336951290</v>
      </c>
      <c r="D114" s="1014">
        <v>0</v>
      </c>
      <c r="E114" s="913"/>
    </row>
    <row r="115" spans="2:6">
      <c r="B115" s="1055" t="s">
        <v>1332</v>
      </c>
      <c r="C115" s="885">
        <v>224210716</v>
      </c>
      <c r="D115" s="1014">
        <v>0</v>
      </c>
      <c r="E115" s="913"/>
    </row>
    <row r="116" spans="2:6">
      <c r="B116" s="940" t="s">
        <v>829</v>
      </c>
      <c r="C116" s="1062">
        <f>+C102+C111</f>
        <v>1885348528</v>
      </c>
      <c r="D116" s="1063">
        <f>+D102+D111</f>
        <v>1062246770.9090909</v>
      </c>
      <c r="E116" s="913"/>
    </row>
    <row r="117" spans="2:6">
      <c r="B117" s="1052" t="s">
        <v>346</v>
      </c>
      <c r="C117" s="890"/>
      <c r="D117" s="433"/>
      <c r="E117" s="913"/>
    </row>
    <row r="118" spans="2:6" ht="30">
      <c r="B118" s="1054" t="s">
        <v>1240</v>
      </c>
      <c r="C118" s="1062"/>
      <c r="D118" s="433"/>
      <c r="E118" s="913"/>
    </row>
    <row r="119" spans="2:6">
      <c r="B119" s="1012" t="s">
        <v>1043</v>
      </c>
      <c r="C119" s="1064">
        <v>39000000</v>
      </c>
      <c r="D119" s="1065">
        <v>39000000</v>
      </c>
      <c r="E119" s="913"/>
    </row>
    <row r="120" spans="2:6">
      <c r="B120" s="1012" t="s">
        <v>1178</v>
      </c>
      <c r="C120" s="1064">
        <v>4000000</v>
      </c>
      <c r="D120" s="1065">
        <v>4454545</v>
      </c>
      <c r="E120" s="913"/>
    </row>
    <row r="121" spans="2:6">
      <c r="B121" s="1012" t="s">
        <v>1333</v>
      </c>
      <c r="C121" s="1064">
        <v>2503740</v>
      </c>
      <c r="D121" s="1065">
        <v>1840635</v>
      </c>
      <c r="E121" s="913"/>
    </row>
    <row r="122" spans="2:6">
      <c r="B122" s="1012" t="s">
        <v>1235</v>
      </c>
      <c r="C122" s="885">
        <v>1015249</v>
      </c>
      <c r="D122" s="1065">
        <v>3074430</v>
      </c>
      <c r="E122" s="913"/>
    </row>
    <row r="123" spans="2:6" ht="15.75" thickBot="1">
      <c r="B123" s="1057" t="s">
        <v>830</v>
      </c>
      <c r="C123" s="1066">
        <f>SUM(C119:C122)</f>
        <v>46518989</v>
      </c>
      <c r="D123" s="1067">
        <f>SUM(D119:D122)</f>
        <v>48369610</v>
      </c>
      <c r="E123" s="913"/>
    </row>
    <row r="125" spans="2:6">
      <c r="B125" s="552" t="s">
        <v>1011</v>
      </c>
    </row>
    <row r="127" spans="2:6" ht="15.75" thickBot="1"/>
    <row r="128" spans="2:6" ht="33.75" customHeight="1">
      <c r="B128" s="1250" t="s">
        <v>813</v>
      </c>
      <c r="C128" s="1252" t="s">
        <v>812</v>
      </c>
      <c r="D128" s="1252" t="s">
        <v>814</v>
      </c>
      <c r="E128" s="1248" t="s">
        <v>827</v>
      </c>
      <c r="F128" s="1249"/>
    </row>
    <row r="129" spans="2:9" ht="15.75" thickBot="1">
      <c r="B129" s="1256"/>
      <c r="C129" s="1257"/>
      <c r="D129" s="1257"/>
      <c r="E129" s="926" t="s">
        <v>1305</v>
      </c>
      <c r="F129" s="931" t="s">
        <v>1278</v>
      </c>
    </row>
    <row r="130" spans="2:9" ht="30">
      <c r="B130" s="1068" t="s">
        <v>1334</v>
      </c>
      <c r="C130" s="1069" t="s">
        <v>818</v>
      </c>
      <c r="D130" s="1070" t="s">
        <v>756</v>
      </c>
      <c r="E130" s="1071">
        <v>20061016</v>
      </c>
      <c r="F130" s="1072">
        <v>326000478</v>
      </c>
    </row>
    <row r="131" spans="2:9" ht="30">
      <c r="B131" s="1073" t="s">
        <v>1043</v>
      </c>
      <c r="C131" s="933" t="s">
        <v>818</v>
      </c>
      <c r="D131" s="1074" t="s">
        <v>756</v>
      </c>
      <c r="E131" s="1075">
        <v>439079408</v>
      </c>
      <c r="F131" s="1076">
        <v>605</v>
      </c>
      <c r="G131" s="913"/>
      <c r="H131" s="913"/>
      <c r="I131" s="913"/>
    </row>
    <row r="132" spans="2:9" ht="30">
      <c r="B132" s="954" t="s">
        <v>1043</v>
      </c>
      <c r="C132" s="948" t="s">
        <v>818</v>
      </c>
      <c r="D132" s="949" t="s">
        <v>1255</v>
      </c>
      <c r="E132" s="1075">
        <v>6600000</v>
      </c>
      <c r="F132" s="1076">
        <v>0</v>
      </c>
      <c r="G132" s="1077"/>
      <c r="H132" s="1077"/>
      <c r="I132" s="1045"/>
    </row>
    <row r="133" spans="2:9" ht="30">
      <c r="B133" s="954" t="s">
        <v>888</v>
      </c>
      <c r="C133" s="948" t="s">
        <v>818</v>
      </c>
      <c r="D133" s="1074" t="s">
        <v>756</v>
      </c>
      <c r="E133" s="1075">
        <v>25530061</v>
      </c>
      <c r="F133" s="1076">
        <v>0</v>
      </c>
      <c r="G133" s="1077"/>
      <c r="H133" s="1077"/>
      <c r="I133" s="1045"/>
    </row>
    <row r="134" spans="2:9" ht="30">
      <c r="B134" s="1073" t="s">
        <v>1333</v>
      </c>
      <c r="C134" s="1078" t="s">
        <v>1243</v>
      </c>
      <c r="D134" s="1074" t="s">
        <v>756</v>
      </c>
      <c r="E134" s="1075">
        <v>216059110</v>
      </c>
      <c r="F134" s="1076">
        <v>178152974.26199999</v>
      </c>
      <c r="G134" s="913"/>
      <c r="H134" s="913"/>
      <c r="I134" s="913"/>
    </row>
    <row r="135" spans="2:9" ht="30">
      <c r="B135" s="1073" t="s">
        <v>1239</v>
      </c>
      <c r="C135" s="1078" t="s">
        <v>1243</v>
      </c>
      <c r="D135" s="1074" t="s">
        <v>756</v>
      </c>
      <c r="E135" s="1075">
        <v>349738838</v>
      </c>
      <c r="F135" s="1076">
        <v>74971225.939999998</v>
      </c>
    </row>
    <row r="136" spans="2:9">
      <c r="B136" s="957" t="s">
        <v>1239</v>
      </c>
      <c r="C136" s="1078" t="s">
        <v>1243</v>
      </c>
      <c r="D136" s="949" t="s">
        <v>1241</v>
      </c>
      <c r="E136" s="951">
        <v>195229</v>
      </c>
      <c r="F136" s="952">
        <v>100659565.1592</v>
      </c>
    </row>
    <row r="137" spans="2:9" ht="30">
      <c r="B137" s="1073" t="s">
        <v>1235</v>
      </c>
      <c r="C137" s="1078" t="s">
        <v>1243</v>
      </c>
      <c r="D137" s="1074" t="s">
        <v>756</v>
      </c>
      <c r="E137" s="1075">
        <v>1796739</v>
      </c>
      <c r="F137" s="1076">
        <v>10388492.68</v>
      </c>
    </row>
    <row r="138" spans="2:9" ht="30">
      <c r="B138" s="1073" t="s">
        <v>1215</v>
      </c>
      <c r="C138" s="1078" t="s">
        <v>1243</v>
      </c>
      <c r="D138" s="1074" t="s">
        <v>756</v>
      </c>
      <c r="E138" s="1075">
        <v>542618</v>
      </c>
      <c r="F138" s="1076">
        <v>63</v>
      </c>
    </row>
    <row r="139" spans="2:9" ht="30">
      <c r="B139" s="1073" t="s">
        <v>1213</v>
      </c>
      <c r="C139" s="1078" t="s">
        <v>1243</v>
      </c>
      <c r="D139" s="1074" t="s">
        <v>756</v>
      </c>
      <c r="E139" s="1075">
        <v>67142067</v>
      </c>
      <c r="F139" s="1076">
        <v>94159912.189999998</v>
      </c>
    </row>
    <row r="140" spans="2:9" ht="30">
      <c r="B140" s="1073" t="s">
        <v>1212</v>
      </c>
      <c r="C140" s="1078" t="s">
        <v>1243</v>
      </c>
      <c r="D140" s="1074" t="s">
        <v>756</v>
      </c>
      <c r="E140" s="1075">
        <v>2452839645</v>
      </c>
      <c r="F140" s="1076">
        <v>4475215566.8999996</v>
      </c>
    </row>
    <row r="141" spans="2:9" ht="45">
      <c r="B141" s="954" t="s">
        <v>1178</v>
      </c>
      <c r="C141" s="1078" t="s">
        <v>1243</v>
      </c>
      <c r="D141" s="949" t="s">
        <v>1291</v>
      </c>
      <c r="E141" s="951">
        <v>37091316</v>
      </c>
      <c r="F141" s="952">
        <v>29374015</v>
      </c>
    </row>
    <row r="142" spans="2:9">
      <c r="B142" s="954" t="s">
        <v>1178</v>
      </c>
      <c r="C142" s="1078" t="s">
        <v>1243</v>
      </c>
      <c r="D142" s="949" t="s">
        <v>1292</v>
      </c>
      <c r="E142" s="951">
        <v>28771775</v>
      </c>
      <c r="F142" s="952">
        <v>0</v>
      </c>
    </row>
    <row r="143" spans="2:9" ht="30">
      <c r="B143" s="954" t="s">
        <v>1281</v>
      </c>
      <c r="C143" s="1078" t="s">
        <v>1243</v>
      </c>
      <c r="D143" s="1074" t="s">
        <v>756</v>
      </c>
      <c r="E143" s="951">
        <v>0</v>
      </c>
      <c r="F143" s="952">
        <v>0</v>
      </c>
    </row>
    <row r="144" spans="2:9" ht="30">
      <c r="B144" s="954" t="s">
        <v>1332</v>
      </c>
      <c r="C144" s="1078" t="s">
        <v>1243</v>
      </c>
      <c r="D144" s="1074" t="s">
        <v>756</v>
      </c>
      <c r="E144" s="951">
        <v>1408913.4552</v>
      </c>
      <c r="F144" s="952">
        <v>0</v>
      </c>
    </row>
    <row r="145" spans="2:11">
      <c r="B145" s="434" t="s">
        <v>972</v>
      </c>
      <c r="C145" s="435"/>
      <c r="D145" s="435"/>
      <c r="E145" s="887">
        <f>+E136</f>
        <v>195229</v>
      </c>
      <c r="F145" s="925">
        <f>+F136</f>
        <v>100659565.1592</v>
      </c>
    </row>
    <row r="146" spans="2:11" ht="15.75" thickBot="1">
      <c r="B146" s="437" t="s">
        <v>973</v>
      </c>
      <c r="C146" s="438"/>
      <c r="D146" s="438"/>
      <c r="E146" s="927">
        <f>+E130+E131+E132+E133+E134+E135+E137+E138+E139+E140+E141+E142+E143+E144</f>
        <v>3646661506.4552002</v>
      </c>
      <c r="F146" s="928">
        <f>+F130+F131+F134+F135+F137+F138+F139+F140+F141</f>
        <v>5188263332.9719992</v>
      </c>
      <c r="K146" s="953"/>
    </row>
    <row r="147" spans="2:11">
      <c r="K147" s="953"/>
    </row>
    <row r="148" spans="2:11">
      <c r="K148" s="953"/>
    </row>
    <row r="149" spans="2:11" ht="15.75" thickBot="1">
      <c r="K149" s="953"/>
    </row>
    <row r="150" spans="2:11">
      <c r="B150" s="944" t="s">
        <v>828</v>
      </c>
      <c r="C150" s="975" t="s">
        <v>812</v>
      </c>
      <c r="D150" s="975" t="s">
        <v>829</v>
      </c>
      <c r="E150" s="976" t="s">
        <v>830</v>
      </c>
      <c r="I150" s="953"/>
    </row>
    <row r="151" spans="2:11">
      <c r="B151" s="957" t="s">
        <v>1178</v>
      </c>
      <c r="C151" s="948" t="s">
        <v>1179</v>
      </c>
      <c r="D151" s="1079">
        <v>0</v>
      </c>
      <c r="E151" s="979">
        <v>4000000</v>
      </c>
      <c r="I151" s="953"/>
    </row>
    <row r="152" spans="2:11">
      <c r="B152" s="957" t="s">
        <v>1043</v>
      </c>
      <c r="C152" s="948" t="s">
        <v>818</v>
      </c>
      <c r="D152" s="977">
        <v>0</v>
      </c>
      <c r="E152" s="979">
        <v>39000000</v>
      </c>
      <c r="I152" s="953"/>
    </row>
    <row r="153" spans="2:11">
      <c r="B153" s="957" t="s">
        <v>1333</v>
      </c>
      <c r="C153" s="1078" t="s">
        <v>1243</v>
      </c>
      <c r="D153" s="977">
        <v>6216891</v>
      </c>
      <c r="E153" s="979">
        <v>2503740</v>
      </c>
      <c r="I153" s="953"/>
    </row>
    <row r="154" spans="2:11">
      <c r="B154" s="957" t="s">
        <v>1235</v>
      </c>
      <c r="C154" s="1078" t="s">
        <v>1243</v>
      </c>
      <c r="D154" s="977">
        <v>173405</v>
      </c>
      <c r="E154" s="979">
        <v>1015249</v>
      </c>
      <c r="I154" s="953"/>
    </row>
    <row r="155" spans="2:11">
      <c r="B155" s="957" t="s">
        <v>1238</v>
      </c>
      <c r="C155" s="1078" t="s">
        <v>1243</v>
      </c>
      <c r="D155" s="977">
        <v>27834454</v>
      </c>
      <c r="E155" s="1080">
        <v>0</v>
      </c>
      <c r="I155" s="953"/>
    </row>
    <row r="156" spans="2:11">
      <c r="B156" s="957" t="s">
        <v>1239</v>
      </c>
      <c r="C156" s="1078" t="s">
        <v>1243</v>
      </c>
      <c r="D156" s="977">
        <v>1289023006</v>
      </c>
      <c r="E156" s="1080">
        <v>0</v>
      </c>
      <c r="I156" s="953"/>
    </row>
    <row r="157" spans="2:11">
      <c r="B157" s="957" t="s">
        <v>1213</v>
      </c>
      <c r="C157" s="1078" t="s">
        <v>1243</v>
      </c>
      <c r="D157" s="977">
        <v>564125</v>
      </c>
      <c r="E157" s="1080">
        <v>0</v>
      </c>
      <c r="I157" s="953"/>
    </row>
    <row r="158" spans="2:11">
      <c r="B158" s="957" t="s">
        <v>1281</v>
      </c>
      <c r="C158" s="1078" t="s">
        <v>1243</v>
      </c>
      <c r="D158" s="977">
        <v>337297471</v>
      </c>
      <c r="E158" s="1080">
        <v>0</v>
      </c>
      <c r="I158" s="953"/>
    </row>
    <row r="159" spans="2:11">
      <c r="B159" s="957" t="s">
        <v>1332</v>
      </c>
      <c r="C159" s="1078" t="s">
        <v>1243</v>
      </c>
      <c r="D159" s="977">
        <v>224239176</v>
      </c>
      <c r="E159" s="1080">
        <v>0</v>
      </c>
      <c r="I159" s="953"/>
    </row>
    <row r="160" spans="2:11">
      <c r="B160" s="434" t="s">
        <v>766</v>
      </c>
      <c r="C160" s="886"/>
      <c r="D160" s="887">
        <f>SUM(D151:D159)</f>
        <v>1885348528</v>
      </c>
      <c r="E160" s="925">
        <f>SUM(E151:E159)</f>
        <v>46518989</v>
      </c>
      <c r="I160" s="953"/>
    </row>
    <row r="161" spans="2:11" ht="15.75" thickBot="1">
      <c r="B161" s="1098" t="s">
        <v>1280</v>
      </c>
      <c r="C161" s="1101"/>
      <c r="D161" s="1099">
        <v>1062246770.4545454</v>
      </c>
      <c r="E161" s="1100">
        <v>48369610</v>
      </c>
      <c r="I161" s="953"/>
    </row>
    <row r="162" spans="2:11">
      <c r="K162" s="953"/>
    </row>
    <row r="163" spans="2:11">
      <c r="K163" s="953"/>
    </row>
    <row r="164" spans="2:11">
      <c r="K164" s="953"/>
    </row>
    <row r="166" spans="2:11">
      <c r="B166" s="1029" t="s">
        <v>1324</v>
      </c>
    </row>
    <row r="177" spans="2:8">
      <c r="B177" s="1116" t="s">
        <v>1043</v>
      </c>
      <c r="C177" s="1116"/>
      <c r="D177" s="1116"/>
      <c r="E177" s="1116"/>
      <c r="F177" s="1116"/>
      <c r="G177" s="1116"/>
      <c r="H177" s="1116"/>
    </row>
    <row r="178" spans="2:8">
      <c r="B178" s="1116" t="s">
        <v>1117</v>
      </c>
      <c r="C178" s="1116"/>
      <c r="D178" s="1116"/>
      <c r="E178" s="1116"/>
      <c r="F178" s="1116"/>
      <c r="G178" s="1116"/>
      <c r="H178" s="1116"/>
    </row>
    <row r="179" spans="2:8">
      <c r="B179" s="1116" t="s">
        <v>1014</v>
      </c>
      <c r="C179" s="1116"/>
      <c r="D179" s="1116"/>
      <c r="E179" s="1116"/>
      <c r="F179" s="1116"/>
      <c r="G179" s="1116"/>
      <c r="H179" s="1116"/>
    </row>
  </sheetData>
  <sortState ref="B22:C31">
    <sortCondition descending="1" ref="C22:C31"/>
  </sortState>
  <mergeCells count="11">
    <mergeCell ref="B177:H177"/>
    <mergeCell ref="B178:H178"/>
    <mergeCell ref="B179:H179"/>
    <mergeCell ref="E54:F54"/>
    <mergeCell ref="E55:F55"/>
    <mergeCell ref="E60:F60"/>
    <mergeCell ref="E61:F61"/>
    <mergeCell ref="B128:B129"/>
    <mergeCell ref="C128:C129"/>
    <mergeCell ref="D128:D129"/>
    <mergeCell ref="E128:F12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10"/>
  </sheetPr>
  <dimension ref="A1:N44"/>
  <sheetViews>
    <sheetView showGridLines="0" zoomScale="75" zoomScaleNormal="75" workbookViewId="0">
      <selection activeCell="B17" sqref="B17"/>
    </sheetView>
  </sheetViews>
  <sheetFormatPr baseColWidth="10" defaultColWidth="11.42578125" defaultRowHeight="14.25"/>
  <cols>
    <col min="1" max="1" width="35" style="64" customWidth="1"/>
    <col min="2" max="2" width="15.5703125" style="64" customWidth="1"/>
    <col min="3" max="3" width="14.28515625" style="64" customWidth="1"/>
    <col min="4" max="5" width="13.28515625" style="64" customWidth="1"/>
    <col min="6" max="6" width="14" style="64" customWidth="1"/>
    <col min="7" max="7" width="15.28515625" style="64" customWidth="1"/>
    <col min="8" max="8" width="17.28515625" style="64" customWidth="1"/>
    <col min="9" max="14" width="16.85546875" style="64" customWidth="1"/>
    <col min="15" max="16384" width="11.42578125" style="64"/>
  </cols>
  <sheetData>
    <row r="1" spans="1:14">
      <c r="A1" s="1258" t="s">
        <v>239</v>
      </c>
      <c r="B1" s="1258"/>
      <c r="C1" s="1258"/>
      <c r="D1" s="1258"/>
      <c r="E1" s="1258"/>
      <c r="F1" s="1258"/>
      <c r="G1" s="1258"/>
      <c r="H1" s="1258"/>
      <c r="I1" s="1258"/>
      <c r="J1" s="1258"/>
      <c r="K1" s="1258"/>
      <c r="L1" s="1258"/>
      <c r="M1" s="1258"/>
      <c r="N1" s="1258"/>
    </row>
    <row r="2" spans="1:14">
      <c r="A2" s="1258" t="s">
        <v>283</v>
      </c>
      <c r="B2" s="1258"/>
      <c r="C2" s="1258"/>
      <c r="D2" s="1258"/>
      <c r="E2" s="1258"/>
      <c r="F2" s="1258"/>
      <c r="G2" s="1258"/>
      <c r="H2" s="1258"/>
      <c r="I2" s="1258"/>
      <c r="J2" s="1258"/>
      <c r="K2" s="1258"/>
      <c r="L2" s="1258"/>
      <c r="M2" s="1258"/>
      <c r="N2" s="65" t="s">
        <v>284</v>
      </c>
    </row>
    <row r="3" spans="1:14">
      <c r="A3" s="1258" t="s">
        <v>285</v>
      </c>
      <c r="B3" s="1258"/>
      <c r="C3" s="1258"/>
      <c r="D3" s="1258"/>
      <c r="E3" s="1258"/>
      <c r="F3" s="1258"/>
      <c r="G3" s="1258"/>
      <c r="H3" s="1258"/>
      <c r="I3" s="1258"/>
      <c r="J3" s="1258"/>
      <c r="K3" s="1258"/>
      <c r="L3" s="1258"/>
      <c r="M3" s="1258"/>
      <c r="N3" s="1258"/>
    </row>
    <row r="4" spans="1:14" ht="15">
      <c r="A4" s="66"/>
      <c r="B4" s="1261" t="s">
        <v>228</v>
      </c>
      <c r="C4" s="1261"/>
      <c r="D4" s="1261"/>
      <c r="E4" s="1261"/>
      <c r="F4" s="1261"/>
      <c r="G4" s="1261"/>
      <c r="H4" s="1261"/>
      <c r="I4" s="1261"/>
      <c r="J4" s="1261"/>
      <c r="K4" s="1261"/>
      <c r="L4" s="1261"/>
      <c r="M4" s="1261"/>
      <c r="N4" s="1261"/>
    </row>
    <row r="5" spans="1:14">
      <c r="A5" s="1258" t="s">
        <v>286</v>
      </c>
      <c r="B5" s="1258"/>
      <c r="C5" s="1258"/>
      <c r="D5" s="1258"/>
      <c r="E5" s="1258"/>
      <c r="F5" s="1258"/>
      <c r="G5" s="1258"/>
      <c r="H5" s="1258"/>
      <c r="I5" s="1258"/>
      <c r="J5" s="1258"/>
      <c r="K5" s="1258"/>
      <c r="L5" s="1258"/>
      <c r="M5" s="1258"/>
      <c r="N5" s="1258"/>
    </row>
    <row r="6" spans="1:14">
      <c r="A6" s="1258" t="s">
        <v>287</v>
      </c>
      <c r="B6" s="1258"/>
      <c r="C6" s="1258"/>
      <c r="D6" s="1258"/>
      <c r="E6" s="1258"/>
      <c r="F6" s="1258"/>
      <c r="G6" s="1258"/>
      <c r="H6" s="1258"/>
      <c r="I6" s="1258"/>
      <c r="J6" s="1258"/>
      <c r="K6" s="1258"/>
      <c r="L6" s="1258"/>
      <c r="M6" s="1258"/>
      <c r="N6" s="1258"/>
    </row>
    <row r="7" spans="1:14">
      <c r="A7" s="1258" t="s">
        <v>245</v>
      </c>
      <c r="B7" s="1258"/>
      <c r="C7" s="1258"/>
      <c r="D7" s="1258"/>
      <c r="E7" s="1258"/>
      <c r="F7" s="1258"/>
      <c r="G7" s="1258"/>
      <c r="H7" s="1258"/>
      <c r="I7" s="1258"/>
      <c r="J7" s="1258"/>
      <c r="K7" s="1258"/>
      <c r="L7" s="1258"/>
      <c r="M7" s="1258"/>
      <c r="N7" s="1258"/>
    </row>
    <row r="8" spans="1:14" ht="15">
      <c r="A8" s="68"/>
      <c r="B8" s="68"/>
      <c r="C8" s="68"/>
      <c r="D8" s="68"/>
      <c r="E8" s="68"/>
      <c r="F8" s="68"/>
      <c r="G8" s="68"/>
      <c r="H8" s="68"/>
      <c r="I8" s="68"/>
      <c r="J8" s="68"/>
      <c r="K8" s="68"/>
      <c r="L8" s="68"/>
      <c r="M8" s="68"/>
      <c r="N8" s="69"/>
    </row>
    <row r="9" spans="1:14" ht="15">
      <c r="A9" s="70"/>
      <c r="B9" s="1259" t="s">
        <v>288</v>
      </c>
      <c r="C9" s="1259"/>
      <c r="D9" s="1259"/>
      <c r="E9" s="1259"/>
      <c r="F9" s="1259"/>
      <c r="G9" s="1259"/>
      <c r="H9" s="1260" t="s">
        <v>289</v>
      </c>
      <c r="I9" s="1260"/>
      <c r="J9" s="1260"/>
      <c r="K9" s="1260"/>
      <c r="L9" s="1260"/>
      <c r="M9" s="1260"/>
      <c r="N9" s="71"/>
    </row>
    <row r="10" spans="1:14" ht="15">
      <c r="A10" s="72"/>
      <c r="B10" s="67" t="s">
        <v>290</v>
      </c>
      <c r="C10" s="67"/>
      <c r="D10" s="67"/>
      <c r="E10" s="67"/>
      <c r="F10" s="67"/>
      <c r="G10" s="67" t="s">
        <v>290</v>
      </c>
      <c r="H10" s="73" t="s">
        <v>290</v>
      </c>
      <c r="I10" s="67"/>
      <c r="J10" s="67"/>
      <c r="K10" s="67"/>
      <c r="L10" s="67"/>
      <c r="M10" s="71" t="s">
        <v>290</v>
      </c>
      <c r="N10" s="71" t="s">
        <v>249</v>
      </c>
    </row>
    <row r="11" spans="1:14" ht="15">
      <c r="A11" s="74" t="s">
        <v>291</v>
      </c>
      <c r="B11" s="75">
        <v>39082</v>
      </c>
      <c r="C11" s="69" t="s">
        <v>292</v>
      </c>
      <c r="D11" s="69" t="s">
        <v>293</v>
      </c>
      <c r="E11" s="69" t="s">
        <v>294</v>
      </c>
      <c r="F11" s="69" t="s">
        <v>295</v>
      </c>
      <c r="G11" s="75">
        <v>39447</v>
      </c>
      <c r="H11" s="76">
        <v>39082</v>
      </c>
      <c r="I11" s="69" t="s">
        <v>292</v>
      </c>
      <c r="J11" s="69" t="s">
        <v>293</v>
      </c>
      <c r="K11" s="69" t="s">
        <v>294</v>
      </c>
      <c r="L11" s="69" t="s">
        <v>295</v>
      </c>
      <c r="M11" s="77">
        <v>39447</v>
      </c>
      <c r="N11" s="78" t="s">
        <v>296</v>
      </c>
    </row>
    <row r="12" spans="1:14" ht="15">
      <c r="A12" s="72"/>
      <c r="B12" s="79"/>
      <c r="C12" s="79"/>
      <c r="D12" s="79"/>
      <c r="E12" s="79"/>
      <c r="F12" s="79"/>
      <c r="G12" s="80"/>
      <c r="H12" s="79"/>
      <c r="I12" s="79"/>
      <c r="J12" s="79"/>
      <c r="K12" s="79"/>
      <c r="L12" s="79"/>
      <c r="M12" s="80"/>
      <c r="N12" s="81"/>
    </row>
    <row r="13" spans="1:14" ht="15">
      <c r="A13" s="82" t="s">
        <v>297</v>
      </c>
      <c r="B13" s="83"/>
      <c r="C13" s="79"/>
      <c r="D13" s="83"/>
      <c r="E13" s="83"/>
      <c r="F13" s="83"/>
      <c r="G13" s="84"/>
      <c r="H13" s="83"/>
      <c r="I13" s="79"/>
      <c r="J13" s="83"/>
      <c r="K13" s="83"/>
      <c r="L13" s="83"/>
      <c r="M13" s="84"/>
      <c r="N13" s="84"/>
    </row>
    <row r="14" spans="1:14" ht="15">
      <c r="A14" s="72"/>
      <c r="B14" s="79"/>
      <c r="C14" s="79"/>
      <c r="D14" s="79"/>
      <c r="E14" s="79"/>
      <c r="F14" s="79"/>
      <c r="G14" s="85"/>
      <c r="H14" s="79"/>
      <c r="I14" s="79"/>
      <c r="J14" s="79"/>
      <c r="K14" s="79"/>
      <c r="L14" s="79"/>
      <c r="M14" s="81"/>
      <c r="N14" s="85"/>
    </row>
    <row r="15" spans="1:14" ht="15">
      <c r="A15" s="72" t="s">
        <v>298</v>
      </c>
      <c r="B15" s="86">
        <v>799435573</v>
      </c>
      <c r="C15" s="87">
        <v>19049362</v>
      </c>
      <c r="D15" s="87">
        <v>0</v>
      </c>
      <c r="E15" s="87">
        <v>2968457</v>
      </c>
      <c r="F15" s="87">
        <v>0</v>
      </c>
      <c r="G15" s="85">
        <f t="shared" ref="G15:G21" si="0">+B15+C15-D15+E15+F15</f>
        <v>821453392</v>
      </c>
      <c r="H15" s="87">
        <v>749712685</v>
      </c>
      <c r="I15" s="87">
        <f>ACTIVO!D90-BIENUSO!H15</f>
        <v>-749712685</v>
      </c>
      <c r="J15" s="87">
        <v>0</v>
      </c>
      <c r="K15" s="87">
        <v>0</v>
      </c>
      <c r="L15" s="87">
        <v>0</v>
      </c>
      <c r="M15" s="88">
        <f>+H15+I15-J15+K15+L15</f>
        <v>0</v>
      </c>
      <c r="N15" s="85">
        <f>+G15-M15</f>
        <v>821453392</v>
      </c>
    </row>
    <row r="16" spans="1:14" ht="15">
      <c r="A16" s="72" t="s">
        <v>299</v>
      </c>
      <c r="B16" s="87">
        <v>4248478308</v>
      </c>
      <c r="C16" s="87">
        <v>317916463</v>
      </c>
      <c r="D16" s="87">
        <v>0</v>
      </c>
      <c r="E16" s="87">
        <v>173833710</v>
      </c>
      <c r="F16" s="87">
        <v>0</v>
      </c>
      <c r="G16" s="85">
        <f t="shared" si="0"/>
        <v>4740228481</v>
      </c>
      <c r="H16" s="87">
        <v>1336690848</v>
      </c>
      <c r="I16" s="87">
        <f>ACTIVO!D91-BIENUSO!H16</f>
        <v>-1336690848</v>
      </c>
      <c r="J16" s="87">
        <v>0</v>
      </c>
      <c r="K16" s="87">
        <v>0</v>
      </c>
      <c r="L16" s="87">
        <v>0</v>
      </c>
      <c r="M16" s="88">
        <f t="shared" ref="M16:M24" si="1">+H16+I16-J16+K16+L16</f>
        <v>0</v>
      </c>
      <c r="N16" s="85">
        <f t="shared" ref="N16:N24" si="2">+G16-M16</f>
        <v>4740228481</v>
      </c>
    </row>
    <row r="17" spans="1:14" ht="15">
      <c r="A17" s="72" t="s">
        <v>300</v>
      </c>
      <c r="B17" s="86">
        <v>163044154</v>
      </c>
      <c r="C17" s="87">
        <v>887142</v>
      </c>
      <c r="D17" s="87">
        <v>0</v>
      </c>
      <c r="E17" s="87">
        <v>1311884</v>
      </c>
      <c r="F17" s="87">
        <v>0</v>
      </c>
      <c r="G17" s="85">
        <f t="shared" si="0"/>
        <v>165243180</v>
      </c>
      <c r="H17" s="87">
        <v>141069593</v>
      </c>
      <c r="I17" s="87">
        <f>ACTIVO!D92-BIENUSO!H17</f>
        <v>-141069593</v>
      </c>
      <c r="J17" s="87">
        <v>0</v>
      </c>
      <c r="K17" s="87">
        <v>0</v>
      </c>
      <c r="L17" s="87">
        <v>0</v>
      </c>
      <c r="M17" s="88">
        <f t="shared" si="1"/>
        <v>0</v>
      </c>
      <c r="N17" s="85">
        <f t="shared" si="2"/>
        <v>165243180</v>
      </c>
    </row>
    <row r="18" spans="1:14" ht="15">
      <c r="A18" s="72" t="s">
        <v>301</v>
      </c>
      <c r="B18" s="86">
        <v>3051933252</v>
      </c>
      <c r="C18" s="87">
        <v>67011997</v>
      </c>
      <c r="D18" s="87">
        <v>0</v>
      </c>
      <c r="E18" s="87">
        <v>15842931</v>
      </c>
      <c r="F18" s="87">
        <v>0</v>
      </c>
      <c r="G18" s="85">
        <f t="shared" si="0"/>
        <v>3134788180</v>
      </c>
      <c r="H18" s="87">
        <v>2786557527</v>
      </c>
      <c r="I18" s="87">
        <f>ACTIVO!D77-ACTIVO!D93</f>
        <v>0</v>
      </c>
      <c r="J18" s="87">
        <v>0</v>
      </c>
      <c r="K18" s="87">
        <v>0</v>
      </c>
      <c r="L18" s="87">
        <v>-114286027</v>
      </c>
      <c r="M18" s="88">
        <f t="shared" si="1"/>
        <v>2672271500</v>
      </c>
      <c r="N18" s="85">
        <f t="shared" si="2"/>
        <v>462516680</v>
      </c>
    </row>
    <row r="19" spans="1:14" ht="15">
      <c r="A19" s="72" t="s">
        <v>302</v>
      </c>
      <c r="B19" s="86">
        <v>4501180307</v>
      </c>
      <c r="C19" s="87">
        <v>0</v>
      </c>
      <c r="D19" s="87">
        <v>0</v>
      </c>
      <c r="E19" s="87">
        <v>2089668</v>
      </c>
      <c r="F19" s="87">
        <v>0</v>
      </c>
      <c r="G19" s="85">
        <f t="shared" si="0"/>
        <v>4503269975</v>
      </c>
      <c r="H19" s="87">
        <v>4466177484</v>
      </c>
      <c r="I19" s="87">
        <f>ACTIVO!D94-BIENUSO!H19</f>
        <v>-4466177484</v>
      </c>
      <c r="J19" s="87">
        <v>0</v>
      </c>
      <c r="K19" s="87">
        <v>0</v>
      </c>
      <c r="L19" s="87">
        <v>0</v>
      </c>
      <c r="M19" s="88">
        <f t="shared" si="1"/>
        <v>0</v>
      </c>
      <c r="N19" s="85">
        <f t="shared" si="2"/>
        <v>4503269975</v>
      </c>
    </row>
    <row r="20" spans="1:14" ht="15">
      <c r="A20" s="72" t="s">
        <v>303</v>
      </c>
      <c r="B20" s="86">
        <v>3011231304</v>
      </c>
      <c r="C20" s="87">
        <v>110400000</v>
      </c>
      <c r="D20" s="87">
        <v>0</v>
      </c>
      <c r="E20" s="87">
        <f>11903952+10658241</f>
        <v>22562193</v>
      </c>
      <c r="F20" s="87">
        <v>0</v>
      </c>
      <c r="G20" s="85">
        <f t="shared" si="0"/>
        <v>3144193497</v>
      </c>
      <c r="H20" s="87">
        <v>2633305129</v>
      </c>
      <c r="I20" s="87">
        <f>ACTIVO!D95-BIENUSO!H20</f>
        <v>-2633305129</v>
      </c>
      <c r="J20" s="87">
        <v>0</v>
      </c>
      <c r="K20" s="87">
        <v>0</v>
      </c>
      <c r="L20" s="87">
        <v>0</v>
      </c>
      <c r="M20" s="88">
        <f t="shared" si="1"/>
        <v>0</v>
      </c>
      <c r="N20" s="85">
        <f t="shared" si="2"/>
        <v>3144193497</v>
      </c>
    </row>
    <row r="21" spans="1:14" ht="15">
      <c r="A21" s="72" t="s">
        <v>304</v>
      </c>
      <c r="B21" s="87">
        <v>90345536</v>
      </c>
      <c r="C21" s="87">
        <v>0</v>
      </c>
      <c r="D21" s="87">
        <v>0</v>
      </c>
      <c r="E21" s="87">
        <v>3309619</v>
      </c>
      <c r="F21" s="87">
        <v>0</v>
      </c>
      <c r="G21" s="85">
        <f t="shared" si="0"/>
        <v>93655155</v>
      </c>
      <c r="H21" s="87">
        <v>34908022</v>
      </c>
      <c r="I21" s="87">
        <f>ACTIVO!D99-BIENUSO!H21</f>
        <v>-34908022</v>
      </c>
      <c r="J21" s="87">
        <v>0</v>
      </c>
      <c r="K21" s="87">
        <v>0</v>
      </c>
      <c r="L21" s="87">
        <v>0</v>
      </c>
      <c r="M21" s="88">
        <f t="shared" si="1"/>
        <v>0</v>
      </c>
      <c r="N21" s="85">
        <f t="shared" si="2"/>
        <v>93655155</v>
      </c>
    </row>
    <row r="22" spans="1:14" ht="15">
      <c r="A22" s="72" t="s">
        <v>305</v>
      </c>
      <c r="B22" s="87">
        <v>1938870265</v>
      </c>
      <c r="C22" s="87">
        <v>0</v>
      </c>
      <c r="D22" s="87">
        <v>0</v>
      </c>
      <c r="E22" s="87">
        <v>11379779</v>
      </c>
      <c r="F22" s="87">
        <v>0</v>
      </c>
      <c r="G22" s="85">
        <f>+B22+C22+D22+E22+F22</f>
        <v>1950250044</v>
      </c>
      <c r="H22" s="87">
        <v>1748254190</v>
      </c>
      <c r="I22" s="87">
        <f>ACTIVO!D101-BIENUSO!H22</f>
        <v>-1748254190</v>
      </c>
      <c r="J22" s="87">
        <v>0</v>
      </c>
      <c r="K22" s="87">
        <v>0</v>
      </c>
      <c r="L22" s="87">
        <v>0</v>
      </c>
      <c r="M22" s="88">
        <f>+H22+I22+J22+K22+L22</f>
        <v>0</v>
      </c>
      <c r="N22" s="85">
        <f t="shared" si="2"/>
        <v>1950250044</v>
      </c>
    </row>
    <row r="23" spans="1:14" ht="15">
      <c r="A23" s="72" t="s">
        <v>306</v>
      </c>
      <c r="B23" s="87">
        <v>248285545</v>
      </c>
      <c r="C23" s="87">
        <v>0</v>
      </c>
      <c r="D23" s="87">
        <v>0</v>
      </c>
      <c r="E23" s="87">
        <v>19234223</v>
      </c>
      <c r="F23" s="87">
        <v>0</v>
      </c>
      <c r="G23" s="85">
        <f>+B23+C23-D23+E23+F23</f>
        <v>267519768</v>
      </c>
      <c r="H23" s="87">
        <v>13844806</v>
      </c>
      <c r="I23" s="87">
        <f>ACTIVO!H97-BIENUSO!H23</f>
        <v>-13844806</v>
      </c>
      <c r="J23" s="87">
        <v>0</v>
      </c>
      <c r="K23" s="87">
        <v>0</v>
      </c>
      <c r="L23" s="87">
        <v>0</v>
      </c>
      <c r="M23" s="88">
        <f>+H23+I23-J23+K23+L23</f>
        <v>0</v>
      </c>
      <c r="N23" s="85">
        <f>+G23-M23</f>
        <v>267519768</v>
      </c>
    </row>
    <row r="24" spans="1:14" ht="15">
      <c r="A24" s="72" t="s">
        <v>307</v>
      </c>
      <c r="B24" s="87">
        <v>399617348</v>
      </c>
      <c r="C24" s="87">
        <v>4772727</v>
      </c>
      <c r="D24" s="87">
        <v>0</v>
      </c>
      <c r="E24" s="87">
        <v>1169403</v>
      </c>
      <c r="F24" s="87">
        <v>0</v>
      </c>
      <c r="G24" s="85">
        <f>+B24+C24-D24+E24+F24</f>
        <v>405559478</v>
      </c>
      <c r="H24" s="87">
        <v>380029364</v>
      </c>
      <c r="I24" s="87">
        <f>ACTIVO!D102-BIENUSO!H24</f>
        <v>-380029364</v>
      </c>
      <c r="J24" s="87">
        <v>0</v>
      </c>
      <c r="K24" s="87">
        <v>0</v>
      </c>
      <c r="L24" s="87">
        <v>0</v>
      </c>
      <c r="M24" s="88">
        <f t="shared" si="1"/>
        <v>0</v>
      </c>
      <c r="N24" s="85">
        <f t="shared" si="2"/>
        <v>405559478</v>
      </c>
    </row>
    <row r="25" spans="1:14" ht="15">
      <c r="A25" s="72" t="s">
        <v>308</v>
      </c>
      <c r="B25" s="87">
        <v>156501966</v>
      </c>
      <c r="C25" s="87">
        <v>0</v>
      </c>
      <c r="D25" s="87">
        <v>0</v>
      </c>
      <c r="E25" s="87">
        <v>0</v>
      </c>
      <c r="F25" s="87">
        <v>0</v>
      </c>
      <c r="G25" s="85">
        <f>+B25+C25-D25+E25+F25</f>
        <v>156501966</v>
      </c>
      <c r="H25" s="87">
        <v>68761435</v>
      </c>
      <c r="I25" s="87">
        <f>ACTIVO!H96-BIENUSO!H25</f>
        <v>-68761435</v>
      </c>
      <c r="J25" s="87">
        <v>0</v>
      </c>
      <c r="K25" s="87">
        <v>0</v>
      </c>
      <c r="L25" s="87">
        <v>0</v>
      </c>
      <c r="M25" s="88">
        <f>+H25+I25-J25+K25+L25</f>
        <v>0</v>
      </c>
      <c r="N25" s="85">
        <f>+G25-M25</f>
        <v>156501966</v>
      </c>
    </row>
    <row r="26" spans="1:14" ht="15">
      <c r="A26" s="72"/>
      <c r="B26" s="87"/>
      <c r="C26" s="87"/>
      <c r="D26" s="87"/>
      <c r="E26" s="87"/>
      <c r="F26" s="87"/>
      <c r="G26" s="85"/>
      <c r="H26" s="87"/>
      <c r="I26" s="87"/>
      <c r="J26" s="87"/>
      <c r="K26" s="87"/>
      <c r="L26" s="87"/>
      <c r="M26" s="88"/>
      <c r="N26" s="85"/>
    </row>
    <row r="27" spans="1:14" ht="15">
      <c r="A27" s="72" t="s">
        <v>309</v>
      </c>
      <c r="B27" s="89">
        <f>SUM(B15:B26)</f>
        <v>18608923558</v>
      </c>
      <c r="C27" s="89">
        <f>SUM(C15:C26)</f>
        <v>520037691</v>
      </c>
      <c r="D27" s="89">
        <f>SUM(D15:D26)</f>
        <v>0</v>
      </c>
      <c r="E27" s="89">
        <f>SUM(E15:E26)</f>
        <v>253701867</v>
      </c>
      <c r="F27" s="89">
        <f>SUM(F15:F26)</f>
        <v>0</v>
      </c>
      <c r="G27" s="90">
        <f>+B27+C27+D27+E27+F27</f>
        <v>19382663116</v>
      </c>
      <c r="H27" s="89">
        <f>SUM(H15:H26)</f>
        <v>14359311083</v>
      </c>
      <c r="I27" s="89">
        <f>SUM(I15:I26)</f>
        <v>-11572753556</v>
      </c>
      <c r="J27" s="89">
        <f>SUM(J15:J26)</f>
        <v>0</v>
      </c>
      <c r="K27" s="89">
        <f>SUM(K15:K26)</f>
        <v>0</v>
      </c>
      <c r="L27" s="89">
        <f>SUM(L15:L26)</f>
        <v>-114286027</v>
      </c>
      <c r="M27" s="91">
        <f>+H27+I27+J27+K27+L27</f>
        <v>2672271500</v>
      </c>
      <c r="N27" s="90">
        <f>SUM(N15:N26)</f>
        <v>16710391616</v>
      </c>
    </row>
    <row r="28" spans="1:14" ht="15">
      <c r="A28" s="72"/>
      <c r="B28" s="86"/>
      <c r="C28" s="86"/>
      <c r="D28" s="86"/>
      <c r="E28" s="86"/>
      <c r="F28" s="86"/>
      <c r="G28" s="85"/>
      <c r="H28" s="86"/>
      <c r="I28" s="86"/>
      <c r="J28" s="86"/>
      <c r="K28" s="86"/>
      <c r="L28" s="86"/>
      <c r="M28" s="85"/>
      <c r="N28" s="85"/>
    </row>
    <row r="29" spans="1:14" ht="15">
      <c r="A29" s="82" t="s">
        <v>310</v>
      </c>
      <c r="B29" s="86"/>
      <c r="C29" s="86"/>
      <c r="D29" s="86"/>
      <c r="E29" s="86"/>
      <c r="F29" s="86"/>
      <c r="G29" s="85"/>
      <c r="H29" s="86"/>
      <c r="I29" s="86"/>
      <c r="J29" s="86"/>
      <c r="K29" s="86"/>
      <c r="L29" s="86"/>
      <c r="M29" s="85"/>
      <c r="N29" s="85"/>
    </row>
    <row r="30" spans="1:14" ht="15">
      <c r="A30" s="72"/>
      <c r="B30" s="86"/>
      <c r="C30" s="86"/>
      <c r="D30" s="86"/>
      <c r="E30" s="86"/>
      <c r="F30" s="86"/>
      <c r="G30" s="85"/>
      <c r="H30" s="86"/>
      <c r="I30" s="86"/>
      <c r="J30" s="86"/>
      <c r="K30" s="86"/>
      <c r="L30" s="86"/>
      <c r="M30" s="85"/>
      <c r="N30" s="85"/>
    </row>
    <row r="31" spans="1:14" ht="15">
      <c r="A31" s="72" t="s">
        <v>311</v>
      </c>
      <c r="B31" s="89">
        <v>0</v>
      </c>
      <c r="C31" s="92">
        <v>0</v>
      </c>
      <c r="D31" s="92">
        <v>0</v>
      </c>
      <c r="E31" s="92">
        <v>0</v>
      </c>
      <c r="F31" s="92">
        <v>0</v>
      </c>
      <c r="G31" s="90">
        <f>+B31+C31-D31+E31+F31</f>
        <v>0</v>
      </c>
      <c r="H31" s="92">
        <v>0</v>
      </c>
      <c r="I31" s="92">
        <v>0</v>
      </c>
      <c r="J31" s="92">
        <v>0</v>
      </c>
      <c r="K31" s="92">
        <v>0</v>
      </c>
      <c r="L31" s="92">
        <v>0</v>
      </c>
      <c r="M31" s="91">
        <v>0</v>
      </c>
      <c r="N31" s="90">
        <f>+G31-M31</f>
        <v>0</v>
      </c>
    </row>
    <row r="32" spans="1:14" ht="15">
      <c r="A32" s="72" t="s">
        <v>309</v>
      </c>
      <c r="B32" s="92">
        <f>+B31</f>
        <v>0</v>
      </c>
      <c r="C32" s="92">
        <f t="shared" ref="C32:N32" si="3">+C31</f>
        <v>0</v>
      </c>
      <c r="D32" s="92">
        <f t="shared" si="3"/>
        <v>0</v>
      </c>
      <c r="E32" s="92">
        <f t="shared" si="3"/>
        <v>0</v>
      </c>
      <c r="F32" s="92">
        <f t="shared" si="3"/>
        <v>0</v>
      </c>
      <c r="G32" s="91">
        <f t="shared" si="3"/>
        <v>0</v>
      </c>
      <c r="H32" s="92">
        <f t="shared" si="3"/>
        <v>0</v>
      </c>
      <c r="I32" s="92">
        <f t="shared" si="3"/>
        <v>0</v>
      </c>
      <c r="J32" s="92">
        <f t="shared" si="3"/>
        <v>0</v>
      </c>
      <c r="K32" s="92">
        <f t="shared" si="3"/>
        <v>0</v>
      </c>
      <c r="L32" s="92">
        <f t="shared" si="3"/>
        <v>0</v>
      </c>
      <c r="M32" s="91">
        <f t="shared" si="3"/>
        <v>0</v>
      </c>
      <c r="N32" s="91">
        <f t="shared" si="3"/>
        <v>0</v>
      </c>
    </row>
    <row r="33" spans="1:14" ht="15">
      <c r="A33" s="72"/>
      <c r="B33" s="87"/>
      <c r="C33" s="87"/>
      <c r="D33" s="87"/>
      <c r="E33" s="87"/>
      <c r="F33" s="87"/>
      <c r="G33" s="88"/>
      <c r="H33" s="87"/>
      <c r="I33" s="87"/>
      <c r="J33" s="87"/>
      <c r="K33" s="87"/>
      <c r="L33" s="87"/>
      <c r="M33" s="88"/>
      <c r="N33" s="85"/>
    </row>
    <row r="34" spans="1:14" ht="15">
      <c r="A34" s="72" t="s">
        <v>312</v>
      </c>
      <c r="B34" s="93">
        <f t="shared" ref="B34:L34" si="4">+B27+B32</f>
        <v>18608923558</v>
      </c>
      <c r="C34" s="93">
        <f t="shared" si="4"/>
        <v>520037691</v>
      </c>
      <c r="D34" s="93">
        <f t="shared" si="4"/>
        <v>0</v>
      </c>
      <c r="E34" s="93">
        <f t="shared" si="4"/>
        <v>253701867</v>
      </c>
      <c r="F34" s="93">
        <f t="shared" si="4"/>
        <v>0</v>
      </c>
      <c r="G34" s="94">
        <f t="shared" si="4"/>
        <v>19382663116</v>
      </c>
      <c r="H34" s="93">
        <f t="shared" si="4"/>
        <v>14359311083</v>
      </c>
      <c r="I34" s="93">
        <f t="shared" si="4"/>
        <v>-11572753556</v>
      </c>
      <c r="J34" s="93">
        <f t="shared" si="4"/>
        <v>0</v>
      </c>
      <c r="K34" s="93">
        <f t="shared" si="4"/>
        <v>0</v>
      </c>
      <c r="L34" s="93">
        <f t="shared" si="4"/>
        <v>-114286027</v>
      </c>
      <c r="M34" s="94">
        <f>+M27+M32</f>
        <v>2672271500</v>
      </c>
      <c r="N34" s="94">
        <f>+G34-M34</f>
        <v>16710391616</v>
      </c>
    </row>
    <row r="35" spans="1:14" ht="15">
      <c r="A35" s="72"/>
      <c r="B35" s="95"/>
      <c r="C35" s="95"/>
      <c r="D35" s="95"/>
      <c r="E35" s="95"/>
      <c r="F35" s="95"/>
      <c r="G35" s="81"/>
      <c r="H35" s="95"/>
      <c r="I35" s="95"/>
      <c r="J35" s="95"/>
      <c r="K35" s="95"/>
      <c r="L35" s="95"/>
      <c r="M35" s="81"/>
      <c r="N35" s="81"/>
    </row>
    <row r="36" spans="1:14" ht="15">
      <c r="A36" s="96" t="s">
        <v>313</v>
      </c>
      <c r="B36" s="97">
        <v>17122817973</v>
      </c>
      <c r="C36" s="97">
        <v>1211484701</v>
      </c>
      <c r="D36" s="93">
        <v>0</v>
      </c>
      <c r="E36" s="97">
        <v>496383995</v>
      </c>
      <c r="F36" s="98">
        <v>-221763111</v>
      </c>
      <c r="G36" s="94">
        <f>+B36+C36+D36+E36+F36</f>
        <v>18608923558</v>
      </c>
      <c r="H36" s="99">
        <v>13396568290</v>
      </c>
      <c r="I36" s="99">
        <v>1032044687</v>
      </c>
      <c r="J36" s="93">
        <v>0</v>
      </c>
      <c r="K36" s="97">
        <v>0</v>
      </c>
      <c r="L36" s="98">
        <v>-69301894</v>
      </c>
      <c r="M36" s="100">
        <f>+H36+I36+J36+K36+L36</f>
        <v>14359311083</v>
      </c>
      <c r="N36" s="101">
        <f>+G36-M36</f>
        <v>4249612475</v>
      </c>
    </row>
    <row r="37" spans="1:14" ht="15">
      <c r="A37" s="95"/>
      <c r="B37" s="95"/>
      <c r="C37" s="95"/>
      <c r="D37" s="95"/>
      <c r="E37" s="95"/>
      <c r="F37" s="95"/>
      <c r="G37" s="95"/>
      <c r="H37" s="95"/>
      <c r="I37" s="95"/>
      <c r="J37" s="95"/>
      <c r="K37" s="95"/>
      <c r="L37" s="95"/>
      <c r="M37" s="95"/>
      <c r="N37" s="95"/>
    </row>
    <row r="38" spans="1:14" ht="15">
      <c r="A38" s="95"/>
      <c r="B38" s="95"/>
      <c r="C38" s="95"/>
      <c r="D38" s="95"/>
      <c r="E38" s="95"/>
      <c r="F38" s="95"/>
      <c r="G38" s="95"/>
      <c r="H38" s="95"/>
      <c r="I38" s="95"/>
      <c r="J38" s="95"/>
      <c r="K38" s="95"/>
      <c r="L38" s="95"/>
      <c r="M38" s="95"/>
      <c r="N38" s="95"/>
    </row>
    <row r="39" spans="1:14" ht="15">
      <c r="A39" s="95"/>
      <c r="B39" s="95"/>
      <c r="C39" s="95"/>
      <c r="D39" s="95"/>
      <c r="E39" s="95"/>
      <c r="F39" s="95"/>
      <c r="G39" s="95"/>
      <c r="H39" s="95"/>
      <c r="I39" s="95"/>
      <c r="J39" s="95"/>
      <c r="K39" s="95"/>
      <c r="L39" s="95"/>
      <c r="M39" s="95"/>
      <c r="N39" s="95"/>
    </row>
    <row r="40" spans="1:14" ht="15">
      <c r="A40" s="95"/>
      <c r="B40" s="95"/>
      <c r="C40" s="95"/>
      <c r="D40" s="102"/>
      <c r="E40" s="95"/>
      <c r="F40" s="95"/>
      <c r="G40" s="95"/>
      <c r="H40" s="95"/>
      <c r="I40" s="95"/>
      <c r="J40" s="95"/>
      <c r="K40" s="95"/>
      <c r="L40" s="95"/>
      <c r="M40" s="95"/>
      <c r="N40" s="95"/>
    </row>
    <row r="41" spans="1:14" ht="15">
      <c r="A41" s="95"/>
      <c r="B41" s="95"/>
      <c r="C41" s="95"/>
      <c r="D41" s="95"/>
      <c r="E41" s="95"/>
      <c r="F41" s="95"/>
      <c r="G41" s="95"/>
      <c r="H41" s="95"/>
      <c r="I41" s="95"/>
      <c r="J41" s="95"/>
      <c r="K41" s="95"/>
      <c r="L41" s="95"/>
      <c r="M41" s="95"/>
      <c r="N41" s="95"/>
    </row>
    <row r="42" spans="1:14" ht="15">
      <c r="A42" s="1261" t="s">
        <v>314</v>
      </c>
      <c r="B42" s="1261"/>
      <c r="C42" s="1261"/>
      <c r="D42" s="95"/>
      <c r="E42" s="1261" t="s">
        <v>233</v>
      </c>
      <c r="F42" s="1261"/>
      <c r="G42" s="1261"/>
      <c r="H42" s="1261"/>
      <c r="I42" s="95"/>
      <c r="J42" s="95"/>
      <c r="K42" s="1261" t="s">
        <v>234</v>
      </c>
      <c r="L42" s="1261"/>
      <c r="M42" s="95"/>
      <c r="N42" s="95"/>
    </row>
    <row r="43" spans="1:14" ht="15">
      <c r="A43" s="1261" t="s">
        <v>235</v>
      </c>
      <c r="B43" s="1261"/>
      <c r="C43" s="1261"/>
      <c r="D43" s="95"/>
      <c r="E43" s="1261" t="s">
        <v>236</v>
      </c>
      <c r="F43" s="1261"/>
      <c r="G43" s="1261"/>
      <c r="H43" s="1261"/>
      <c r="I43" s="95"/>
      <c r="J43" s="95"/>
      <c r="K43" s="1261" t="s">
        <v>237</v>
      </c>
      <c r="L43" s="1261"/>
      <c r="M43" s="95"/>
      <c r="N43" s="95"/>
    </row>
    <row r="44" spans="1:14" ht="15">
      <c r="A44" s="1261" t="s">
        <v>238</v>
      </c>
      <c r="B44" s="1261"/>
      <c r="C44" s="1261"/>
      <c r="D44" s="95"/>
      <c r="E44" s="1261"/>
      <c r="F44" s="1261"/>
      <c r="G44" s="1261"/>
      <c r="H44" s="1261"/>
      <c r="I44" s="95"/>
      <c r="J44" s="95"/>
      <c r="K44" s="95"/>
      <c r="L44" s="95"/>
      <c r="M44" s="95"/>
      <c r="N44" s="95"/>
    </row>
  </sheetData>
  <mergeCells count="17">
    <mergeCell ref="A44:C44"/>
    <mergeCell ref="E44:H44"/>
    <mergeCell ref="A42:C42"/>
    <mergeCell ref="E42:H42"/>
    <mergeCell ref="K42:L42"/>
    <mergeCell ref="A43:C43"/>
    <mergeCell ref="E43:H43"/>
    <mergeCell ref="K43:L43"/>
    <mergeCell ref="A7:N7"/>
    <mergeCell ref="B9:G9"/>
    <mergeCell ref="H9:M9"/>
    <mergeCell ref="A1:N1"/>
    <mergeCell ref="A2:M2"/>
    <mergeCell ref="A3:N3"/>
    <mergeCell ref="B4:N4"/>
    <mergeCell ref="A5:N5"/>
    <mergeCell ref="A6:N6"/>
  </mergeCells>
  <phoneticPr fontId="22" type="noConversion"/>
  <printOptions horizontalCentered="1"/>
  <pageMargins left="0.74803149606299213" right="0.98425196850393704" top="1.1811023622047245" bottom="0.98425196850393704" header="0.51181102362204722" footer="0.51181102362204722"/>
  <pageSetup scale="50" firstPageNumber="0"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3:L52"/>
  <sheetViews>
    <sheetView showGridLines="0" zoomScale="75" zoomScaleNormal="75" workbookViewId="0">
      <selection activeCell="A9" sqref="A9"/>
    </sheetView>
  </sheetViews>
  <sheetFormatPr baseColWidth="10" defaultColWidth="11.42578125" defaultRowHeight="14.25"/>
  <cols>
    <col min="1" max="1" width="11.42578125" style="103"/>
    <col min="2" max="2" width="39.140625" style="103" customWidth="1"/>
    <col min="3" max="3" width="16.140625" style="123" customWidth="1"/>
    <col min="4" max="4" width="15.5703125" style="123" customWidth="1"/>
    <col min="5" max="5" width="16.5703125" style="123" customWidth="1"/>
    <col min="6" max="6" width="16.42578125" style="123" customWidth="1"/>
    <col min="7" max="7" width="17.28515625" style="123" customWidth="1"/>
    <col min="8" max="10" width="0" style="103" hidden="1" customWidth="1"/>
    <col min="11" max="11" width="2.85546875" style="103" customWidth="1"/>
    <col min="12" max="12" width="14.42578125" style="103" customWidth="1"/>
    <col min="13" max="16384" width="11.42578125" style="103"/>
  </cols>
  <sheetData>
    <row r="3" spans="2:10">
      <c r="C3" s="378"/>
      <c r="D3" s="381" t="s">
        <v>625</v>
      </c>
      <c r="E3" s="378"/>
      <c r="F3" s="378"/>
      <c r="G3" s="378"/>
      <c r="H3" s="378"/>
      <c r="I3" s="378"/>
      <c r="J3" s="378"/>
    </row>
    <row r="4" spans="2:10" ht="15">
      <c r="C4" s="378"/>
      <c r="D4" s="381" t="s">
        <v>240</v>
      </c>
      <c r="E4" s="378"/>
      <c r="F4" s="378"/>
      <c r="G4" s="378"/>
      <c r="H4" s="378"/>
      <c r="I4" s="378"/>
      <c r="J4" s="104" t="s">
        <v>333</v>
      </c>
    </row>
    <row r="5" spans="2:10">
      <c r="C5" s="378"/>
      <c r="D5" s="381" t="s">
        <v>626</v>
      </c>
      <c r="E5" s="378"/>
      <c r="F5" s="378"/>
      <c r="G5" s="379" t="s">
        <v>333</v>
      </c>
      <c r="H5" s="379"/>
      <c r="I5" s="379"/>
      <c r="J5" s="379"/>
    </row>
    <row r="6" spans="2:10" ht="15">
      <c r="C6" s="380"/>
      <c r="D6" s="382" t="s">
        <v>245</v>
      </c>
      <c r="E6" s="380"/>
      <c r="F6" s="380"/>
      <c r="G6" s="380"/>
      <c r="H6" s="380"/>
      <c r="I6" s="380"/>
      <c r="J6" s="380"/>
    </row>
    <row r="7" spans="2:10" ht="15">
      <c r="C7" s="105"/>
      <c r="D7" s="383"/>
      <c r="E7" s="105"/>
      <c r="F7" s="105"/>
      <c r="G7" s="105"/>
      <c r="H7" s="106"/>
      <c r="I7" s="106"/>
      <c r="J7" s="106"/>
    </row>
    <row r="8" spans="2:10">
      <c r="C8" s="378"/>
      <c r="D8" s="381" t="s">
        <v>334</v>
      </c>
      <c r="E8" s="378"/>
      <c r="F8" s="378"/>
      <c r="G8" s="378"/>
      <c r="H8" s="378"/>
      <c r="I8" s="378"/>
      <c r="J8" s="378"/>
    </row>
    <row r="9" spans="2:10" ht="15">
      <c r="C9" s="105"/>
      <c r="D9" s="383"/>
      <c r="E9" s="105"/>
      <c r="F9" s="105"/>
      <c r="G9" s="105"/>
      <c r="H9" s="106"/>
      <c r="I9" s="106"/>
      <c r="J9" s="106"/>
    </row>
    <row r="10" spans="2:10" ht="15">
      <c r="C10" s="380"/>
      <c r="D10" s="382" t="s">
        <v>287</v>
      </c>
      <c r="E10" s="380"/>
      <c r="F10" s="380"/>
      <c r="G10" s="380"/>
      <c r="H10" s="380"/>
      <c r="I10" s="380"/>
      <c r="J10" s="380"/>
    </row>
    <row r="11" spans="2:10" ht="15">
      <c r="B11" s="68"/>
      <c r="C11" s="105"/>
      <c r="D11" s="105"/>
      <c r="E11" s="105"/>
      <c r="F11" s="105"/>
      <c r="G11" s="105"/>
      <c r="H11" s="106"/>
      <c r="I11" s="106"/>
      <c r="J11" s="106"/>
    </row>
    <row r="12" spans="2:10" ht="15">
      <c r="B12" s="107"/>
      <c r="C12" s="108"/>
      <c r="D12" s="108"/>
      <c r="E12" s="108"/>
      <c r="F12" s="108" t="s">
        <v>335</v>
      </c>
      <c r="G12" s="1263" t="s">
        <v>374</v>
      </c>
      <c r="H12" s="109"/>
      <c r="I12" s="110"/>
      <c r="J12" s="111"/>
    </row>
    <row r="13" spans="2:10" ht="15">
      <c r="B13" s="112"/>
      <c r="C13" s="113" t="s">
        <v>335</v>
      </c>
      <c r="D13" s="113" t="s">
        <v>335</v>
      </c>
      <c r="E13" s="113" t="s">
        <v>336</v>
      </c>
      <c r="F13" s="113" t="s">
        <v>337</v>
      </c>
      <c r="G13" s="1264"/>
      <c r="H13" s="114"/>
      <c r="I13" s="1262" t="s">
        <v>338</v>
      </c>
      <c r="J13" s="1262"/>
    </row>
    <row r="14" spans="2:10" ht="15">
      <c r="B14" s="112"/>
      <c r="C14" s="113" t="s">
        <v>318</v>
      </c>
      <c r="D14" s="113" t="s">
        <v>317</v>
      </c>
      <c r="E14" s="113" t="s">
        <v>318</v>
      </c>
      <c r="F14" s="113" t="s">
        <v>339</v>
      </c>
      <c r="G14" s="1264"/>
      <c r="H14" s="114" t="s">
        <v>341</v>
      </c>
      <c r="I14" s="114" t="s">
        <v>340</v>
      </c>
      <c r="J14" s="114" t="s">
        <v>340</v>
      </c>
    </row>
    <row r="15" spans="2:10" ht="15">
      <c r="B15" s="112" t="s">
        <v>342</v>
      </c>
      <c r="C15" s="113" t="s">
        <v>343</v>
      </c>
      <c r="D15" s="113" t="s">
        <v>344</v>
      </c>
      <c r="E15" s="113" t="s">
        <v>345</v>
      </c>
      <c r="F15" s="113" t="s">
        <v>346</v>
      </c>
      <c r="G15" s="1264"/>
      <c r="H15" s="114" t="s">
        <v>336</v>
      </c>
      <c r="I15" s="114" t="s">
        <v>189</v>
      </c>
      <c r="J15" s="114" t="s">
        <v>347</v>
      </c>
    </row>
    <row r="16" spans="2:10" ht="15">
      <c r="B16" s="116"/>
      <c r="C16" s="117"/>
      <c r="D16" s="117"/>
      <c r="E16" s="117"/>
      <c r="F16" s="117"/>
      <c r="G16" s="1265"/>
      <c r="H16" s="115"/>
      <c r="I16" s="115"/>
      <c r="J16" s="115"/>
    </row>
    <row r="17" spans="2:12" ht="15">
      <c r="B17" s="70"/>
      <c r="C17" s="118"/>
      <c r="D17" s="118"/>
      <c r="E17" s="118"/>
      <c r="F17" s="118"/>
      <c r="G17" s="118"/>
      <c r="H17" s="119"/>
      <c r="I17" s="119"/>
      <c r="J17" s="119"/>
    </row>
    <row r="18" spans="2:12" ht="15">
      <c r="B18" s="72" t="s">
        <v>348</v>
      </c>
      <c r="C18" s="120"/>
      <c r="D18" s="120">
        <f>EGRESOS!I40</f>
        <v>0</v>
      </c>
      <c r="E18" s="120"/>
      <c r="F18" s="120"/>
      <c r="G18" s="120">
        <f t="shared" ref="G18:G41" si="0">SUM(C18:F18)</f>
        <v>0</v>
      </c>
      <c r="H18" s="121"/>
      <c r="I18" s="121"/>
      <c r="J18" s="121"/>
    </row>
    <row r="19" spans="2:12" ht="15">
      <c r="B19" s="72" t="s">
        <v>349</v>
      </c>
      <c r="C19" s="120"/>
      <c r="D19" s="120">
        <f>EGRESOS!$G$40+EGRESOS!$H$40+EGRESOS!$J$40</f>
        <v>0</v>
      </c>
      <c r="E19" s="120"/>
      <c r="F19" s="120"/>
      <c r="G19" s="120">
        <f t="shared" si="0"/>
        <v>0</v>
      </c>
      <c r="H19" s="121"/>
      <c r="I19" s="121"/>
      <c r="J19" s="121"/>
    </row>
    <row r="20" spans="2:12" ht="15">
      <c r="B20" s="72" t="s">
        <v>350</v>
      </c>
      <c r="C20" s="120">
        <f>EGRESOS!D11+EGRESOS!D12+EGRESOS!D14+EGRESOS!D16+EGRESOS!D21+EGRESOS!D13+EGRESOS!D15+EGRESOS!D17+EGRESOS!D20</f>
        <v>0</v>
      </c>
      <c r="D20" s="120"/>
      <c r="E20" s="120"/>
      <c r="F20" s="120"/>
      <c r="G20" s="120">
        <f t="shared" si="0"/>
        <v>0</v>
      </c>
      <c r="H20" s="121"/>
      <c r="I20" s="121"/>
      <c r="J20" s="121"/>
    </row>
    <row r="21" spans="2:12" ht="15">
      <c r="B21" s="72" t="s">
        <v>351</v>
      </c>
      <c r="C21" s="120"/>
      <c r="D21" s="120">
        <f>EGRESOS!D18</f>
        <v>0</v>
      </c>
      <c r="E21" s="120"/>
      <c r="F21" s="120"/>
      <c r="G21" s="120">
        <f t="shared" si="0"/>
        <v>0</v>
      </c>
      <c r="H21" s="121"/>
      <c r="I21" s="122">
        <v>312822311</v>
      </c>
      <c r="J21" s="121"/>
    </row>
    <row r="22" spans="2:12" ht="15">
      <c r="B22" s="72" t="s">
        <v>352</v>
      </c>
      <c r="C22" s="120">
        <f>EGRESOS!D23+EGRESOS!D24</f>
        <v>0</v>
      </c>
      <c r="D22" s="120"/>
      <c r="E22" s="120"/>
      <c r="F22" s="120"/>
      <c r="G22" s="120">
        <f t="shared" si="0"/>
        <v>0</v>
      </c>
      <c r="H22" s="121"/>
      <c r="I22" s="121"/>
      <c r="J22" s="121"/>
    </row>
    <row r="23" spans="2:12" ht="15">
      <c r="B23" s="72" t="s">
        <v>353</v>
      </c>
      <c r="C23" s="120">
        <f>EGRESOS!D34</f>
        <v>0</v>
      </c>
      <c r="D23" s="120"/>
      <c r="E23" s="120"/>
      <c r="F23" s="120"/>
      <c r="G23" s="120">
        <f t="shared" si="0"/>
        <v>0</v>
      </c>
      <c r="H23" s="121"/>
      <c r="I23" s="121"/>
      <c r="J23" s="121"/>
    </row>
    <row r="24" spans="2:12" ht="15">
      <c r="B24" s="72" t="s">
        <v>354</v>
      </c>
      <c r="C24" s="120">
        <f>EGRESOS!D35+EGRESOS!D37</f>
        <v>0</v>
      </c>
      <c r="D24" s="120"/>
      <c r="E24" s="120"/>
      <c r="F24" s="120"/>
      <c r="G24" s="120">
        <f t="shared" si="0"/>
        <v>0</v>
      </c>
      <c r="H24" s="121"/>
      <c r="I24" s="122">
        <v>95808453</v>
      </c>
      <c r="J24" s="121"/>
    </row>
    <row r="25" spans="2:12" ht="15">
      <c r="B25" s="72" t="s">
        <v>355</v>
      </c>
      <c r="C25" s="120">
        <f>EGRESOS!E45</f>
        <v>0</v>
      </c>
      <c r="D25" s="120"/>
      <c r="E25" s="120"/>
      <c r="F25" s="120"/>
      <c r="G25" s="120">
        <f t="shared" si="0"/>
        <v>0</v>
      </c>
      <c r="H25" s="121"/>
      <c r="I25" s="121"/>
      <c r="J25" s="121"/>
    </row>
    <row r="26" spans="2:12" ht="15">
      <c r="B26" s="72" t="s">
        <v>356</v>
      </c>
      <c r="C26" s="120">
        <f>EGRESOS!D36</f>
        <v>0</v>
      </c>
      <c r="D26" s="120"/>
      <c r="E26" s="120"/>
      <c r="F26" s="120"/>
      <c r="G26" s="120">
        <f t="shared" si="0"/>
        <v>0</v>
      </c>
      <c r="H26" s="121"/>
      <c r="I26" s="121"/>
      <c r="J26" s="121"/>
    </row>
    <row r="27" spans="2:12" ht="15">
      <c r="B27" s="72" t="s">
        <v>357</v>
      </c>
      <c r="C27" s="120"/>
      <c r="D27" s="120">
        <f>EGRESOS!D31+EGRESOS!D33</f>
        <v>0</v>
      </c>
      <c r="E27" s="120"/>
      <c r="F27" s="120"/>
      <c r="G27" s="120">
        <f t="shared" si="0"/>
        <v>0</v>
      </c>
      <c r="H27" s="121"/>
      <c r="I27" s="122"/>
      <c r="J27" s="121"/>
    </row>
    <row r="28" spans="2:12" ht="15">
      <c r="B28" s="72" t="s">
        <v>358</v>
      </c>
      <c r="C28" s="120">
        <f>EGRESOS!D32</f>
        <v>0</v>
      </c>
      <c r="D28" s="120"/>
      <c r="E28" s="120"/>
      <c r="F28" s="120"/>
      <c r="G28" s="120">
        <f t="shared" si="0"/>
        <v>0</v>
      </c>
      <c r="H28" s="121"/>
      <c r="I28" s="122">
        <v>580275851</v>
      </c>
      <c r="J28" s="121"/>
    </row>
    <row r="29" spans="2:12" ht="15">
      <c r="B29" s="72" t="s">
        <v>359</v>
      </c>
      <c r="C29" s="120">
        <f>EGRESOS!D39</f>
        <v>0</v>
      </c>
      <c r="D29" s="120"/>
      <c r="E29" s="120"/>
      <c r="F29" s="120"/>
      <c r="G29" s="120">
        <f t="shared" si="0"/>
        <v>0</v>
      </c>
      <c r="H29" s="121"/>
      <c r="I29" s="121"/>
      <c r="J29" s="121"/>
    </row>
    <row r="30" spans="2:12" ht="15">
      <c r="B30" s="72" t="s">
        <v>360</v>
      </c>
      <c r="C30" s="120"/>
      <c r="D30" s="120">
        <f>EGRESOS!D41</f>
        <v>0</v>
      </c>
      <c r="E30" s="120"/>
      <c r="F30" s="120"/>
      <c r="G30" s="120">
        <f t="shared" si="0"/>
        <v>0</v>
      </c>
      <c r="H30" s="121"/>
      <c r="I30" s="122">
        <v>68935757</v>
      </c>
      <c r="J30" s="121"/>
      <c r="L30" s="123"/>
    </row>
    <row r="31" spans="2:12" ht="15">
      <c r="B31" s="72" t="s">
        <v>361</v>
      </c>
      <c r="C31" s="120"/>
      <c r="D31" s="120"/>
      <c r="E31" s="120">
        <f>EGRESOS!D27</f>
        <v>0</v>
      </c>
      <c r="F31" s="120"/>
      <c r="G31" s="120">
        <f t="shared" si="0"/>
        <v>0</v>
      </c>
      <c r="H31" s="121"/>
      <c r="I31" s="122"/>
      <c r="J31" s="121"/>
    </row>
    <row r="32" spans="2:12" ht="15">
      <c r="B32" s="72" t="s">
        <v>362</v>
      </c>
      <c r="C32" s="120"/>
      <c r="D32" s="120"/>
      <c r="E32" s="120">
        <f>EGRESOS!D28</f>
        <v>0</v>
      </c>
      <c r="F32" s="120"/>
      <c r="G32" s="120">
        <f t="shared" si="0"/>
        <v>0</v>
      </c>
      <c r="H32" s="121"/>
      <c r="I32" s="122">
        <v>65583529</v>
      </c>
      <c r="J32" s="121"/>
    </row>
    <row r="33" spans="2:10" ht="15">
      <c r="B33" s="72" t="s">
        <v>363</v>
      </c>
      <c r="C33" s="120"/>
      <c r="D33" s="120">
        <f>EGRESOS!D38</f>
        <v>0</v>
      </c>
      <c r="E33" s="120"/>
      <c r="F33" s="120"/>
      <c r="G33" s="120">
        <f t="shared" si="0"/>
        <v>0</v>
      </c>
      <c r="H33" s="121"/>
      <c r="I33" s="122"/>
      <c r="J33" s="121"/>
    </row>
    <row r="34" spans="2:10" ht="15" hidden="1">
      <c r="B34" s="72" t="s">
        <v>364</v>
      </c>
      <c r="C34" s="120"/>
      <c r="D34" s="120"/>
      <c r="E34" s="120"/>
      <c r="F34" s="120"/>
      <c r="G34" s="120">
        <f t="shared" si="0"/>
        <v>0</v>
      </c>
      <c r="H34" s="121"/>
      <c r="I34" s="122">
        <v>75771046</v>
      </c>
      <c r="J34" s="121"/>
    </row>
    <row r="35" spans="2:10" ht="15" hidden="1">
      <c r="B35" s="72" t="s">
        <v>365</v>
      </c>
      <c r="C35" s="120"/>
      <c r="D35" s="120"/>
      <c r="E35" s="120"/>
      <c r="F35" s="120"/>
      <c r="G35" s="120">
        <f t="shared" si="0"/>
        <v>0</v>
      </c>
      <c r="H35" s="121"/>
      <c r="I35" s="121"/>
      <c r="J35" s="121"/>
    </row>
    <row r="36" spans="2:10" ht="15">
      <c r="B36" s="72" t="s">
        <v>366</v>
      </c>
      <c r="C36" s="120"/>
      <c r="D36" s="120"/>
      <c r="E36" s="120"/>
      <c r="F36" s="120">
        <f>EGRESOS!E42</f>
        <v>0</v>
      </c>
      <c r="G36" s="120">
        <f t="shared" si="0"/>
        <v>0</v>
      </c>
      <c r="H36" s="121"/>
      <c r="I36" s="121"/>
      <c r="J36" s="121"/>
    </row>
    <row r="37" spans="2:10" ht="15" hidden="1">
      <c r="B37" s="72" t="s">
        <v>367</v>
      </c>
      <c r="C37" s="120"/>
      <c r="D37" s="120"/>
      <c r="E37" s="120"/>
      <c r="F37" s="120"/>
      <c r="G37" s="120">
        <f t="shared" si="0"/>
        <v>0</v>
      </c>
      <c r="H37" s="121"/>
      <c r="I37" s="122">
        <v>67030408</v>
      </c>
      <c r="J37" s="121"/>
    </row>
    <row r="38" spans="2:10" ht="15">
      <c r="B38" s="72" t="s">
        <v>368</v>
      </c>
      <c r="C38" s="120"/>
      <c r="D38" s="120"/>
      <c r="E38" s="120"/>
      <c r="F38" s="120">
        <f>EGRESOS!G49+EGRESOS!G50</f>
        <v>0</v>
      </c>
      <c r="G38" s="120">
        <f t="shared" si="0"/>
        <v>0</v>
      </c>
      <c r="H38" s="121"/>
      <c r="I38" s="122"/>
      <c r="J38" s="121"/>
    </row>
    <row r="39" spans="2:10" ht="15">
      <c r="B39" s="72" t="s">
        <v>369</v>
      </c>
      <c r="C39" s="120"/>
      <c r="D39" s="120"/>
      <c r="E39" s="120"/>
      <c r="F39" s="120">
        <f>EGRESOS!G48</f>
        <v>0</v>
      </c>
      <c r="G39" s="120">
        <f t="shared" si="0"/>
        <v>0</v>
      </c>
      <c r="H39" s="121"/>
      <c r="I39" s="122">
        <v>233395272</v>
      </c>
      <c r="J39" s="121"/>
    </row>
    <row r="40" spans="2:10" ht="15">
      <c r="B40" s="72" t="s">
        <v>370</v>
      </c>
      <c r="C40" s="120">
        <f>EGRESOS!E47</f>
        <v>0</v>
      </c>
      <c r="D40" s="120"/>
      <c r="E40" s="120"/>
      <c r="F40" s="120"/>
      <c r="G40" s="120">
        <f t="shared" si="0"/>
        <v>0</v>
      </c>
      <c r="H40" s="121"/>
      <c r="I40" s="121"/>
      <c r="J40" s="121"/>
    </row>
    <row r="41" spans="2:10" ht="15">
      <c r="B41" s="72" t="s">
        <v>371</v>
      </c>
      <c r="C41" s="120"/>
      <c r="D41" s="120">
        <f>EGRESOS!E43</f>
        <v>0</v>
      </c>
      <c r="E41" s="120"/>
      <c r="F41" s="120"/>
      <c r="G41" s="120">
        <f t="shared" si="0"/>
        <v>0</v>
      </c>
      <c r="H41" s="121"/>
      <c r="I41" s="121"/>
      <c r="J41" s="121"/>
    </row>
    <row r="42" spans="2:10" ht="15">
      <c r="B42" s="96"/>
      <c r="C42" s="124"/>
      <c r="D42" s="124"/>
      <c r="E42" s="124"/>
      <c r="F42" s="124"/>
      <c r="G42" s="124"/>
      <c r="H42" s="125"/>
      <c r="I42" s="125"/>
      <c r="J42" s="125"/>
    </row>
    <row r="43" spans="2:10" ht="20.100000000000001" customHeight="1" thickBot="1">
      <c r="B43" s="126" t="s">
        <v>372</v>
      </c>
      <c r="C43" s="127">
        <f>SUM(C17:C42)</f>
        <v>0</v>
      </c>
      <c r="D43" s="127">
        <f>SUM(D17:D42)</f>
        <v>0</v>
      </c>
      <c r="E43" s="127">
        <f>SUM(E17:E42)</f>
        <v>0</v>
      </c>
      <c r="F43" s="127">
        <f>SUM(F17:F42)</f>
        <v>0</v>
      </c>
      <c r="G43" s="127">
        <f>SUM(G17:G42)</f>
        <v>0</v>
      </c>
      <c r="H43" s="128">
        <v>0</v>
      </c>
      <c r="I43" s="128">
        <f>SUM(I21:I42)</f>
        <v>1499622627</v>
      </c>
      <c r="J43" s="128">
        <v>10457947663</v>
      </c>
    </row>
    <row r="44" spans="2:10" ht="20.100000000000001" customHeight="1" thickTop="1">
      <c r="B44" s="126" t="s">
        <v>373</v>
      </c>
      <c r="C44" s="127">
        <v>6077745284</v>
      </c>
      <c r="D44" s="127">
        <v>1408742872</v>
      </c>
      <c r="E44" s="127">
        <v>105552629</v>
      </c>
      <c r="F44" s="127">
        <v>1971450431</v>
      </c>
      <c r="G44" s="127">
        <f>SUM(C44:F44)</f>
        <v>9563491216</v>
      </c>
    </row>
    <row r="45" spans="2:10" ht="15">
      <c r="B45" s="95"/>
      <c r="C45" s="129"/>
      <c r="D45" s="129"/>
      <c r="E45" s="129"/>
      <c r="F45" s="129"/>
      <c r="G45" s="129"/>
    </row>
    <row r="46" spans="2:10" ht="15">
      <c r="B46" s="95"/>
      <c r="C46" s="129"/>
      <c r="D46" s="129"/>
      <c r="E46" s="129"/>
      <c r="F46" s="129"/>
      <c r="G46" s="129"/>
    </row>
    <row r="47" spans="2:10" ht="15">
      <c r="B47" s="95"/>
      <c r="C47" s="129"/>
      <c r="D47" s="129"/>
      <c r="E47" s="129"/>
      <c r="F47" s="129"/>
      <c r="G47" s="129"/>
    </row>
    <row r="48" spans="2:10" ht="15">
      <c r="B48" s="95"/>
      <c r="C48" s="129"/>
      <c r="D48" s="129"/>
      <c r="E48" s="129"/>
      <c r="F48" s="129"/>
      <c r="G48" s="129"/>
    </row>
    <row r="49" spans="2:7" ht="15">
      <c r="B49" s="68" t="s">
        <v>232</v>
      </c>
      <c r="C49" s="1266" t="s">
        <v>233</v>
      </c>
      <c r="D49" s="1266"/>
      <c r="E49" s="1266"/>
      <c r="F49" s="1266" t="s">
        <v>234</v>
      </c>
      <c r="G49" s="1266"/>
    </row>
    <row r="50" spans="2:7" ht="15">
      <c r="B50" s="68" t="s">
        <v>235</v>
      </c>
      <c r="C50" s="1266" t="s">
        <v>236</v>
      </c>
      <c r="D50" s="1266"/>
      <c r="E50" s="1266"/>
      <c r="F50" s="1266" t="s">
        <v>237</v>
      </c>
      <c r="G50" s="1266"/>
    </row>
    <row r="51" spans="2:7" ht="15">
      <c r="B51" s="68" t="s">
        <v>238</v>
      </c>
      <c r="C51" s="1266"/>
      <c r="D51" s="1266"/>
      <c r="E51" s="1266"/>
      <c r="F51" s="129"/>
      <c r="G51" s="129"/>
    </row>
    <row r="52" spans="2:7" ht="15">
      <c r="B52" s="95"/>
      <c r="C52" s="1266"/>
      <c r="D52" s="1266"/>
      <c r="E52" s="1266"/>
      <c r="F52" s="129"/>
      <c r="G52" s="129"/>
    </row>
  </sheetData>
  <mergeCells count="8">
    <mergeCell ref="I13:J13"/>
    <mergeCell ref="G12:G16"/>
    <mergeCell ref="C51:E51"/>
    <mergeCell ref="C52:E52"/>
    <mergeCell ref="C49:E49"/>
    <mergeCell ref="F49:G49"/>
    <mergeCell ref="C50:E50"/>
    <mergeCell ref="F50:G50"/>
  </mergeCells>
  <phoneticPr fontId="22" type="noConversion"/>
  <printOptions horizontalCentered="1"/>
  <pageMargins left="0.98425196850393704" right="0.98425196850393704" top="1.1811023622047245" bottom="0.98425196850393704" header="0.51181102362204722" footer="0.51181102362204722"/>
  <pageSetup scale="7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J63"/>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18.140625" style="1" customWidth="1"/>
    <col min="6" max="6" width="17.85546875" style="1" customWidth="1"/>
    <col min="7" max="7" width="15.5703125" style="1" customWidth="1"/>
    <col min="8" max="9" width="12.7109375" customWidth="1"/>
  </cols>
  <sheetData>
    <row r="1" spans="1:7">
      <c r="A1" s="1115" t="s">
        <v>0</v>
      </c>
      <c r="B1" s="1115"/>
      <c r="C1" s="1115"/>
      <c r="D1" s="1115"/>
      <c r="E1" s="1115"/>
      <c r="F1" s="1115"/>
    </row>
    <row r="2" spans="1:7">
      <c r="A2" s="1115" t="s">
        <v>1</v>
      </c>
      <c r="B2" s="1115"/>
      <c r="C2" s="1115"/>
      <c r="D2" s="1115"/>
      <c r="E2" s="1115"/>
      <c r="F2" s="1115"/>
    </row>
    <row r="3" spans="1:7">
      <c r="A3" s="1115" t="s">
        <v>2</v>
      </c>
      <c r="B3" s="1115"/>
      <c r="C3" s="1115"/>
      <c r="D3" s="1115"/>
      <c r="E3" s="1115"/>
      <c r="F3" s="1115"/>
    </row>
    <row r="4" spans="1:7">
      <c r="A4" s="1115" t="s">
        <v>3</v>
      </c>
      <c r="B4" s="1115"/>
      <c r="C4" s="1115"/>
      <c r="D4" s="1115"/>
      <c r="E4" s="1115"/>
      <c r="F4" s="1115"/>
    </row>
    <row r="5" spans="1:7">
      <c r="A5" s="1115" t="str">
        <f>PASIVO!A5</f>
        <v>01/01/11 AL 31/12/11</v>
      </c>
      <c r="B5" s="1115"/>
      <c r="C5" s="1115"/>
      <c r="D5" s="1115"/>
      <c r="E5" s="1115"/>
      <c r="F5" s="1115"/>
    </row>
    <row r="6" spans="1:7">
      <c r="A6" s="4"/>
      <c r="B6" s="5"/>
      <c r="C6" s="5"/>
      <c r="D6" s="5"/>
      <c r="E6" s="5"/>
    </row>
    <row r="7" spans="1:7">
      <c r="A7" s="6" t="s">
        <v>140</v>
      </c>
      <c r="B7" s="7"/>
      <c r="C7" s="7"/>
      <c r="D7" s="7"/>
      <c r="E7" s="7"/>
      <c r="F7" s="8">
        <f>SUM(E8:E48)</f>
        <v>0</v>
      </c>
      <c r="G7" s="1">
        <f>F7-0</f>
        <v>0</v>
      </c>
    </row>
    <row r="8" spans="1:7">
      <c r="A8" s="4"/>
      <c r="B8" s="5"/>
      <c r="C8" s="5"/>
      <c r="D8" s="5"/>
      <c r="E8" s="5"/>
      <c r="F8" s="5"/>
    </row>
    <row r="9" spans="1:7">
      <c r="A9" s="4" t="s">
        <v>141</v>
      </c>
      <c r="B9" s="5"/>
      <c r="C9" s="5"/>
      <c r="D9" s="5"/>
      <c r="E9" s="5"/>
      <c r="F9" s="5"/>
    </row>
    <row r="10" spans="1:7">
      <c r="A10" s="4"/>
      <c r="B10" s="5" t="s">
        <v>142</v>
      </c>
      <c r="C10" s="5"/>
      <c r="D10" s="5"/>
      <c r="E10" s="5">
        <f>SUM(D11:D24)</f>
        <v>0</v>
      </c>
    </row>
    <row r="11" spans="1:7">
      <c r="C11" s="1" t="s">
        <v>143</v>
      </c>
      <c r="D11" s="14">
        <v>0</v>
      </c>
    </row>
    <row r="12" spans="1:7">
      <c r="C12" s="1" t="s">
        <v>144</v>
      </c>
      <c r="D12" s="14">
        <v>0</v>
      </c>
    </row>
    <row r="13" spans="1:7">
      <c r="C13" s="1" t="s">
        <v>145</v>
      </c>
      <c r="D13" s="1">
        <v>0</v>
      </c>
    </row>
    <row r="14" spans="1:7">
      <c r="C14" s="1" t="s">
        <v>146</v>
      </c>
      <c r="D14" s="14">
        <v>0</v>
      </c>
    </row>
    <row r="15" spans="1:7">
      <c r="C15" s="1" t="s">
        <v>147</v>
      </c>
      <c r="D15" s="1">
        <v>0</v>
      </c>
    </row>
    <row r="16" spans="1:7">
      <c r="C16" s="1" t="s">
        <v>148</v>
      </c>
      <c r="D16" s="14">
        <v>0</v>
      </c>
    </row>
    <row r="17" spans="2:7">
      <c r="C17" s="1" t="s">
        <v>149</v>
      </c>
      <c r="D17" s="1">
        <v>0</v>
      </c>
    </row>
    <row r="18" spans="2:7">
      <c r="C18" s="1" t="s">
        <v>150</v>
      </c>
      <c r="D18" s="1">
        <v>0</v>
      </c>
    </row>
    <row r="19" spans="2:7">
      <c r="C19" s="1" t="s">
        <v>151</v>
      </c>
      <c r="D19" s="14">
        <v>0</v>
      </c>
    </row>
    <row r="20" spans="2:7">
      <c r="C20" s="1" t="s">
        <v>152</v>
      </c>
      <c r="D20" s="1">
        <v>0</v>
      </c>
    </row>
    <row r="21" spans="2:7">
      <c r="C21" s="1" t="s">
        <v>153</v>
      </c>
      <c r="D21" s="14">
        <v>0</v>
      </c>
    </row>
    <row r="22" spans="2:7">
      <c r="C22" s="1" t="s">
        <v>154</v>
      </c>
      <c r="D22" s="1">
        <v>0</v>
      </c>
    </row>
    <row r="23" spans="2:7">
      <c r="C23" s="1" t="s">
        <v>155</v>
      </c>
      <c r="D23" s="1">
        <v>0</v>
      </c>
    </row>
    <row r="24" spans="2:7">
      <c r="C24" s="1" t="s">
        <v>156</v>
      </c>
      <c r="D24" s="1">
        <v>0</v>
      </c>
    </row>
    <row r="26" spans="2:7">
      <c r="B26" s="5" t="s">
        <v>157</v>
      </c>
      <c r="C26" s="5"/>
      <c r="D26" s="5"/>
      <c r="E26" s="5">
        <f>SUM(D27:D28)</f>
        <v>0</v>
      </c>
      <c r="F26" s="5"/>
      <c r="G26" s="1">
        <v>0</v>
      </c>
    </row>
    <row r="27" spans="2:7">
      <c r="C27" s="1" t="s">
        <v>158</v>
      </c>
      <c r="D27" s="1">
        <v>0</v>
      </c>
      <c r="G27" s="1">
        <v>0</v>
      </c>
    </row>
    <row r="28" spans="2:7">
      <c r="C28" s="1" t="s">
        <v>159</v>
      </c>
      <c r="D28" s="1">
        <v>0</v>
      </c>
      <c r="G28" s="1">
        <v>0</v>
      </c>
    </row>
    <row r="29" spans="2:7">
      <c r="G29" s="1">
        <v>0</v>
      </c>
    </row>
    <row r="30" spans="2:7">
      <c r="B30" s="5" t="s">
        <v>160</v>
      </c>
      <c r="C30" s="5"/>
      <c r="D30" s="5"/>
      <c r="E30" s="5">
        <f>SUM(D31:D41)</f>
        <v>0</v>
      </c>
      <c r="F30" s="5"/>
      <c r="G30" s="1">
        <v>0</v>
      </c>
    </row>
    <row r="31" spans="2:7">
      <c r="C31" s="1" t="s">
        <v>161</v>
      </c>
      <c r="D31" s="1">
        <v>0</v>
      </c>
      <c r="G31" s="1">
        <v>0</v>
      </c>
    </row>
    <row r="32" spans="2:7">
      <c r="C32" s="1" t="s">
        <v>162</v>
      </c>
      <c r="D32" s="1">
        <v>0</v>
      </c>
    </row>
    <row r="33" spans="2:10">
      <c r="C33" s="1" t="s">
        <v>163</v>
      </c>
      <c r="D33" s="1">
        <v>0</v>
      </c>
    </row>
    <row r="34" spans="2:10">
      <c r="C34" s="1" t="s">
        <v>164</v>
      </c>
      <c r="D34" s="1">
        <v>0</v>
      </c>
      <c r="H34" t="s">
        <v>165</v>
      </c>
    </row>
    <row r="35" spans="2:10">
      <c r="C35" s="1" t="s">
        <v>166</v>
      </c>
      <c r="D35" s="1">
        <v>0</v>
      </c>
      <c r="H35" s="2">
        <v>0</v>
      </c>
      <c r="I35" t="s">
        <v>167</v>
      </c>
    </row>
    <row r="36" spans="2:10">
      <c r="C36" s="1" t="s">
        <v>168</v>
      </c>
      <c r="D36" s="1">
        <v>0</v>
      </c>
      <c r="H36" s="2">
        <v>0</v>
      </c>
    </row>
    <row r="37" spans="2:10">
      <c r="C37" s="1" t="s">
        <v>169</v>
      </c>
      <c r="D37" s="1">
        <v>0</v>
      </c>
      <c r="H37" s="2">
        <v>0</v>
      </c>
    </row>
    <row r="38" spans="2:10">
      <c r="C38" s="1" t="s">
        <v>170</v>
      </c>
      <c r="D38" s="1">
        <v>0</v>
      </c>
    </row>
    <row r="39" spans="2:10">
      <c r="C39" s="1" t="s">
        <v>171</v>
      </c>
      <c r="D39" s="1">
        <v>0</v>
      </c>
      <c r="G39" s="18" t="s">
        <v>172</v>
      </c>
      <c r="H39" s="21" t="s">
        <v>173</v>
      </c>
      <c r="I39" s="21" t="s">
        <v>174</v>
      </c>
      <c r="J39" s="21" t="s">
        <v>175</v>
      </c>
    </row>
    <row r="40" spans="2:10">
      <c r="C40" s="1" t="s">
        <v>176</v>
      </c>
      <c r="D40" s="1">
        <v>0</v>
      </c>
      <c r="G40" s="1">
        <v>0</v>
      </c>
      <c r="H40" s="1">
        <v>0</v>
      </c>
      <c r="I40" s="14">
        <v>0</v>
      </c>
      <c r="J40" s="14">
        <v>0</v>
      </c>
    </row>
    <row r="41" spans="2:10">
      <c r="C41" s="1" t="s">
        <v>177</v>
      </c>
      <c r="D41" s="1">
        <v>0</v>
      </c>
    </row>
    <row r="42" spans="2:10">
      <c r="B42" s="5" t="s">
        <v>178</v>
      </c>
      <c r="E42" s="5">
        <f>SUM(G43:G45)</f>
        <v>0</v>
      </c>
    </row>
    <row r="43" spans="2:10">
      <c r="B43" s="5" t="s">
        <v>179</v>
      </c>
      <c r="E43" s="5">
        <v>0</v>
      </c>
      <c r="G43" s="1">
        <v>0</v>
      </c>
    </row>
    <row r="44" spans="2:10">
      <c r="G44" s="1">
        <v>0</v>
      </c>
    </row>
    <row r="45" spans="2:10">
      <c r="B45" s="5" t="s">
        <v>180</v>
      </c>
      <c r="E45" s="5">
        <v>0</v>
      </c>
      <c r="G45" s="1">
        <v>0</v>
      </c>
    </row>
    <row r="46" spans="2:10">
      <c r="B46" s="5" t="s">
        <v>181</v>
      </c>
      <c r="E46" s="5">
        <f>SUM(G48:G50)</f>
        <v>0</v>
      </c>
    </row>
    <row r="47" spans="2:10">
      <c r="B47" s="5" t="s">
        <v>182</v>
      </c>
      <c r="E47" s="5">
        <f>SUM(G52:G61)</f>
        <v>0</v>
      </c>
    </row>
    <row r="48" spans="2:10">
      <c r="B48" s="4" t="s">
        <v>139</v>
      </c>
      <c r="C48" s="5"/>
      <c r="E48" s="5">
        <v>0</v>
      </c>
      <c r="G48" s="1">
        <v>0</v>
      </c>
      <c r="H48" t="s">
        <v>183</v>
      </c>
    </row>
    <row r="49" spans="2:9">
      <c r="B49" s="4"/>
      <c r="C49" s="5"/>
      <c r="E49" s="5"/>
      <c r="G49" s="1">
        <v>0</v>
      </c>
      <c r="H49" t="s">
        <v>184</v>
      </c>
    </row>
    <row r="50" spans="2:9">
      <c r="B50" s="4"/>
      <c r="C50" s="5"/>
      <c r="E50" s="5"/>
      <c r="G50" s="1">
        <v>0</v>
      </c>
      <c r="H50" t="s">
        <v>185</v>
      </c>
    </row>
    <row r="51" spans="2:9">
      <c r="B51" s="4"/>
      <c r="C51" s="5"/>
      <c r="E51" s="5"/>
    </row>
    <row r="52" spans="2:9">
      <c r="B52" s="5"/>
      <c r="C52" s="5"/>
      <c r="E52" s="5"/>
      <c r="G52" s="1">
        <v>0</v>
      </c>
      <c r="H52" t="s">
        <v>186</v>
      </c>
    </row>
    <row r="53" spans="2:9">
      <c r="G53" s="1">
        <v>0</v>
      </c>
      <c r="H53" t="s">
        <v>187</v>
      </c>
    </row>
    <row r="54" spans="2:9">
      <c r="G54" s="1">
        <v>0</v>
      </c>
      <c r="H54" t="s">
        <v>188</v>
      </c>
    </row>
    <row r="55" spans="2:9">
      <c r="G55" s="1">
        <v>0</v>
      </c>
      <c r="H55" t="s">
        <v>189</v>
      </c>
    </row>
    <row r="56" spans="2:9">
      <c r="G56" s="1">
        <v>0</v>
      </c>
      <c r="H56" t="s">
        <v>190</v>
      </c>
      <c r="I56" s="1">
        <f>SUM(G56:G61)</f>
        <v>0</v>
      </c>
    </row>
    <row r="57" spans="2:9">
      <c r="G57" s="1">
        <v>0</v>
      </c>
      <c r="H57" t="s">
        <v>191</v>
      </c>
    </row>
    <row r="58" spans="2:9">
      <c r="G58" s="1">
        <v>0</v>
      </c>
      <c r="H58" t="s">
        <v>192</v>
      </c>
    </row>
    <row r="59" spans="2:9">
      <c r="G59" s="1">
        <v>0</v>
      </c>
      <c r="H59" t="s">
        <v>193</v>
      </c>
    </row>
    <row r="60" spans="2:9">
      <c r="G60" s="1">
        <v>0</v>
      </c>
      <c r="H60" t="s">
        <v>194</v>
      </c>
    </row>
    <row r="61" spans="2:9">
      <c r="G61" s="1">
        <v>0</v>
      </c>
      <c r="H61" t="s">
        <v>195</v>
      </c>
    </row>
    <row r="63" spans="2:9">
      <c r="G63" s="1">
        <f>SUM(G52:G62)</f>
        <v>0</v>
      </c>
    </row>
  </sheetData>
  <mergeCells count="5">
    <mergeCell ref="A5:F5"/>
    <mergeCell ref="A1:F1"/>
    <mergeCell ref="A2:F2"/>
    <mergeCell ref="A3:F3"/>
    <mergeCell ref="A4:F4"/>
  </mergeCells>
  <phoneticPr fontId="22" type="noConversion"/>
  <pageMargins left="0.60972222222222228" right="0.74791666666666667" top="0.8" bottom="0.98402777777777783" header="0.51180555555555562" footer="0.51180555555555562"/>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N32"/>
  <sheetViews>
    <sheetView topLeftCell="A22" zoomScale="85" zoomScaleNormal="85" workbookViewId="0">
      <selection activeCell="B31" sqref="B31"/>
    </sheetView>
  </sheetViews>
  <sheetFormatPr baseColWidth="10" defaultColWidth="11.42578125" defaultRowHeight="15.75" customHeight="1"/>
  <cols>
    <col min="1" max="1" width="3.5703125" style="386" customWidth="1"/>
    <col min="2" max="2" width="54.42578125" style="386" customWidth="1"/>
    <col min="3" max="3" width="18.7109375" style="387" customWidth="1"/>
    <col min="4" max="5" width="15" style="387" customWidth="1"/>
    <col min="6" max="6" width="18.7109375" style="387" customWidth="1"/>
    <col min="7" max="7" width="21.28515625" style="387" bestFit="1" customWidth="1"/>
    <col min="8" max="11" width="18.7109375" style="387" customWidth="1"/>
    <col min="12" max="12" width="11.42578125" style="386"/>
    <col min="13" max="13" width="53.42578125" style="386" bestFit="1" customWidth="1"/>
    <col min="14" max="14" width="18.5703125" style="386" hidden="1" customWidth="1"/>
    <col min="15" max="15" width="18.5703125" style="386" bestFit="1" customWidth="1"/>
    <col min="16" max="16" width="18" style="386" bestFit="1" customWidth="1"/>
    <col min="17" max="17" width="18.5703125" style="386" bestFit="1" customWidth="1"/>
    <col min="18" max="16384" width="11.42578125" style="386"/>
  </cols>
  <sheetData>
    <row r="1" spans="2:11" ht="15.75" customHeight="1">
      <c r="C1" s="384"/>
      <c r="D1" s="394"/>
      <c r="E1" s="384"/>
      <c r="F1" s="384"/>
      <c r="G1" s="384"/>
      <c r="H1" s="384"/>
      <c r="I1" s="384"/>
      <c r="J1" s="384"/>
      <c r="K1" s="388" t="s">
        <v>333</v>
      </c>
    </row>
    <row r="2" spans="2:11" ht="20.100000000000001" customHeight="1">
      <c r="B2" s="1275" t="s">
        <v>659</v>
      </c>
      <c r="C2" s="1275"/>
      <c r="D2" s="1275"/>
      <c r="E2" s="1275"/>
      <c r="F2" s="1275"/>
      <c r="G2" s="1275"/>
      <c r="H2" s="1275"/>
      <c r="I2" s="1275"/>
      <c r="J2" s="1275"/>
      <c r="K2" s="1275"/>
    </row>
    <row r="3" spans="2:11" ht="20.100000000000001" customHeight="1">
      <c r="B3" s="1276" t="s">
        <v>627</v>
      </c>
      <c r="C3" s="1276"/>
      <c r="D3" s="1276"/>
      <c r="E3" s="1276"/>
      <c r="F3" s="1276"/>
      <c r="G3" s="1276"/>
      <c r="H3" s="1276"/>
      <c r="I3" s="1276"/>
      <c r="J3" s="1276"/>
      <c r="K3" s="1276"/>
    </row>
    <row r="4" spans="2:11" ht="20.100000000000001" customHeight="1">
      <c r="B4" s="1276" t="s">
        <v>245</v>
      </c>
      <c r="C4" s="1276"/>
      <c r="D4" s="1276"/>
      <c r="E4" s="1276"/>
      <c r="F4" s="1276"/>
      <c r="G4" s="1276"/>
      <c r="H4" s="1276"/>
      <c r="I4" s="1276"/>
      <c r="J4" s="1276"/>
      <c r="K4" s="1276"/>
    </row>
    <row r="5" spans="2:11" ht="15.75" customHeight="1">
      <c r="B5" s="403"/>
      <c r="C5" s="403"/>
      <c r="D5" s="403"/>
      <c r="E5" s="403"/>
      <c r="F5" s="403"/>
      <c r="G5" s="403"/>
      <c r="H5" s="403"/>
      <c r="I5" s="404"/>
      <c r="J5" s="403"/>
      <c r="K5" s="403"/>
    </row>
    <row r="6" spans="2:11" ht="27.75" customHeight="1">
      <c r="B6" s="1275" t="s">
        <v>334</v>
      </c>
      <c r="C6" s="1275"/>
      <c r="D6" s="1275"/>
      <c r="E6" s="1275"/>
      <c r="F6" s="1275"/>
      <c r="G6" s="1275"/>
      <c r="H6" s="1275"/>
      <c r="I6" s="1275"/>
      <c r="J6" s="1275"/>
      <c r="K6" s="1275"/>
    </row>
    <row r="7" spans="2:11" ht="15">
      <c r="B7" s="385"/>
      <c r="C7" s="389"/>
      <c r="D7" s="389"/>
      <c r="E7" s="389"/>
      <c r="F7" s="389"/>
      <c r="G7" s="389"/>
      <c r="H7" s="389"/>
      <c r="I7" s="389"/>
      <c r="J7" s="389"/>
      <c r="K7" s="389"/>
    </row>
    <row r="8" spans="2:11" ht="15" customHeight="1">
      <c r="B8" s="1277" t="s">
        <v>342</v>
      </c>
      <c r="C8" s="1280" t="s">
        <v>640</v>
      </c>
      <c r="D8" s="1281" t="s">
        <v>641</v>
      </c>
      <c r="E8" s="1281" t="s">
        <v>642</v>
      </c>
      <c r="F8" s="1281" t="s">
        <v>643</v>
      </c>
      <c r="G8" s="1267" t="s">
        <v>644</v>
      </c>
      <c r="H8" s="1270" t="s">
        <v>599</v>
      </c>
      <c r="I8" s="1284" t="s">
        <v>371</v>
      </c>
      <c r="J8" s="1273" t="s">
        <v>338</v>
      </c>
      <c r="K8" s="1274"/>
    </row>
    <row r="9" spans="2:11" ht="15" customHeight="1">
      <c r="B9" s="1278"/>
      <c r="C9" s="1271"/>
      <c r="D9" s="1282"/>
      <c r="E9" s="1282"/>
      <c r="F9" s="1282"/>
      <c r="G9" s="1268"/>
      <c r="H9" s="1271"/>
      <c r="I9" s="1282"/>
      <c r="J9" s="395" t="s">
        <v>535</v>
      </c>
      <c r="K9" s="397" t="s">
        <v>535</v>
      </c>
    </row>
    <row r="10" spans="2:11" ht="15" customHeight="1">
      <c r="B10" s="1278"/>
      <c r="C10" s="1271"/>
      <c r="D10" s="1282"/>
      <c r="E10" s="1282"/>
      <c r="F10" s="1282"/>
      <c r="G10" s="1268"/>
      <c r="H10" s="1271"/>
      <c r="I10" s="1282"/>
      <c r="J10" s="395" t="s">
        <v>189</v>
      </c>
      <c r="K10" s="397" t="s">
        <v>347</v>
      </c>
    </row>
    <row r="11" spans="2:11" ht="15" customHeight="1">
      <c r="B11" s="1279"/>
      <c r="C11" s="1272"/>
      <c r="D11" s="1283"/>
      <c r="E11" s="1283"/>
      <c r="F11" s="1283"/>
      <c r="G11" s="1269"/>
      <c r="H11" s="1272"/>
      <c r="I11" s="1283"/>
      <c r="J11" s="396">
        <v>41729</v>
      </c>
      <c r="K11" s="396">
        <v>41364</v>
      </c>
    </row>
    <row r="12" spans="2:11" ht="35.1" customHeight="1">
      <c r="B12" s="398" t="s">
        <v>645</v>
      </c>
      <c r="C12" s="399"/>
      <c r="D12" s="399"/>
      <c r="E12" s="399"/>
      <c r="F12" s="399" t="e">
        <f>+#REF!+56818182+18000000</f>
        <v>#REF!</v>
      </c>
      <c r="G12" s="399"/>
      <c r="H12" s="399"/>
      <c r="I12" s="405"/>
      <c r="J12" s="408" t="e">
        <f>SUM(C12:I12)</f>
        <v>#REF!</v>
      </c>
      <c r="K12" s="408" t="e">
        <f>+#REF!</f>
        <v>#REF!</v>
      </c>
    </row>
    <row r="13" spans="2:11" ht="35.1" customHeight="1">
      <c r="B13" s="400" t="s">
        <v>646</v>
      </c>
      <c r="C13" s="401"/>
      <c r="D13" s="401"/>
      <c r="E13" s="401"/>
      <c r="F13" s="401" t="e">
        <f>+#REF!-56818182-18000000+#REF!+#REF!</f>
        <v>#REF!</v>
      </c>
      <c r="G13" s="401"/>
      <c r="H13" s="401"/>
      <c r="I13" s="406"/>
      <c r="J13" s="408" t="e">
        <f t="shared" ref="J13:J29" si="0">SUM(C13:I13)</f>
        <v>#REF!</v>
      </c>
      <c r="K13" s="408" t="e">
        <f>+#REF!+#REF!+#REF!+#REF!+#REF!</f>
        <v>#REF!</v>
      </c>
    </row>
    <row r="14" spans="2:11" ht="35.1" customHeight="1">
      <c r="B14" s="400" t="s">
        <v>647</v>
      </c>
      <c r="C14" s="401"/>
      <c r="D14" s="401"/>
      <c r="E14" s="401"/>
      <c r="F14" s="401" t="e">
        <f>+#REF!</f>
        <v>#REF!</v>
      </c>
      <c r="G14" s="401"/>
      <c r="H14" s="401"/>
      <c r="I14" s="406"/>
      <c r="J14" s="408" t="e">
        <f t="shared" si="0"/>
        <v>#REF!</v>
      </c>
      <c r="K14" s="408" t="e">
        <f>+#REF!</f>
        <v>#REF!</v>
      </c>
    </row>
    <row r="15" spans="2:11" ht="35.1" customHeight="1">
      <c r="B15" s="400" t="s">
        <v>648</v>
      </c>
      <c r="C15" s="401"/>
      <c r="D15" s="401"/>
      <c r="E15" s="401"/>
      <c r="F15" s="401" t="e">
        <f>+#REF!</f>
        <v>#REF!</v>
      </c>
      <c r="G15" s="401"/>
      <c r="H15" s="401"/>
      <c r="I15" s="406"/>
      <c r="J15" s="408" t="e">
        <f t="shared" si="0"/>
        <v>#REF!</v>
      </c>
      <c r="K15" s="408" t="e">
        <f>+#REF!</f>
        <v>#REF!</v>
      </c>
    </row>
    <row r="16" spans="2:11" ht="35.1" customHeight="1">
      <c r="B16" s="400" t="s">
        <v>649</v>
      </c>
      <c r="C16" s="401"/>
      <c r="D16" s="401"/>
      <c r="E16" s="401"/>
      <c r="F16" s="401"/>
      <c r="G16" s="401" t="e">
        <f>+#REF!</f>
        <v>#REF!</v>
      </c>
      <c r="H16" s="401"/>
      <c r="I16" s="406"/>
      <c r="J16" s="408" t="e">
        <f t="shared" si="0"/>
        <v>#REF!</v>
      </c>
      <c r="K16" s="408" t="e">
        <f>+#REF!</f>
        <v>#REF!</v>
      </c>
    </row>
    <row r="17" spans="2:11" ht="35.1" customHeight="1">
      <c r="B17" s="400" t="s">
        <v>650</v>
      </c>
      <c r="C17" s="401"/>
      <c r="D17" s="401"/>
      <c r="E17" s="401"/>
      <c r="F17" s="401"/>
      <c r="G17" s="401" t="e">
        <f>+#REF!+#REF!</f>
        <v>#REF!</v>
      </c>
      <c r="H17" s="401"/>
      <c r="I17" s="406"/>
      <c r="J17" s="408" t="e">
        <f t="shared" si="0"/>
        <v>#REF!</v>
      </c>
      <c r="K17" s="408" t="e">
        <f>+#REF!+#REF!</f>
        <v>#REF!</v>
      </c>
    </row>
    <row r="18" spans="2:11" ht="35.1" customHeight="1">
      <c r="B18" s="400" t="s">
        <v>651</v>
      </c>
      <c r="C18" s="401"/>
      <c r="D18" s="401"/>
      <c r="E18" s="401"/>
      <c r="F18" s="401" t="e">
        <f>+#REF!</f>
        <v>#REF!</v>
      </c>
      <c r="G18" s="401"/>
      <c r="H18" s="401"/>
      <c r="I18" s="406"/>
      <c r="J18" s="408" t="e">
        <f t="shared" si="0"/>
        <v>#REF!</v>
      </c>
      <c r="K18" s="408" t="e">
        <f>+#REF!</f>
        <v>#REF!</v>
      </c>
    </row>
    <row r="19" spans="2:11" ht="35.1" customHeight="1">
      <c r="B19" s="400" t="s">
        <v>652</v>
      </c>
      <c r="C19" s="401"/>
      <c r="D19" s="401"/>
      <c r="E19" s="401"/>
      <c r="F19" s="401" t="e">
        <f>+#REF!+#REF!</f>
        <v>#REF!</v>
      </c>
      <c r="G19" s="401"/>
      <c r="H19" s="401"/>
      <c r="I19" s="406"/>
      <c r="J19" s="408" t="e">
        <f t="shared" si="0"/>
        <v>#REF!</v>
      </c>
      <c r="K19" s="408" t="e">
        <f>+#REF!+#REF!</f>
        <v>#REF!</v>
      </c>
    </row>
    <row r="20" spans="2:11" ht="35.1" customHeight="1">
      <c r="B20" s="400" t="s">
        <v>244</v>
      </c>
      <c r="C20" s="401"/>
      <c r="D20" s="401"/>
      <c r="E20" s="401"/>
      <c r="F20" s="401"/>
      <c r="G20" s="401"/>
      <c r="H20" s="401"/>
      <c r="I20" s="406" t="e">
        <f>+#REF!</f>
        <v>#REF!</v>
      </c>
      <c r="J20" s="408" t="e">
        <f t="shared" si="0"/>
        <v>#REF!</v>
      </c>
      <c r="K20" s="408" t="e">
        <f>+#REF!</f>
        <v>#REF!</v>
      </c>
    </row>
    <row r="21" spans="2:11" ht="35.1" customHeight="1">
      <c r="B21" s="400" t="s">
        <v>653</v>
      </c>
      <c r="C21" s="401"/>
      <c r="D21" s="401"/>
      <c r="E21" s="401"/>
      <c r="F21" s="401"/>
      <c r="G21" s="401"/>
      <c r="H21" s="401" t="e">
        <f>+#REF!+#REF!+#REF!+#REF!</f>
        <v>#REF!</v>
      </c>
      <c r="I21" s="406"/>
      <c r="J21" s="408" t="e">
        <f t="shared" si="0"/>
        <v>#REF!</v>
      </c>
      <c r="K21" s="408" t="e">
        <f>+#REF!+#REF!+#REF!+#REF!</f>
        <v>#REF!</v>
      </c>
    </row>
    <row r="22" spans="2:11" ht="35.1" customHeight="1">
      <c r="B22" s="402" t="s">
        <v>654</v>
      </c>
      <c r="C22" s="401"/>
      <c r="D22" s="401"/>
      <c r="E22" s="401"/>
      <c r="F22" s="401" t="e">
        <f>+#REF!</f>
        <v>#REF!</v>
      </c>
      <c r="G22" s="401"/>
      <c r="H22" s="401"/>
      <c r="I22" s="406"/>
      <c r="J22" s="408" t="e">
        <f t="shared" si="0"/>
        <v>#REF!</v>
      </c>
      <c r="K22" s="408" t="e">
        <f>+#REF!</f>
        <v>#REF!</v>
      </c>
    </row>
    <row r="23" spans="2:11" ht="35.1" customHeight="1">
      <c r="B23" s="402" t="s">
        <v>655</v>
      </c>
      <c r="C23" s="401"/>
      <c r="D23" s="401"/>
      <c r="E23" s="401"/>
      <c r="F23" s="401"/>
      <c r="G23" s="401"/>
      <c r="H23" s="401"/>
      <c r="I23" s="406"/>
      <c r="J23" s="408">
        <f t="shared" si="0"/>
        <v>0</v>
      </c>
      <c r="K23" s="408">
        <v>0</v>
      </c>
    </row>
    <row r="24" spans="2:11" ht="35.1" customHeight="1">
      <c r="B24" s="402" t="s">
        <v>184</v>
      </c>
      <c r="C24" s="401"/>
      <c r="D24" s="401"/>
      <c r="E24" s="401"/>
      <c r="F24" s="401"/>
      <c r="G24" s="401"/>
      <c r="H24" s="401"/>
      <c r="I24" s="406" t="e">
        <f>+#REF!</f>
        <v>#REF!</v>
      </c>
      <c r="J24" s="408" t="e">
        <f t="shared" si="0"/>
        <v>#REF!</v>
      </c>
      <c r="K24" s="408" t="e">
        <f>+#REF!</f>
        <v>#REF!</v>
      </c>
    </row>
    <row r="25" spans="2:11" ht="35.1" customHeight="1">
      <c r="B25" s="402" t="s">
        <v>612</v>
      </c>
      <c r="C25" s="401"/>
      <c r="D25" s="401"/>
      <c r="E25" s="401"/>
      <c r="F25" s="401"/>
      <c r="G25" s="401"/>
      <c r="H25" s="401"/>
      <c r="I25" s="406" t="e">
        <f>+#REF!</f>
        <v>#REF!</v>
      </c>
      <c r="J25" s="408" t="e">
        <f t="shared" si="0"/>
        <v>#REF!</v>
      </c>
      <c r="K25" s="408" t="e">
        <f>+#REF!</f>
        <v>#REF!</v>
      </c>
    </row>
    <row r="26" spans="2:11" ht="35.1" customHeight="1">
      <c r="B26" s="402" t="s">
        <v>656</v>
      </c>
      <c r="C26" s="401" t="e">
        <f>+#REF!</f>
        <v>#REF!</v>
      </c>
      <c r="D26" s="401"/>
      <c r="E26" s="401"/>
      <c r="F26" s="401"/>
      <c r="G26" s="401"/>
      <c r="H26" s="401"/>
      <c r="I26" s="406"/>
      <c r="J26" s="408" t="e">
        <f t="shared" si="0"/>
        <v>#REF!</v>
      </c>
      <c r="K26" s="408" t="e">
        <f>+#REF!</f>
        <v>#REF!</v>
      </c>
    </row>
    <row r="27" spans="2:11" ht="35.1" customHeight="1">
      <c r="B27" s="402" t="s">
        <v>657</v>
      </c>
      <c r="C27" s="401"/>
      <c r="D27" s="401"/>
      <c r="E27" s="401"/>
      <c r="F27" s="401"/>
      <c r="G27" s="401" t="e">
        <f>+#REF!</f>
        <v>#REF!</v>
      </c>
      <c r="H27" s="401"/>
      <c r="I27" s="406"/>
      <c r="J27" s="408" t="e">
        <f t="shared" si="0"/>
        <v>#REF!</v>
      </c>
      <c r="K27" s="408" t="e">
        <f>+#REF!</f>
        <v>#REF!</v>
      </c>
    </row>
    <row r="28" spans="2:11" ht="35.1" customHeight="1">
      <c r="B28" s="402" t="s">
        <v>658</v>
      </c>
      <c r="C28" s="401"/>
      <c r="D28" s="401"/>
      <c r="E28" s="401"/>
      <c r="F28" s="401"/>
      <c r="G28" s="401" t="e">
        <f>+#REF!</f>
        <v>#REF!</v>
      </c>
      <c r="H28" s="401"/>
      <c r="I28" s="406"/>
      <c r="J28" s="408" t="e">
        <f t="shared" si="0"/>
        <v>#REF!</v>
      </c>
      <c r="K28" s="408" t="e">
        <f>+#REF!</f>
        <v>#REF!</v>
      </c>
    </row>
    <row r="29" spans="2:11" ht="35.1" customHeight="1">
      <c r="B29" s="402" t="s">
        <v>371</v>
      </c>
      <c r="C29" s="401"/>
      <c r="D29" s="401"/>
      <c r="E29" s="401"/>
      <c r="F29" s="401" t="e">
        <f>+#REF!+#REF!+#REF!+#REF!+#REF!+#REF!+#REF!+#REF!+#REF!+#REF!+#REF!+#REF!+#REF!+#REF!+#REF!+#REF!+#REF!+#REF!+#REF!+#REF!+#REF!+#REF!+#REF!+#REF!+#REF!+#REF!+#REF!+#REF!+#REF!+#REF!</f>
        <v>#REF!</v>
      </c>
      <c r="G29" s="401" t="e">
        <f>+#REF!+#REF!+#REF!+#REF!+#REF!+#REF!+#REF!</f>
        <v>#REF!</v>
      </c>
      <c r="H29" s="401" t="e">
        <f>+#REF!+#REF!+#REF!</f>
        <v>#REF!</v>
      </c>
      <c r="I29" s="406"/>
      <c r="J29" s="408" t="e">
        <f t="shared" si="0"/>
        <v>#REF!</v>
      </c>
      <c r="K29" s="408" t="e">
        <f>+#REF!+#REF!+#REF!+#REF!+#REF!+#REF!+#REF!+#REF!+#REF!+#REF!+#REF!+#REF!+#REF!+#REF!+#REF!+#REF!+#REF!+#REF!+#REF!+#REF!+#REF!+#REF!+#REF!+#REF!+#REF!+#REF!+#REF!+#REF!+#REF!+#REF!+#REF!+#REF!+#REF!+#REF!+#REF!+#REF!+#REF!+#REF!+#REF!+#REF!+#REF!</f>
        <v>#REF!</v>
      </c>
    </row>
    <row r="30" spans="2:11" ht="35.1" customHeight="1">
      <c r="B30" s="390" t="s">
        <v>661</v>
      </c>
      <c r="C30" s="391" t="e">
        <f t="shared" ref="C30:H30" si="1">SUM(C12:C29)</f>
        <v>#REF!</v>
      </c>
      <c r="D30" s="391">
        <f t="shared" si="1"/>
        <v>0</v>
      </c>
      <c r="E30" s="391">
        <f t="shared" si="1"/>
        <v>0</v>
      </c>
      <c r="F30" s="391" t="e">
        <f t="shared" si="1"/>
        <v>#REF!</v>
      </c>
      <c r="G30" s="391" t="e">
        <f t="shared" si="1"/>
        <v>#REF!</v>
      </c>
      <c r="H30" s="391" t="e">
        <f t="shared" si="1"/>
        <v>#REF!</v>
      </c>
      <c r="I30" s="391" t="e">
        <f>SUM(I12:I29)</f>
        <v>#REF!</v>
      </c>
      <c r="J30" s="407" t="e">
        <f>SUM(J12:J29)</f>
        <v>#REF!</v>
      </c>
      <c r="K30" s="407"/>
    </row>
    <row r="31" spans="2:11" ht="35.1" customHeight="1">
      <c r="B31" s="390" t="s">
        <v>660</v>
      </c>
      <c r="C31" s="391">
        <f>-+RESULTAD!C13</f>
        <v>0</v>
      </c>
      <c r="D31" s="392">
        <v>0</v>
      </c>
      <c r="E31" s="393">
        <v>0</v>
      </c>
      <c r="F31" s="391">
        <f>-RESULTAD!C24</f>
        <v>-110546150</v>
      </c>
      <c r="G31" s="391">
        <f>-RESULTAD!C22</f>
        <v>0</v>
      </c>
      <c r="H31" s="391">
        <f>-RESULTAD!C29</f>
        <v>0</v>
      </c>
      <c r="I31" s="391">
        <f>-RESULTAD!C39-RESULTAD!C43-RESULTAD!C45</f>
        <v>-107626516</v>
      </c>
      <c r="J31" s="391"/>
      <c r="K31" s="391" t="e">
        <f>SUM(K12:K30)</f>
        <v>#REF!</v>
      </c>
    </row>
    <row r="32" spans="2:11" ht="15.75" customHeight="1">
      <c r="C32" s="387" t="e">
        <f>+RESULTAD!D13+'Anexo H F2'!C30</f>
        <v>#REF!</v>
      </c>
      <c r="F32" s="387" t="e">
        <f>+RESULTAD!D24+'Anexo H F2'!F30</f>
        <v>#REF!</v>
      </c>
      <c r="G32" s="387" t="e">
        <f>+RESULTAD!D22+'Anexo H F2'!G30</f>
        <v>#REF!</v>
      </c>
      <c r="H32" s="387" t="e">
        <f>+RESULTAD!D29+'Anexo H F2'!H30</f>
        <v>#REF!</v>
      </c>
      <c r="I32" s="387" t="e">
        <f>+RESULTAD!D39+RESULTAD!D43+RESULTAD!D45+'Anexo H F2'!I30</f>
        <v>#REF!</v>
      </c>
      <c r="J32" s="387" t="e">
        <f>+RESULTAD!D13+RESULTAD!D33+RESULTAD!D39+RESULTAD!D43+RESULTAD!D45+J30</f>
        <v>#REF!</v>
      </c>
      <c r="K32" s="387" t="e">
        <f>+RESULTAD!C13+RESULTAD!C33+RESULTAD!C39+RESULTAD!C43+RESULTAD!C45+K31</f>
        <v>#REF!</v>
      </c>
    </row>
  </sheetData>
  <mergeCells count="13">
    <mergeCell ref="G8:G11"/>
    <mergeCell ref="H8:H11"/>
    <mergeCell ref="J8:K8"/>
    <mergeCell ref="B2:K2"/>
    <mergeCell ref="B3:K3"/>
    <mergeCell ref="B4:K4"/>
    <mergeCell ref="B6:K6"/>
    <mergeCell ref="B8:B11"/>
    <mergeCell ref="C8:C11"/>
    <mergeCell ref="D8:D11"/>
    <mergeCell ref="E8:E11"/>
    <mergeCell ref="F8:F11"/>
    <mergeCell ref="I8:I11"/>
  </mergeCells>
  <pageMargins left="0.98425196850393704" right="0.59055118110236227" top="1.1811023622047245" bottom="1.5748031496062993" header="0.51181102362204722" footer="0.51181102362204722"/>
  <pageSetup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G44"/>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5" width="15.7109375" style="1" customWidth="1"/>
    <col min="6" max="6" width="16.5703125" style="1" customWidth="1"/>
    <col min="7" max="7" width="14.7109375" style="1" customWidth="1"/>
  </cols>
  <sheetData>
    <row r="1" spans="1:7">
      <c r="A1" s="1115" t="s">
        <v>0</v>
      </c>
      <c r="B1" s="1115"/>
      <c r="C1" s="1115"/>
      <c r="D1" s="1115"/>
      <c r="E1" s="1115"/>
      <c r="F1" s="1115"/>
    </row>
    <row r="2" spans="1:7">
      <c r="A2" s="1115" t="s">
        <v>1</v>
      </c>
      <c r="B2" s="1115"/>
      <c r="C2" s="1115"/>
      <c r="D2" s="1115"/>
      <c r="E2" s="1115"/>
      <c r="F2" s="1115"/>
    </row>
    <row r="3" spans="1:7">
      <c r="A3" s="1115" t="s">
        <v>2</v>
      </c>
      <c r="B3" s="1115"/>
      <c r="C3" s="1115"/>
      <c r="D3" s="1115"/>
      <c r="E3" s="1115"/>
      <c r="F3" s="1115"/>
    </row>
    <row r="4" spans="1:7">
      <c r="A4" s="1115" t="s">
        <v>3</v>
      </c>
      <c r="B4" s="1115"/>
      <c r="C4" s="1115"/>
      <c r="D4" s="1115"/>
      <c r="E4" s="1115"/>
      <c r="F4" s="1115"/>
    </row>
    <row r="5" spans="1:7">
      <c r="A5" s="1115" t="str">
        <f>EGRESOS!A5</f>
        <v>01/01/11 AL 31/12/11</v>
      </c>
      <c r="B5" s="1115"/>
      <c r="C5" s="1115"/>
      <c r="D5" s="1115"/>
      <c r="E5" s="1115"/>
      <c r="F5" s="1115"/>
    </row>
    <row r="6" spans="1:7">
      <c r="A6" s="4"/>
      <c r="B6" s="5"/>
      <c r="C6" s="5"/>
      <c r="D6" s="5"/>
      <c r="E6" s="5"/>
    </row>
    <row r="7" spans="1:7">
      <c r="A7" s="6" t="s">
        <v>196</v>
      </c>
      <c r="B7" s="7"/>
      <c r="C7" s="7"/>
      <c r="D7" s="7"/>
      <c r="E7" s="7"/>
      <c r="F7" s="8">
        <f>SUM(F9:F44)</f>
        <v>0</v>
      </c>
      <c r="G7" s="1">
        <f>+F7-EGRESOS!F7</f>
        <v>0</v>
      </c>
    </row>
    <row r="8" spans="1:7">
      <c r="A8" s="4"/>
      <c r="B8" s="5"/>
      <c r="C8" s="5"/>
      <c r="D8" s="5"/>
      <c r="E8" s="5"/>
      <c r="F8" s="5"/>
    </row>
    <row r="9" spans="1:7">
      <c r="A9" s="4" t="s">
        <v>197</v>
      </c>
      <c r="B9" s="5"/>
      <c r="C9" s="5"/>
      <c r="D9" s="5"/>
      <c r="E9" s="5"/>
      <c r="F9" s="5">
        <f>E10+E14+E23+E33+E36</f>
        <v>0</v>
      </c>
    </row>
    <row r="10" spans="1:7">
      <c r="A10" s="4"/>
      <c r="B10" s="5" t="s">
        <v>198</v>
      </c>
      <c r="C10" s="5"/>
      <c r="D10" s="5"/>
      <c r="E10" s="5">
        <f>SUM(D11:D12)</f>
        <v>0</v>
      </c>
    </row>
    <row r="11" spans="1:7">
      <c r="C11" s="1" t="s">
        <v>199</v>
      </c>
      <c r="D11" s="1">
        <v>0</v>
      </c>
    </row>
    <row r="12" spans="1:7">
      <c r="C12" s="1" t="s">
        <v>200</v>
      </c>
      <c r="D12" s="1">
        <v>0</v>
      </c>
    </row>
    <row r="14" spans="1:7">
      <c r="B14" s="5" t="s">
        <v>201</v>
      </c>
      <c r="C14" s="5"/>
      <c r="D14" s="5"/>
      <c r="E14" s="5">
        <f>SUM(D15:D21)</f>
        <v>0</v>
      </c>
      <c r="F14" s="5"/>
    </row>
    <row r="15" spans="1:7">
      <c r="C15" s="1" t="s">
        <v>202</v>
      </c>
      <c r="D15" s="1">
        <v>0</v>
      </c>
    </row>
    <row r="16" spans="1:7">
      <c r="C16" s="1" t="s">
        <v>203</v>
      </c>
      <c r="D16" s="1">
        <v>0</v>
      </c>
    </row>
    <row r="17" spans="2:5">
      <c r="C17" s="1" t="s">
        <v>204</v>
      </c>
      <c r="D17" s="1">
        <v>0</v>
      </c>
    </row>
    <row r="18" spans="2:5">
      <c r="C18" s="1" t="s">
        <v>205</v>
      </c>
      <c r="D18" s="1">
        <v>0</v>
      </c>
    </row>
    <row r="19" spans="2:5">
      <c r="C19" s="1" t="s">
        <v>206</v>
      </c>
      <c r="D19" s="1">
        <v>0</v>
      </c>
    </row>
    <row r="20" spans="2:5">
      <c r="C20" s="1" t="s">
        <v>207</v>
      </c>
      <c r="D20" s="1">
        <v>0</v>
      </c>
    </row>
    <row r="21" spans="2:5">
      <c r="C21" s="14" t="s">
        <v>208</v>
      </c>
      <c r="D21" s="1">
        <v>0</v>
      </c>
    </row>
    <row r="23" spans="2:5">
      <c r="B23" s="5" t="s">
        <v>209</v>
      </c>
      <c r="E23" s="5">
        <f>SUM(D24:D32)</f>
        <v>0</v>
      </c>
    </row>
    <row r="24" spans="2:5">
      <c r="C24" s="1" t="s">
        <v>210</v>
      </c>
      <c r="D24" s="1">
        <v>0</v>
      </c>
    </row>
    <row r="25" spans="2:5">
      <c r="C25" s="1" t="s">
        <v>211</v>
      </c>
      <c r="D25" s="1">
        <v>0</v>
      </c>
    </row>
    <row r="26" spans="2:5">
      <c r="C26" s="1" t="s">
        <v>212</v>
      </c>
      <c r="D26" s="1">
        <v>0</v>
      </c>
    </row>
    <row r="27" spans="2:5">
      <c r="C27" s="14" t="s">
        <v>213</v>
      </c>
      <c r="D27" s="1">
        <v>0</v>
      </c>
    </row>
    <row r="28" spans="2:5">
      <c r="C28" s="14" t="s">
        <v>214</v>
      </c>
      <c r="D28" s="1">
        <v>0</v>
      </c>
    </row>
    <row r="29" spans="2:5">
      <c r="C29" s="1" t="s">
        <v>215</v>
      </c>
      <c r="D29" s="1">
        <v>0</v>
      </c>
    </row>
    <row r="30" spans="2:5">
      <c r="C30" s="1" t="s">
        <v>216</v>
      </c>
      <c r="D30" s="1">
        <v>0</v>
      </c>
    </row>
    <row r="31" spans="2:5">
      <c r="C31" s="1" t="s">
        <v>217</v>
      </c>
      <c r="D31" s="1">
        <v>0</v>
      </c>
    </row>
    <row r="32" spans="2:5">
      <c r="C32" s="1" t="s">
        <v>218</v>
      </c>
      <c r="D32" s="1">
        <v>0</v>
      </c>
    </row>
    <row r="33" spans="1:6" ht="21" customHeight="1">
      <c r="B33" s="5" t="s">
        <v>219</v>
      </c>
      <c r="E33" s="5">
        <f>D34</f>
        <v>0</v>
      </c>
    </row>
    <row r="34" spans="1:6">
      <c r="C34" s="1" t="s">
        <v>220</v>
      </c>
      <c r="D34" s="1">
        <v>0</v>
      </c>
    </row>
    <row r="36" spans="1:6">
      <c r="B36" s="5" t="s">
        <v>221</v>
      </c>
      <c r="E36" s="5">
        <f>D37</f>
        <v>0</v>
      </c>
    </row>
    <row r="37" spans="1:6">
      <c r="C37" s="1" t="s">
        <v>222</v>
      </c>
      <c r="D37" s="1">
        <v>0</v>
      </c>
    </row>
    <row r="39" spans="1:6">
      <c r="A39" s="4" t="s">
        <v>223</v>
      </c>
      <c r="F39" s="5">
        <f>SUM(D40:D42)</f>
        <v>0</v>
      </c>
    </row>
    <row r="40" spans="1:6">
      <c r="C40" s="1" t="s">
        <v>224</v>
      </c>
      <c r="D40" s="1">
        <v>0</v>
      </c>
    </row>
    <row r="41" spans="1:6">
      <c r="C41" s="1" t="s">
        <v>225</v>
      </c>
      <c r="D41" s="1">
        <v>0</v>
      </c>
    </row>
    <row r="42" spans="1:6">
      <c r="C42" s="1" t="s">
        <v>226</v>
      </c>
      <c r="D42" s="1">
        <v>0</v>
      </c>
    </row>
    <row r="44" spans="1:6">
      <c r="A44" s="4" t="s">
        <v>227</v>
      </c>
      <c r="B44" s="5"/>
      <c r="C44" s="5"/>
      <c r="D44" s="5"/>
      <c r="E44" s="5"/>
      <c r="F44" s="5">
        <f>ACTIVO!G104</f>
        <v>0</v>
      </c>
    </row>
  </sheetData>
  <mergeCells count="5">
    <mergeCell ref="A5:F5"/>
    <mergeCell ref="A1:F1"/>
    <mergeCell ref="A2:F2"/>
    <mergeCell ref="A3:F3"/>
    <mergeCell ref="A4:F4"/>
  </mergeCells>
  <phoneticPr fontId="22" type="noConversion"/>
  <pageMargins left="0.55972222222222223" right="0.74791666666666667" top="0.69027777777777777" bottom="0.98402777777777783" header="0.51180555555555562" footer="0.51180555555555562"/>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C33"/>
  <sheetViews>
    <sheetView tabSelected="1" zoomScale="80" zoomScaleNormal="80" workbookViewId="0">
      <selection activeCell="F16" sqref="F16"/>
    </sheetView>
  </sheetViews>
  <sheetFormatPr baseColWidth="10" defaultRowHeight="15"/>
  <cols>
    <col min="1" max="1" width="11.42578125" style="412"/>
    <col min="2" max="2" width="32.28515625" style="412" customWidth="1"/>
    <col min="3" max="3" width="59.42578125" style="412" customWidth="1"/>
    <col min="4" max="16384" width="11.42578125" style="412"/>
  </cols>
  <sheetData>
    <row r="8" spans="2:3">
      <c r="B8" s="1119" t="s">
        <v>986</v>
      </c>
      <c r="C8" s="1119"/>
    </row>
    <row r="10" spans="2:3">
      <c r="B10" s="1119" t="s">
        <v>1294</v>
      </c>
      <c r="C10" s="1119"/>
    </row>
    <row r="12" spans="2:3">
      <c r="B12" s="514" t="s">
        <v>987</v>
      </c>
    </row>
    <row r="13" spans="2:3" ht="15.75" thickBot="1">
      <c r="B13" s="515"/>
    </row>
    <row r="14" spans="2:3" ht="30" customHeight="1" thickBot="1">
      <c r="B14" s="509" t="s">
        <v>889</v>
      </c>
      <c r="C14" s="510" t="s">
        <v>890</v>
      </c>
    </row>
    <row r="15" spans="2:3" ht="30" customHeight="1" thickBot="1">
      <c r="B15" s="511" t="s">
        <v>1111</v>
      </c>
      <c r="C15" s="512" t="s">
        <v>891</v>
      </c>
    </row>
    <row r="16" spans="2:3" ht="30" customHeight="1" thickBot="1">
      <c r="B16" s="511" t="s">
        <v>1112</v>
      </c>
      <c r="C16" s="512" t="s">
        <v>892</v>
      </c>
    </row>
    <row r="17" spans="2:3" ht="30" customHeight="1">
      <c r="B17" s="1117" t="s">
        <v>1113</v>
      </c>
      <c r="C17" s="513" t="s">
        <v>893</v>
      </c>
    </row>
    <row r="18" spans="2:3" ht="30" customHeight="1" thickBot="1">
      <c r="B18" s="1118"/>
      <c r="C18" s="512" t="s">
        <v>894</v>
      </c>
    </row>
    <row r="19" spans="2:3" ht="30" customHeight="1" thickBot="1">
      <c r="B19" s="511" t="s">
        <v>1142</v>
      </c>
      <c r="C19" s="512" t="s">
        <v>895</v>
      </c>
    </row>
    <row r="20" spans="2:3" ht="30" customHeight="1" thickBot="1">
      <c r="B20" s="511" t="s">
        <v>896</v>
      </c>
      <c r="C20" s="512" t="s">
        <v>897</v>
      </c>
    </row>
    <row r="21" spans="2:3" ht="30" customHeight="1" thickBot="1">
      <c r="B21" s="511" t="s">
        <v>1114</v>
      </c>
      <c r="C21" s="512" t="s">
        <v>898</v>
      </c>
    </row>
    <row r="22" spans="2:3" ht="30" customHeight="1">
      <c r="B22" s="1117" t="s">
        <v>1115</v>
      </c>
      <c r="C22" s="513" t="s">
        <v>893</v>
      </c>
    </row>
    <row r="23" spans="2:3" ht="30" customHeight="1" thickBot="1">
      <c r="B23" s="1118"/>
      <c r="C23" s="512" t="s">
        <v>894</v>
      </c>
    </row>
    <row r="31" spans="2:3">
      <c r="B31" s="1116" t="s">
        <v>1043</v>
      </c>
      <c r="C31" s="1116"/>
    </row>
    <row r="32" spans="2:3">
      <c r="B32" s="1116" t="s">
        <v>1117</v>
      </c>
      <c r="C32" s="1116"/>
    </row>
    <row r="33" spans="2:3">
      <c r="B33" s="1116" t="s">
        <v>1014</v>
      </c>
      <c r="C33" s="1116"/>
    </row>
  </sheetData>
  <mergeCells count="7">
    <mergeCell ref="B33:C33"/>
    <mergeCell ref="B17:B18"/>
    <mergeCell ref="B8:C8"/>
    <mergeCell ref="B10:C10"/>
    <mergeCell ref="B31:C31"/>
    <mergeCell ref="B32:C32"/>
    <mergeCell ref="B22: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7"/>
  <sheetViews>
    <sheetView zoomScale="80" zoomScaleNormal="80" workbookViewId="0">
      <selection activeCell="E11" sqref="E11"/>
    </sheetView>
  </sheetViews>
  <sheetFormatPr baseColWidth="10" defaultRowHeight="15"/>
  <cols>
    <col min="1" max="1" width="11.42578125" style="412"/>
    <col min="2" max="2" width="41.85546875" style="412" customWidth="1"/>
    <col min="3" max="3" width="46.140625" style="412" customWidth="1"/>
    <col min="4" max="16384" width="11.42578125" style="412"/>
  </cols>
  <sheetData>
    <row r="9" spans="2:3">
      <c r="B9" s="514" t="s">
        <v>988</v>
      </c>
      <c r="C9" s="515"/>
    </row>
    <row r="10" spans="2:3" ht="15.75" thickBot="1">
      <c r="B10" s="515"/>
      <c r="C10" s="515"/>
    </row>
    <row r="11" spans="2:3">
      <c r="B11" s="516" t="s">
        <v>1116</v>
      </c>
      <c r="C11" s="520" t="s">
        <v>1221</v>
      </c>
    </row>
    <row r="12" spans="2:3">
      <c r="B12" s="517" t="s">
        <v>981</v>
      </c>
      <c r="C12" s="521" t="s">
        <v>982</v>
      </c>
    </row>
    <row r="13" spans="2:3" ht="30.75" thickBot="1">
      <c r="B13" s="518" t="s">
        <v>1222</v>
      </c>
      <c r="C13" s="522" t="s">
        <v>1223</v>
      </c>
    </row>
    <row r="14" spans="2:3" ht="15.75" thickBot="1">
      <c r="B14" s="523"/>
      <c r="C14" s="523"/>
    </row>
    <row r="15" spans="2:3" ht="28.5" customHeight="1">
      <c r="B15" s="1120" t="s">
        <v>1224</v>
      </c>
      <c r="C15" s="1121"/>
    </row>
    <row r="16" spans="2:3">
      <c r="B16" s="517" t="s">
        <v>1116</v>
      </c>
      <c r="C16" s="521" t="s">
        <v>1225</v>
      </c>
    </row>
    <row r="17" spans="2:6">
      <c r="B17" s="517" t="s">
        <v>981</v>
      </c>
      <c r="C17" s="521" t="s">
        <v>983</v>
      </c>
      <c r="F17" s="524"/>
    </row>
    <row r="18" spans="2:6" ht="30.75" thickBot="1">
      <c r="B18" s="518" t="s">
        <v>1222</v>
      </c>
      <c r="C18" s="522" t="s">
        <v>1223</v>
      </c>
    </row>
    <row r="19" spans="2:6" ht="15.75" thickBot="1">
      <c r="B19" s="523"/>
      <c r="C19" s="523"/>
    </row>
    <row r="20" spans="2:6" ht="28.5" customHeight="1">
      <c r="B20" s="1120" t="s">
        <v>1224</v>
      </c>
      <c r="C20" s="1121"/>
    </row>
    <row r="21" spans="2:6">
      <c r="B21" s="517" t="s">
        <v>1116</v>
      </c>
      <c r="C21" s="521" t="s">
        <v>1033</v>
      </c>
    </row>
    <row r="22" spans="2:6">
      <c r="B22" s="517" t="s">
        <v>981</v>
      </c>
      <c r="C22" s="521" t="s">
        <v>1226</v>
      </c>
    </row>
    <row r="23" spans="2:6" ht="30.75" thickBot="1">
      <c r="B23" s="518" t="s">
        <v>1222</v>
      </c>
      <c r="C23" s="522" t="s">
        <v>1227</v>
      </c>
    </row>
    <row r="24" spans="2:6" ht="15.75" thickBot="1">
      <c r="B24" s="523"/>
      <c r="C24" s="523"/>
    </row>
    <row r="25" spans="2:6" ht="28.5" customHeight="1">
      <c r="B25" s="1120" t="s">
        <v>1224</v>
      </c>
      <c r="C25" s="1121"/>
    </row>
    <row r="26" spans="2:6">
      <c r="B26" s="517" t="s">
        <v>1116</v>
      </c>
      <c r="C26" s="521" t="s">
        <v>1228</v>
      </c>
    </row>
    <row r="27" spans="2:6">
      <c r="B27" s="517" t="s">
        <v>981</v>
      </c>
      <c r="C27" s="521" t="s">
        <v>1229</v>
      </c>
    </row>
    <row r="28" spans="2:6" ht="30.75" thickBot="1">
      <c r="B28" s="518" t="s">
        <v>1222</v>
      </c>
      <c r="C28" s="522" t="s">
        <v>1230</v>
      </c>
    </row>
    <row r="29" spans="2:6" ht="15.75" thickBot="1">
      <c r="B29" s="523"/>
      <c r="C29" s="523"/>
    </row>
    <row r="30" spans="2:6" ht="28.5" customHeight="1">
      <c r="B30" s="1120" t="s">
        <v>1224</v>
      </c>
      <c r="C30" s="1121"/>
    </row>
    <row r="31" spans="2:6">
      <c r="B31" s="517" t="s">
        <v>1116</v>
      </c>
      <c r="C31" s="521" t="s">
        <v>1231</v>
      </c>
    </row>
    <row r="32" spans="2:6">
      <c r="B32" s="517" t="s">
        <v>981</v>
      </c>
      <c r="C32" s="521" t="s">
        <v>1232</v>
      </c>
    </row>
    <row r="33" spans="2:3" ht="30.75" thickBot="1">
      <c r="B33" s="518" t="s">
        <v>1222</v>
      </c>
      <c r="C33" s="522" t="s">
        <v>1233</v>
      </c>
    </row>
    <row r="34" spans="2:3">
      <c r="B34" s="519"/>
      <c r="C34" s="523"/>
    </row>
    <row r="35" spans="2:3">
      <c r="B35" s="1122" t="s">
        <v>1043</v>
      </c>
      <c r="C35" s="1122"/>
    </row>
    <row r="36" spans="2:3">
      <c r="B36" s="1116" t="s">
        <v>1117</v>
      </c>
      <c r="C36" s="1116"/>
    </row>
    <row r="37" spans="2:3">
      <c r="B37" s="1116" t="s">
        <v>1014</v>
      </c>
      <c r="C37" s="1116"/>
    </row>
  </sheetData>
  <mergeCells count="7">
    <mergeCell ref="B36:C36"/>
    <mergeCell ref="B37:C37"/>
    <mergeCell ref="B15:C15"/>
    <mergeCell ref="B20:C20"/>
    <mergeCell ref="B25:C25"/>
    <mergeCell ref="B30:C30"/>
    <mergeCell ref="B35:C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C33"/>
  <sheetViews>
    <sheetView zoomScale="85" zoomScaleNormal="85" workbookViewId="0">
      <selection activeCell="C15" sqref="A1:XFD1048576"/>
    </sheetView>
  </sheetViews>
  <sheetFormatPr baseColWidth="10" defaultRowHeight="15"/>
  <cols>
    <col min="1" max="1" width="11.42578125" style="412"/>
    <col min="2" max="2" width="36.42578125" style="412" customWidth="1"/>
    <col min="3" max="3" width="36.140625" style="412" customWidth="1"/>
    <col min="4" max="16384" width="11.42578125" style="412"/>
  </cols>
  <sheetData>
    <row r="9" spans="2:3" s="515" customFormat="1">
      <c r="B9" s="514" t="s">
        <v>989</v>
      </c>
    </row>
    <row r="10" spans="2:3" ht="15.75" thickBot="1"/>
    <row r="11" spans="2:3" ht="30" customHeight="1">
      <c r="B11" s="525" t="s">
        <v>974</v>
      </c>
      <c r="C11" s="526" t="s">
        <v>975</v>
      </c>
    </row>
    <row r="12" spans="2:3" ht="30" customHeight="1">
      <c r="B12" s="527" t="s">
        <v>980</v>
      </c>
      <c r="C12" s="528" t="s">
        <v>978</v>
      </c>
    </row>
    <row r="13" spans="2:3" ht="30" customHeight="1">
      <c r="B13" s="527" t="s">
        <v>976</v>
      </c>
      <c r="C13" s="528" t="s">
        <v>867</v>
      </c>
    </row>
    <row r="14" spans="2:3" ht="30" customHeight="1">
      <c r="B14" s="527" t="s">
        <v>977</v>
      </c>
      <c r="C14" s="528" t="s">
        <v>978</v>
      </c>
    </row>
    <row r="15" spans="2:3" ht="30" customHeight="1">
      <c r="B15" s="527" t="s">
        <v>979</v>
      </c>
      <c r="C15" s="528" t="s">
        <v>1143</v>
      </c>
    </row>
    <row r="16" spans="2:3" ht="30" customHeight="1" thickBot="1">
      <c r="B16" s="529" t="s">
        <v>1175</v>
      </c>
      <c r="C16" s="530" t="s">
        <v>978</v>
      </c>
    </row>
    <row r="31" spans="2:3">
      <c r="B31" s="1116" t="s">
        <v>1043</v>
      </c>
      <c r="C31" s="1116"/>
    </row>
    <row r="32" spans="2:3">
      <c r="B32" s="1116" t="s">
        <v>237</v>
      </c>
      <c r="C32" s="1116"/>
    </row>
    <row r="33" spans="2:3">
      <c r="B33" s="1116" t="s">
        <v>1014</v>
      </c>
      <c r="C33" s="1116"/>
    </row>
  </sheetData>
  <mergeCells count="3">
    <mergeCell ref="B31:C31"/>
    <mergeCell ref="B32:C32"/>
    <mergeCell ref="B33:C33"/>
  </mergeCells>
  <pageMargins left="0.7" right="0.7" top="0.75" bottom="0.75" header="0.3" footer="0.3"/>
  <pageSetup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d2H6w0oSKaYkPSbvHr3lrv386QMWjEvbjWcgFmwlQXLcUiGPWDyFa2ebcCqTDoQoPBvXurug/FE7
ETJTw0xEcg==</DigestValue>
    </Reference>
    <Reference Type="http://www.w3.org/2000/09/xmldsig#Object" URI="#idOfficeObject">
      <DigestMethod Algorithm="http://www.w3.org/2001/04/xmlenc#sha512"/>
      <DigestValue>z7yev/MAShE/FCIMYTm+xAgOKW7h9WP8ColRbgst8fq+GVWC7LjOBZvTMHclRF7/Pkhm02+egqMC
FCZhp+VxoA==</DigestValue>
    </Reference>
    <Reference Type="http://uri.etsi.org/01903#SignedProperties" URI="#idSignedProperties">
      <Transforms>
        <Transform Algorithm="http://www.w3.org/TR/2001/REC-xml-c14n-20010315"/>
      </Transforms>
      <DigestMethod Algorithm="http://www.w3.org/2001/04/xmlenc#sha512"/>
      <DigestValue>A4yL+7+hzHXXy0X8bQwoVhZc0vUvRNS8wZNHWYYSPiLL2FhyIaDEVbjvSPQ4GTmFGxH3RDNTfLLT
kHmlI/A+/w==</DigestValue>
    </Reference>
  </SignedInfo>
  <SignatureValue>P+U+o4K9QlBeWYPpju+t+EgxxAb5yCkTTMOKvLc1sDXDWb63CTBtbgpQnM5GvCEZRLUN1yNycCCC
lnvmom9UEOnFZeS3qMSgHBFJU1+HIz7B19q9hMOj9QUdIXzAnuzG0/7nvULEV/MaVUSkMYot/Y1p
YtfHjaBo5NxFmOYxk8XrUCCuW7pe05AIvJ6zYnkmrlj4vfCLNSGxLoOgGltXQHb+iz/ivrMAAhjl
UlfwGJft2S5gLsrgO5aZri+rq+swe+zXg39wd8U1EF7uwB71O4FXsxMSxADnnclK7819oOyblRwr
b4K8xBSSapxFZPM8loXnrBJ899boNfuU39l8Kg==</SignatureValue>
  <KeyInfo>
    <X509Data>
      <X509Certificate>MIIHoTCCBYmgAwIBAgIQEzRoJOh5Hp5CL2HYICF0ADANBgkqhkiG9w0BAQ0FADCBhTELMAkGA1UEBhMCUFkxDTALBgNVBAoTBElDUFAxODA2BgNVBAsTL1ByZXN0YWRvciBDdWFsaWZpY2FkbyBkZSBTZXJ2aWNpb3MgZGUgQ29uZmlhbnphMRUwEwYDVQQDEwxDT0RFMTAwIFMuQS4xFjAUBgNVBAUTDVJVQzgwMDgwNjEwLTcwHhcNMjMwMjA5MTMxODM3WhcNMjUwMjA5MTMxODM3WjCBujELMAkGA1UEBhMCUFkxNjA0BgNVBAoMLUNFUlRJRklDQURPIENVQUxJRklDQURPIERFIEZJUk1BIEVMRUNUUsOTTklDQTELMAkGA1UECxMCRjIxFjAUBgNVBAQTDUdPTUVaIERFTEdBRE8xFTATBgNVBCoTDEFOQSBHUklTRUxEQTEjMCEGA1UEAxMaQU5BIEdSSVNFTERBIEdPTUVaIERFTEdBRE8xEjAQBgNVBAUTCUNJMzkxODEzODCCASIwDQYJKoZIhvcNAQEBBQADggEPADCCAQoCggEBAN0Igj7PIN7OMO+gIe2pw7hBmtCENYh3x4KIo0b49b+iohUbEyI+/Uu5GkwXX8xyJWW0Q4jGzV64Ip9Kmbe+OfYoiwQcKSunRXWaO5xBrPNEcXZk+2woGHJize5hHhZrPG9Lu5F195mJHB/Qv0ndGu5HDFar7BGdIVfog/jxzRGgRpPjPux7tkmK2yesnIcxug2a/uPKi6xyJYGxynAZmBGRbQrV7E2bJ/pJ1x6kSEOhbM93+wJepYa3jiNYxnpMPYh3c7btTe9B7Nx3Rr0MY7UahpRuj22RRQQC+H4YcOMSZOufD7KY31o2LFxj8DhdjDCc5wp5cgHXOcPjOjgMCo0CAwEAAaOCAtQwggLQMAwGA1UdEwEB/wQCMAAwHQYDVR0OBBYEFKC5hcyGWpvPpmXl1xvPAnDRQNOSMB8GA1UdIwQYMBaAFL41VGJoYOcm0zHBX5ex4vZkzgf1MA4GA1UdDwEB/wQEAwIF4DBLBgNVHREERDBCgRNDT05UQURPUk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A7hWncHIjUBYbND0nuO/EZjLN9Z0oLncUcklwvkxH/Y4/LxFDi8vN2q34reED6H/Z1VE/W9rGmTmhnLe99QvRTFOSG9HXkS2MWqY71zLPVutAlJ6mWV9h2rSXzlD1YZLRiZfmCRXRpJniigFL9cm8YRmaP6ldI8bCwWc1XTfWWbEzIvoICiorakmWV0IA/WZM0PkH21W5towHVq4ooLlpY5DyqXXIrMdAgOQbRQNcCvjl+Mo517w3kaSnHeNZma0Qr13OleCRE/OmzB6tw5ljqs3rpZSlmG6fJ+Lb1+UdDM0PjKSDp/9u5X5wBF1KIPQU56FZqBM3zgWPSJOM/TgS8/60aBtEP6wt2D75Z57hQGxw2pY6yjoFDSQp/X4aWlHl4OegxcXrBvIb0DxUO3lqe4hlx1/KBorNyVGrRgHRWmD/F/d8w1wmsak7apFnwX5GBiQK/AcqGwUZVoWl1T4WeUqldG/4pHElaRQTvuZc9AYHXQPfV8hpdwaqyr4AiNVscuwHhENrJC/x/XHmNZgTZ0IwCVchPg8Fli+b7dO+O/JPamd+/lcPEWLpg4fGJ1faWVke20Dt/J7ttB1M8EPqNZlc42HFgmHH73nwgjvEBxC7h+Uuw6l2L9AiJtzkE5wpX1fPTj6i5Ukjs7X7eoLOEsBBhRCxCAdv24wCtpOIf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BR9CwnJ8AHQD/oga807dXNBO2tKwQCVBeG8AOIScmzmPl4LXXvzixTgYkM8kZNmQVB5IZ3+appqLnY3WRXjrsA==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vC9Ybf7mLdSsinCWSqEOYeocn/+MhwnIoctJQdAwnnK4CDwQp3PX35amw69PTdt12/NT9NSaoWtQ+j+sBIS5EQ==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FG2/0iODOBNk3oAxrhisGanNVRvGO1OOFYl8WoLNVJXktORTzklP5Om51ACNnNkxF4q2WQSLifvlIwuHErV9lw==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PaInxNIgdmBcDgeRo7TAnjUcZtaarz5N83PapBzciusk58Jwr2k5a2T3UpnM8w912bPi17OPLqb/IW1gEqA/iA==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abKu7mg1dD5+udBGnbGkVmRIFkZCuL7twcZG9QmrnILpfWxUDYOvaUBdvBq9RlKSmYV/IRy5Z6KV2exgoBOBZw==</DigestValue>
      </Reference>
      <Reference URI="/xl/styles.xml?ContentType=application/vnd.openxmlformats-officedocument.spreadsheetml.styles+xml">
        <DigestMethod Algorithm="http://www.w3.org/2001/04/xmlenc#sha512"/>
        <DigestValue>FApIdpwgqp/FFYwAL2rjA7Dz1cpoROQ/JWebKOWfK95L/DWa90NyHEjMZMyMaciSoasIso73tzPNINb24RcH7w==</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ut0u3z8YuHWB/HX0T44XmwL7H29EoDd25kK/7ocJe8zYeEUYfuFTq1nys/pNCSxZDByoLnnls3RlmpOCU1dvTw==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ZImDS2sL8mcvQkt7o81cEjaMTdarfuCGUjmmyCjpj1EKIc6Qiz+QBGxh6RQYzKVQVZcJ6/hoesKegz6QB1uJkQ==</DigestValue>
      </Reference>
      <Reference URI="/xl/worksheets/sheet11.xml?ContentType=application/vnd.openxmlformats-officedocument.spreadsheetml.worksheet+xml">
        <DigestMethod Algorithm="http://www.w3.org/2001/04/xmlenc#sha512"/>
        <DigestValue>/lc/5XCLWEGR2YmuDKeVuG4tEvNt0c6E0PrXPcpb4O0rrjEKiT6f4U3i5q3sxq1CK+40T6wLeU+YXKtmEdlEog==</DigestValue>
      </Reference>
      <Reference URI="/xl/worksheets/sheet12.xml?ContentType=application/vnd.openxmlformats-officedocument.spreadsheetml.worksheet+xml">
        <DigestMethod Algorithm="http://www.w3.org/2001/04/xmlenc#sha512"/>
        <DigestValue>ir2Tasyut7OwZK9aSYsJLn6I7aosxuuaRA1jWXUZYYSC+Hca0q7Tgpv0juSCuxyIG2v8Kz0CSR4phMVjsx1v0g==</DigestValue>
      </Reference>
      <Reference URI="/xl/worksheets/sheet13.xml?ContentType=application/vnd.openxmlformats-officedocument.spreadsheetml.worksheet+xml">
        <DigestMethod Algorithm="http://www.w3.org/2001/04/xmlenc#sha512"/>
        <DigestValue>cQeUxCxDqL2RbgBHBzM7LovFpmlVjY1FKzpL3TLX7tcZgMGNUn1EVKc8bJQtialjinmLMq0BdBaRE1aF01900g==</DigestValue>
      </Reference>
      <Reference URI="/xl/worksheets/sheet14.xml?ContentType=application/vnd.openxmlformats-officedocument.spreadsheetml.worksheet+xml">
        <DigestMethod Algorithm="http://www.w3.org/2001/04/xmlenc#sha512"/>
        <DigestValue>ClNpw7xKPNdgZz9btbmnjsGG/cyNXONlNZ4ZP195Qhsf5H9FHaXTfsvTNL/NUuuhsXtw5NBI0v+b2zXnMGO/qA==</DigestValue>
      </Reference>
      <Reference URI="/xl/worksheets/sheet15.xml?ContentType=application/vnd.openxmlformats-officedocument.spreadsheetml.worksheet+xml">
        <DigestMethod Algorithm="http://www.w3.org/2001/04/xmlenc#sha512"/>
        <DigestValue>90CwtS9Rw9UNh83EmqyfUx6bMpnpdMhyvTBDTwqrt2XxLJdKR9dyZO+b0s0TQ0psbEjrCDrnzTdliFE3TvA+Tw==</DigestValue>
      </Reference>
      <Reference URI="/xl/worksheets/sheet16.xml?ContentType=application/vnd.openxmlformats-officedocument.spreadsheetml.worksheet+xml">
        <DigestMethod Algorithm="http://www.w3.org/2001/04/xmlenc#sha512"/>
        <DigestValue>PKkbhbG8GjDAvLTfcTpCh7NG+v1W/71zgN4HZNg+JQFhxN+kDdLgos7UTeVjtYo8fVZRAT47TXlRLZUzs2+ITQ==</DigestValue>
      </Reference>
      <Reference URI="/xl/worksheets/sheet17.xml?ContentType=application/vnd.openxmlformats-officedocument.spreadsheetml.worksheet+xml">
        <DigestMethod Algorithm="http://www.w3.org/2001/04/xmlenc#sha512"/>
        <DigestValue>4vxZhMPkKBzVmnrF/fyfzuszTfptN73fSowLuquWy2MCw/Wz7ZzTS4aJz6JFhRrMTOdwyu5m4qEnQt1Uxf0bgA==</DigestValue>
      </Reference>
      <Reference URI="/xl/worksheets/sheet18.xml?ContentType=application/vnd.openxmlformats-officedocument.spreadsheetml.worksheet+xml">
        <DigestMethod Algorithm="http://www.w3.org/2001/04/xmlenc#sha512"/>
        <DigestValue>qi+4ISenqcV5TJbxtJiF+LfkEuqk3Dx3K5D51fRanE5k+S7lITmIh+IsIDlD3hONW2CJWpQVkyqC5acGbJCFjQ==</DigestValue>
      </Reference>
      <Reference URI="/xl/worksheets/sheet19.xml?ContentType=application/vnd.openxmlformats-officedocument.spreadsheetml.worksheet+xml">
        <DigestMethod Algorithm="http://www.w3.org/2001/04/xmlenc#sha512"/>
        <DigestValue>u/YgJMViCDDwQYTQ5MjH/PNwRbKiBRfkwZYM5w6gBgc5rzBDoeSEDSOinpHNUX80GTH9Umhh66gG9WMoqdMOZA==</DigestValue>
      </Reference>
      <Reference URI="/xl/worksheets/sheet2.xml?ContentType=application/vnd.openxmlformats-officedocument.spreadsheetml.worksheet+xml">
        <DigestMethod Algorithm="http://www.w3.org/2001/04/xmlenc#sha512"/>
        <DigestValue>MQlE8OZOz2JFOOhgm1vzsqVxikQRTnl6dHyBBd3L+mFcgcUx+8kD/n3qjy2PK7kiR2nHYI4zphLlHq5StxSSGg==</DigestValue>
      </Reference>
      <Reference URI="/xl/worksheets/sheet20.xml?ContentType=application/vnd.openxmlformats-officedocument.spreadsheetml.worksheet+xml">
        <DigestMethod Algorithm="http://www.w3.org/2001/04/xmlenc#sha512"/>
        <DigestValue>+FRc7MofMZSr4NueU3xaqkDSyOynEf+DWI+DShy4UIkOJTJfhNOtjsb02j7MB6E3cKQCcBlUcHh+FdjRAM0pEA==</DigestValue>
      </Reference>
      <Reference URI="/xl/worksheets/sheet21.xml?ContentType=application/vnd.openxmlformats-officedocument.spreadsheetml.worksheet+xml">
        <DigestMethod Algorithm="http://www.w3.org/2001/04/xmlenc#sha512"/>
        <DigestValue>AJhZGPz88oxeoyafzW0ZecfB2K98lfu4+RHkZa0mP/fOc6UK1ZYWI9GQ8+eFLiABfEc4lkar5AodEDqNXFOPpg==</DigestValue>
      </Reference>
      <Reference URI="/xl/worksheets/sheet22.xml?ContentType=application/vnd.openxmlformats-officedocument.spreadsheetml.worksheet+xml">
        <DigestMethod Algorithm="http://www.w3.org/2001/04/xmlenc#sha512"/>
        <DigestValue>gQjybVmvIGG6LVjv4TgapvQX3MDXIxpiEl3jfXcDGavtepqx9gc7j9BG5BCybPaZ9ZluDHPGt2S/HcY72q4g9g==</DigestValue>
      </Reference>
      <Reference URI="/xl/worksheets/sheet23.xml?ContentType=application/vnd.openxmlformats-officedocument.spreadsheetml.worksheet+xml">
        <DigestMethod Algorithm="http://www.w3.org/2001/04/xmlenc#sha512"/>
        <DigestValue>2xYEs97U9PYZw1LsHOnirHi+qr8KmN7dCWqyKauLH473ZrjQ33OlP5UDMUadiozmm4AeQPtUK4bZZrx6czVTGA==</DigestValue>
      </Reference>
      <Reference URI="/xl/worksheets/sheet24.xml?ContentType=application/vnd.openxmlformats-officedocument.spreadsheetml.worksheet+xml">
        <DigestMethod Algorithm="http://www.w3.org/2001/04/xmlenc#sha512"/>
        <DigestValue>bqu7Ig+rjW219YUNkKqdO4VirbONstNY2ZQCIM6StmbcPYuYHAvWUT1g/8ikZXaaFov7zTQJzWaP/pijHbZbaA==</DigestValue>
      </Reference>
      <Reference URI="/xl/worksheets/sheet25.xml?ContentType=application/vnd.openxmlformats-officedocument.spreadsheetml.worksheet+xml">
        <DigestMethod Algorithm="http://www.w3.org/2001/04/xmlenc#sha512"/>
        <DigestValue>OPzfA9iCHgj2kIh3NhLSpJC/vqGxyCZHERBjJqGICbrkzh/T8+Vt9r8xAM4ikmoMS1t0U/EwweLcxjlhI93JIQ==</DigestValue>
      </Reference>
      <Reference URI="/xl/worksheets/sheet26.xml?ContentType=application/vnd.openxmlformats-officedocument.spreadsheetml.worksheet+xml">
        <DigestMethod Algorithm="http://www.w3.org/2001/04/xmlenc#sha512"/>
        <DigestValue>+e62Q2bFx/ARDRIxivIvp3dvERtPklIldwj6Oezuc1kLH7oMjyWmNCINy6285bOP/D6wEhsKZUif70mCQfa9RQ==</DigestValue>
      </Reference>
      <Reference URI="/xl/worksheets/sheet27.xml?ContentType=application/vnd.openxmlformats-officedocument.spreadsheetml.worksheet+xml">
        <DigestMethod Algorithm="http://www.w3.org/2001/04/xmlenc#sha512"/>
        <DigestValue>yWWtx5bKUxrMwfCW/YoHzyxmhuL/pmn+CHRL1qxVizH0UsBOnQAxPA7rtSK1rUjx98Yk6TENtoedn+qgOhgBKQ==</DigestValue>
      </Reference>
      <Reference URI="/xl/worksheets/sheet28.xml?ContentType=application/vnd.openxmlformats-officedocument.spreadsheetml.worksheet+xml">
        <DigestMethod Algorithm="http://www.w3.org/2001/04/xmlenc#sha512"/>
        <DigestValue>r+NHb25XDTGSXfY7I0CFdF7nA4wmmvLI1vBfc7IiYCfwczxMrYz6uj1oc2Pruyc8wZExeW1YJDmCY3mDzpI8nA==</DigestValue>
      </Reference>
      <Reference URI="/xl/worksheets/sheet29.xml?ContentType=application/vnd.openxmlformats-officedocument.spreadsheetml.worksheet+xml">
        <DigestMethod Algorithm="http://www.w3.org/2001/04/xmlenc#sha512"/>
        <DigestValue>Tz8DjTdlRq9ISmNsfNmWVos6Nj8AWWrPAsGLI1DdWdb1+ytVNMeZqk5TdaI2U5wDHNs+FzdASLbTmQjcQjG71A==</DigestValue>
      </Reference>
      <Reference URI="/xl/worksheets/sheet3.xml?ContentType=application/vnd.openxmlformats-officedocument.spreadsheetml.worksheet+xml">
        <DigestMethod Algorithm="http://www.w3.org/2001/04/xmlenc#sha512"/>
        <DigestValue>QHVZyDqYOaK1AOAjtjWbfwZc8jlNh2xFUCbWamnXpZdarXZIH0TCJdYBLxrfeKPoWkQC7xUF/HCQTE+NQ/D/9A==</DigestValue>
      </Reference>
      <Reference URI="/xl/worksheets/sheet30.xml?ContentType=application/vnd.openxmlformats-officedocument.spreadsheetml.worksheet+xml">
        <DigestMethod Algorithm="http://www.w3.org/2001/04/xmlenc#sha512"/>
        <DigestValue>mDY/rZ0hxBwLQGoUMBmN7yKKndXqtVsa2IakyMf0Agnl+H1ZsJpXDRqRi0twlrTWESkE03NIbb3vB+xDJy4dDg==</DigestValue>
      </Reference>
      <Reference URI="/xl/worksheets/sheet31.xml?ContentType=application/vnd.openxmlformats-officedocument.spreadsheetml.worksheet+xml">
        <DigestMethod Algorithm="http://www.w3.org/2001/04/xmlenc#sha512"/>
        <DigestValue>e+eulhDSuFa8hbaUTh0vm0MP72yFN5xTdALjLvIprr29R4V1B1Yzr+liXaYQtQOvgvTrlbiILuLKnAETm7wixA==</DigestValue>
      </Reference>
      <Reference URI="/xl/worksheets/sheet32.xml?ContentType=application/vnd.openxmlformats-officedocument.spreadsheetml.worksheet+xml">
        <DigestMethod Algorithm="http://www.w3.org/2001/04/xmlenc#sha512"/>
        <DigestValue>AwiW08EIQIW1aXEz4aU+scWHbyeMuqVyMb7BT5MBaUnJPRCxHaBBcAqnW53a1smC+22hCLakmR95JDEIzJsYqg==</DigestValue>
      </Reference>
      <Reference URI="/xl/worksheets/sheet33.xml?ContentType=application/vnd.openxmlformats-officedocument.spreadsheetml.worksheet+xml">
        <DigestMethod Algorithm="http://www.w3.org/2001/04/xmlenc#sha512"/>
        <DigestValue>Y3OzBwQ3klEbQqqIt6tTrDeIPFcV+tbrmQrM+4GubrT2NA1uLQLz8KKX8LZzyAh59qsXQsD+waTJL5IzsxcBwg==</DigestValue>
      </Reference>
      <Reference URI="/xl/worksheets/sheet34.xml?ContentType=application/vnd.openxmlformats-officedocument.spreadsheetml.worksheet+xml">
        <DigestMethod Algorithm="http://www.w3.org/2001/04/xmlenc#sha512"/>
        <DigestValue>bpZzxdRLaQQ7PWSaBjxUodTk4lDjr9aDeFnUkUrzXFBwVvWhF4s6cSdgpa3NDqUwywRJ8hatDcMiwSaXuCksPw==</DigestValue>
      </Reference>
      <Reference URI="/xl/worksheets/sheet35.xml?ContentType=application/vnd.openxmlformats-officedocument.spreadsheetml.worksheet+xml">
        <DigestMethod Algorithm="http://www.w3.org/2001/04/xmlenc#sha512"/>
        <DigestValue>R4MH1H7t+NTULwXBhMmXZ6655AWxmWkXGiEPz6poScG+dU/9ud1oH7eqYEP0MihYB5JTmf8Q2EHevOuUOce6Ww==</DigestValue>
      </Reference>
      <Reference URI="/xl/worksheets/sheet36.xml?ContentType=application/vnd.openxmlformats-officedocument.spreadsheetml.worksheet+xml">
        <DigestMethod Algorithm="http://www.w3.org/2001/04/xmlenc#sha512"/>
        <DigestValue>iN/AKpL8ZyROxowWHE4Gvofkzd8/MFNfvIPOOTN8LRSbMuVLFc1VAnxei7wRl8SAkjBnTsqMooXuqxorMSyKlQ==</DigestValue>
      </Reference>
      <Reference URI="/xl/worksheets/sheet37.xml?ContentType=application/vnd.openxmlformats-officedocument.spreadsheetml.worksheet+xml">
        <DigestMethod Algorithm="http://www.w3.org/2001/04/xmlenc#sha512"/>
        <DigestValue>g4kBf3l9ZRWiP9w/IZXWL8g37GJWlt8KoasgY5zTjf+90WzcWgPYovmBPPyTjcfSIlyDIT10/DY7xzj6lzoUEQ==</DigestValue>
      </Reference>
      <Reference URI="/xl/worksheets/sheet38.xml?ContentType=application/vnd.openxmlformats-officedocument.spreadsheetml.worksheet+xml">
        <DigestMethod Algorithm="http://www.w3.org/2001/04/xmlenc#sha512"/>
        <DigestValue>d9hhki7jkL4L5hFaYt4xNKtERRJjNGu+Y+bt1/C9pXYLH59bmFPry2hVy+n9dFMGLqxsi0gC/HTAuVvjEoWmGQ==</DigestValue>
      </Reference>
      <Reference URI="/xl/worksheets/sheet39.xml?ContentType=application/vnd.openxmlformats-officedocument.spreadsheetml.worksheet+xml">
        <DigestMethod Algorithm="http://www.w3.org/2001/04/xmlenc#sha512"/>
        <DigestValue>BmtlR/81cl4s1De+rrfpUY51TP2pnPMVMawafwZszSLud+PYX//MHcHg4FEIlpwAlu6qvbv23GS9gQ6WVyPI4Q==</DigestValue>
      </Reference>
      <Reference URI="/xl/worksheets/sheet4.xml?ContentType=application/vnd.openxmlformats-officedocument.spreadsheetml.worksheet+xml">
        <DigestMethod Algorithm="http://www.w3.org/2001/04/xmlenc#sha512"/>
        <DigestValue>N+kERSKBPkwUMqKjZ8eb0Uu2IiIuxnE7tZVYTsSDByBCrIsJM0djojiTYa4jWIW2xI3Gv6s0jm5ZMHe7EKI87Q==</DigestValue>
      </Reference>
      <Reference URI="/xl/worksheets/sheet40.xml?ContentType=application/vnd.openxmlformats-officedocument.spreadsheetml.worksheet+xml">
        <DigestMethod Algorithm="http://www.w3.org/2001/04/xmlenc#sha512"/>
        <DigestValue>L+uglgg6+87bKey58XYRfJT8hguGc9jZ7c2j08YMLsJLXpP2LHZ4eLQJv5sLILtaRtH4RQcvk2yZkSRDHAxYlw==</DigestValue>
      </Reference>
      <Reference URI="/xl/worksheets/sheet41.xml?ContentType=application/vnd.openxmlformats-officedocument.spreadsheetml.worksheet+xml">
        <DigestMethod Algorithm="http://www.w3.org/2001/04/xmlenc#sha512"/>
        <DigestValue>vmdOnTjSvr7VOTFRodgbgCEelLCRbTWESUQOYAfNQBx5ithePkrDciHSDuV6W53vyDfjnpoMseN03iSB4Dtybg==</DigestValue>
      </Reference>
      <Reference URI="/xl/worksheets/sheet42.xml?ContentType=application/vnd.openxmlformats-officedocument.spreadsheetml.worksheet+xml">
        <DigestMethod Algorithm="http://www.w3.org/2001/04/xmlenc#sha512"/>
        <DigestValue>zJFBll9JvzvOdcnbdQpzaHbMXJBGmYWC33MJjhg1je/D3We6SWavnSHAooHVb3dYKZEWP6ylh19P9cCPeUtWEQ==</DigestValue>
      </Reference>
      <Reference URI="/xl/worksheets/sheet43.xml?ContentType=application/vnd.openxmlformats-officedocument.spreadsheetml.worksheet+xml">
        <DigestMethod Algorithm="http://www.w3.org/2001/04/xmlenc#sha512"/>
        <DigestValue>Hjdp2IzvcLQVeZyVOpEu6qaQkS9WjMOTZYsmv4wg7fGiy/VP7MdlynnZ1jLFgljSA5yWW3OqX6y442WwvKI7Gw==</DigestValue>
      </Reference>
      <Reference URI="/xl/worksheets/sheet44.xml?ContentType=application/vnd.openxmlformats-officedocument.spreadsheetml.worksheet+xml">
        <DigestMethod Algorithm="http://www.w3.org/2001/04/xmlenc#sha512"/>
        <DigestValue>jK8M2BzetPVhXZjXXUlWp5nilfLZzYj+oumdshJbGSkw9LaewIIPJFScPLC4xSlOZ86v/Qq6WQ6Zq+fif9MOug==</DigestValue>
      </Reference>
      <Reference URI="/xl/worksheets/sheet45.xml?ContentType=application/vnd.openxmlformats-officedocument.spreadsheetml.worksheet+xml">
        <DigestMethod Algorithm="http://www.w3.org/2001/04/xmlenc#sha512"/>
        <DigestValue>+8H3RMbXRXgyNwwnvMId1pWJs1vVP023XHSEgZ4oq2DgstJTdx13S6LnGxSmc7DtYutosDKHKgqS2UHdltJoXA==</DigestValue>
      </Reference>
      <Reference URI="/xl/worksheets/sheet46.xml?ContentType=application/vnd.openxmlformats-officedocument.spreadsheetml.worksheet+xml">
        <DigestMethod Algorithm="http://www.w3.org/2001/04/xmlenc#sha512"/>
        <DigestValue>ev7ipjsh0DG/XG20hP+JGIcd9Wf4hFsjQnDdFWlhq9Yeqg/NQG/cXVeYu7Ju0Yzd/hNLcpEwMHynDA0q+Ss56Q==</DigestValue>
      </Reference>
      <Reference URI="/xl/worksheets/sheet47.xml?ContentType=application/vnd.openxmlformats-officedocument.spreadsheetml.worksheet+xml">
        <DigestMethod Algorithm="http://www.w3.org/2001/04/xmlenc#sha512"/>
        <DigestValue>BPlk2Eza/iigNtuJuBXH+xAu985+YFngZrqKs/2zr5brW/AUi7ESFwiwMTrOpBDluW33l8SdMPh5XRmPyLKaMA==</DigestValue>
      </Reference>
      <Reference URI="/xl/worksheets/sheet48.xml?ContentType=application/vnd.openxmlformats-officedocument.spreadsheetml.worksheet+xml">
        <DigestMethod Algorithm="http://www.w3.org/2001/04/xmlenc#sha512"/>
        <DigestValue>/o5AJUNCyEHH4+sGflbxMtDC9YCJ8mtZ1tDMXTfYXrrzu80Ll/hQ4NoTveidRcs2wbmsu7rSz0/t8IA5x/zcXA==</DigestValue>
      </Reference>
      <Reference URI="/xl/worksheets/sheet49.xml?ContentType=application/vnd.openxmlformats-officedocument.spreadsheetml.worksheet+xml">
        <DigestMethod Algorithm="http://www.w3.org/2001/04/xmlenc#sha512"/>
        <DigestValue>qzTELm+PE7K69G79SeEBqdJ+1Sa1v9VPOdw0ohNwyjpEIF2xpJ0bNjl/mcq7JQvKPl4pDalzM56foIrnKha4Fw==</DigestValue>
      </Reference>
      <Reference URI="/xl/worksheets/sheet5.xml?ContentType=application/vnd.openxmlformats-officedocument.spreadsheetml.worksheet+xml">
        <DigestMethod Algorithm="http://www.w3.org/2001/04/xmlenc#sha512"/>
        <DigestValue>lwJynp3AbdAlIFUBalvGAyqUjJH3/4cAgzR3DfoYvSguBIqM4t+6y4yVOOAvbATZd/oFlJ3O60BAc715mpdI4A==</DigestValue>
      </Reference>
      <Reference URI="/xl/worksheets/sheet50.xml?ContentType=application/vnd.openxmlformats-officedocument.spreadsheetml.worksheet+xml">
        <DigestMethod Algorithm="http://www.w3.org/2001/04/xmlenc#sha512"/>
        <DigestValue>zSZZwhcQOyIRPH2l3z5qnlRjOq165RBBbouWl08igFzVPXiDGWYmXEN6gdMpnMQE8QggvKO/dMIO/0bxzXgU/A==</DigestValue>
      </Reference>
      <Reference URI="/xl/worksheets/sheet6.xml?ContentType=application/vnd.openxmlformats-officedocument.spreadsheetml.worksheet+xml">
        <DigestMethod Algorithm="http://www.w3.org/2001/04/xmlenc#sha512"/>
        <DigestValue>dW/5l53693XA4Os7pMl/26aj0hyLMCp+YjuWB046J/rWUeJYxTaaFPPaQg+xxEaeCXU1mgfLTHOxgodIU+Ov2A==</DigestValue>
      </Reference>
      <Reference URI="/xl/worksheets/sheet7.xml?ContentType=application/vnd.openxmlformats-officedocument.spreadsheetml.worksheet+xml">
        <DigestMethod Algorithm="http://www.w3.org/2001/04/xmlenc#sha512"/>
        <DigestValue>53IWshC8xM3rtXDa7OabMSFwZvKcoaEcKftPHjOsukj9ptKmmlrgzbK0/IgC5Cn2iuxL/cBFJW/zcmpnRUHlsw==</DigestValue>
      </Reference>
      <Reference URI="/xl/worksheets/sheet8.xml?ContentType=application/vnd.openxmlformats-officedocument.spreadsheetml.worksheet+xml">
        <DigestMethod Algorithm="http://www.w3.org/2001/04/xmlenc#sha512"/>
        <DigestValue>bmavGeiXS0HGbWPTKUb6Dtt/OZ1F8dnXzdThR2vpAOBpRzB4QPEfzkBB+9MvKqRATAd+OR6ENu1T4p9H/t6UCA==</DigestValue>
      </Reference>
      <Reference URI="/xl/worksheets/sheet9.xml?ContentType=application/vnd.openxmlformats-officedocument.spreadsheetml.worksheet+xml">
        <DigestMethod Algorithm="http://www.w3.org/2001/04/xmlenc#sha512"/>
        <DigestValue>Tk5lg54eY9FNFaF1P/0LyMOFWq85NvFgLwbbNJNqU/CZ5tljURBVT4V8jw5tgrMa47fGBbXN07Eae12RpRqPKw==</DigestValue>
      </Reference>
    </Manifest>
    <SignatureProperties>
      <SignatureProperty Id="idSignatureTime" Target="#idPackageSignature">
        <mdssi:SignatureTime xmlns:mdssi="http://schemas.openxmlformats.org/package/2006/digital-signature">
          <mdssi:Format>YYYY-MM-DDThh:mm:ssTZD</mdssi:Format>
          <mdssi:Value>2023-03-31T21:02:11Z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ANUAL 31-12-2022 CNV Y BVA</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2023-03-31T21:02:11Z</xd:SigningTime>
          <xd:SigningCertificate>
            <xd:Cert>
              <xd:CertDigest>
                <DigestMethod Algorithm="http://www.w3.org/2001/04/xmlenc#sha512"/>
                <DigestValue>+MRt80ptOKS7AhLE9+Z7Gl9KQLcMibnwbpSMy7b7l6RRCp+9eORLDw2qy8OJVWdV2rlzAOT+4tUxf1inUG5TzA==</DigestValue>
              </xd:CertDigest>
              <xd:IssuerSerial>
                <X509IssuerName>SERIALNUMBER=RUC80080610-7, CN=CODE100 S.A., OU=Prestador Cualificado de Servicios de Confianza, O=ICPP, C=PY</X509IssuerName>
                <X509SerialNumber>25527443651316789802170777757204706304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INFORME ANUAL 31-12-2022 CNV Y BVA</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zEXc6m17PgbM7MZjNcQtJ+T4UWipTxqdb8K6FY/jGge/GXPOq+nDtHJ9jILlkVQ9NvMUQi8oxZdj
BYpjNsGsaQ==</DigestValue>
    </Reference>
    <Reference Type="http://www.w3.org/2000/09/xmldsig#Object" URI="#idOfficeObject">
      <DigestMethod Algorithm="http://www.w3.org/2001/04/xmlenc#sha512"/>
      <DigestValue>z7yev/MAShE/FCIMYTm+xAgOKW7h9WP8ColRbgst8fq+GVWC7LjOBZvTMHclRF7/Pkhm02+egqMC
FCZhp+VxoA==</DigestValue>
    </Reference>
    <Reference Type="http://uri.etsi.org/01903#SignedProperties" URI="#idSignedProperties">
      <Transforms>
        <Transform Algorithm="http://www.w3.org/TR/2001/REC-xml-c14n-20010315"/>
      </Transforms>
      <DigestMethod Algorithm="http://www.w3.org/2001/04/xmlenc#sha512"/>
      <DigestValue>Iy2O1OEJ2Q2sqtevIiWKga28YD/lfV3s48Pb0ihnHzE56NkIFcExIAFWxw4OFrZmpyCw2iAB2fZW
I5ebNnQSvg==</DigestValue>
    </Reference>
  </SignedInfo>
  <SignatureValue>eK+wW9XcCb8SFi/RSCGdYqDgrBzvQNbYdSBJGLUzyTrGVlAArEK5UCClGSUpsAET6u+HhQf4pdGN
L9vl2iwwspkAfEi3UjCU09lAMxjS25BwHmID+BRT7JWvyKOO9L4hM5StKQjHsrYgpHSMkdqbsTq+
m1tJOzAzjx+jxFaLHAP/UiW4Z8S4p5RoDvCSRtjbX8KXWhvYl9JZ8Q50nZFW2GZI44Z40HKo3YWc
aIumjrS9ilWpaHc9Eu9d7DyuXeu3euTTrdbpvHFt57bUC99TpWa0Rxfc1V+BHkB8LzcYIpoX4KPC
yKdXdqjV175uBzw6VP42hLJY4EgLVLh7ZAxCuQ==</SignatureValue>
  <KeyInfo>
    <X509Data>
      <X509Certificate>MIIHvDCCBaSgAwIBAgIQEiQA5Zw43plLihzfzGMBeTANBgkqhkiG9w0BAQ0FADCBhTELMAkGA1UEBhMCUFkxDTALBgNVBAoTBElDUFAxODA2BgNVBAsTL1ByZXN0YWRvciBDdWFsaWZpY2FkbyBkZSBTZXJ2aWNpb3MgZGUgQ29uZmlhbnphMRUwEwYDVQQDEwxDT0RFMTAwIFMuQS4xFjAUBgNVBAUTDVJVQzgwMDgwNjEwLTcwHhcNMjMwMjA5MTMwNzI3WhcNMjUwMjA5MTMwNzI3WjCB1DELMAkGA1UEBhMCUFkxNjA0BgNVBAoMLUNFUlRJRklDQURPIENVQUxJRklDQURPIERFIEZJUk1BIEVMRUNUUsOTTklDQTELMAkGA1UECxMCRjIxGDAWBgNVBAQTD0dBTkdPSVRJIENBTVBPUzEgMB4GA1UEKhMXRlJBTkNJU0NPIEJSVU5PIFJPQkVSVE8xMDAuBgNVBAMTJ0ZSQU5DSVNDTyBCUlVOTyBST0JFUlRPIEdBTkdPSVRJIENBTVBPUzESMBAGA1UEBRMJQ0k0NjUzNDg2MIIBIjANBgkqhkiG9w0BAQEFAAOCAQ8AMIIBCgKCAQEAsIBbhwJyQkMMgy1gTWbQd9PhEiDuXDypo9o2Jx+LlcgLPMTs+3eurfVcXPfIyE39LoX1d6qI1bsP7MiLBNfVa2eA4/zL5eIJ4+6CfiSTAwDcfYf0NtLfKjHoxhl1zzlFafqmrUEV01/vFKJmy0UXM2HwUVcCHDNyP3jgY9Znl7xuhxL8NLwIr0ce+0zBLgGTA/+D6osZTfmPd9TEvJDu2uAQHF7L1XAijjWKqLh6Uma3sBUDndI4jbhhgzlxvMvxjPx3K7NfSsBI46J5pPxoZg/7FGgKeIPL4CP1GoeZU61omwP/HepUXRETZWIrKq0aB1CGwTmM/ScMCCrsT+oO8wIDAQABo4IC1TCCAtEwDAYDVR0TAQH/BAIwADAdBgNVHQ4EFgQUECjdbWJ8H0FPJXzaz4xkZMKSPiEwHwYDVR0jBBgwFoAUvjVUYmhg5ybTMcFfl7Hi9mTOB/UwDgYDVR0PAQH/BAQDAgXgMEwGA1UdEQRFMEOBFEZHQU5HT0lUSU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A0YaO5grhhj+fOhkThfswdkTuL2Fppm+E593mgMZ2WytWyk1BykIOvrYv+nqeKULAd+VdCWvbaAynj6UY8EpfdyU8aLXoMBGwarzADIwxBLwdB1UdGyCuTCP2KmZdhZXno9nqJ62FlIhb7Q6bnmVMw2kW/WWv8tIqrCU3uEci4WdtA54WJ8S2XNTkU0u33ErD2vmDVr3NgOoWQLWTE0/x7/ZdFjP/cKItN1IuPfdMFmIb3V4QNQLkfk4k0NYbpS9BO01cCP+46h4l89LGArLti0LB15o6WlkpIR4fVtGg8tpQSqhrxrIF+ec+EbdouKMc1IhPc1gzpI87xXDXGuEtK/N7vGzn5WuMKWIu34sY0DTrRCRb0CuJPYkXtE2U7TFbMyVgpjP5/Hzh/bTea/xYKsqBSRoR4Ll3P/xOITZvDJHRVo5u01S7Jlg13oncm/0uhLdSq/oRkbuIXJ9slF+xhSlPDfT2As1MBAUvqOID6kL1dOYWPkVYLmQN7LeHA4TbkDiCwKbOM0d431IrysVRpVRFMI1TXlWkWr4hp6KqJiiQJsxPLadkaEY5tLScsy1IYvGo6Zy/JrBWk4X04W7EktpXkiE0gRIk1vWyE6dR1pBjgVKLXaC9hSGGbRVvHfEx6OyXGyMw9pID3P/zUmCPnW0aVs6DUk5MnMn4OMMVK/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BR9CwnJ8AHQD/oga807dXNBO2tKwQCVBeG8AOIScmzmPl4LXXvzixTgYkM8kZNmQVB5IZ3+appqLnY3WRXjrsA==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vC9Ybf7mLdSsinCWSqEOYeocn/+MhwnIoctJQdAwnnK4CDwQp3PX35amw69PTdt12/NT9NSaoWtQ+j+sBIS5EQ==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FG2/0iODOBNk3oAxrhisGanNVRvGO1OOFYl8WoLNVJXktORTzklP5Om51ACNnNkxF4q2WQSLifvlIwuHErV9lw==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PaInxNIgdmBcDgeRo7TAnjUcZtaarz5N83PapBzciusk58Jwr2k5a2T3UpnM8w912bPi17OPLqb/IW1gEqA/iA==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abKu7mg1dD5+udBGnbGkVmRIFkZCuL7twcZG9QmrnILpfWxUDYOvaUBdvBq9RlKSmYV/IRy5Z6KV2exgoBOBZw==</DigestValue>
      </Reference>
      <Reference URI="/xl/styles.xml?ContentType=application/vnd.openxmlformats-officedocument.spreadsheetml.styles+xml">
        <DigestMethod Algorithm="http://www.w3.org/2001/04/xmlenc#sha512"/>
        <DigestValue>FApIdpwgqp/FFYwAL2rjA7Dz1cpoROQ/JWebKOWfK95L/DWa90NyHEjMZMyMaciSoasIso73tzPNINb24RcH7w==</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ut0u3z8YuHWB/HX0T44XmwL7H29EoDd25kK/7ocJe8zYeEUYfuFTq1nys/pNCSxZDByoLnnls3RlmpOCU1dvTw==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ZImDS2sL8mcvQkt7o81cEjaMTdarfuCGUjmmyCjpj1EKIc6Qiz+QBGxh6RQYzKVQVZcJ6/hoesKegz6QB1uJkQ==</DigestValue>
      </Reference>
      <Reference URI="/xl/worksheets/sheet11.xml?ContentType=application/vnd.openxmlformats-officedocument.spreadsheetml.worksheet+xml">
        <DigestMethod Algorithm="http://www.w3.org/2001/04/xmlenc#sha512"/>
        <DigestValue>/lc/5XCLWEGR2YmuDKeVuG4tEvNt0c6E0PrXPcpb4O0rrjEKiT6f4U3i5q3sxq1CK+40T6wLeU+YXKtmEdlEog==</DigestValue>
      </Reference>
      <Reference URI="/xl/worksheets/sheet12.xml?ContentType=application/vnd.openxmlformats-officedocument.spreadsheetml.worksheet+xml">
        <DigestMethod Algorithm="http://www.w3.org/2001/04/xmlenc#sha512"/>
        <DigestValue>ir2Tasyut7OwZK9aSYsJLn6I7aosxuuaRA1jWXUZYYSC+Hca0q7Tgpv0juSCuxyIG2v8Kz0CSR4phMVjsx1v0g==</DigestValue>
      </Reference>
      <Reference URI="/xl/worksheets/sheet13.xml?ContentType=application/vnd.openxmlformats-officedocument.spreadsheetml.worksheet+xml">
        <DigestMethod Algorithm="http://www.w3.org/2001/04/xmlenc#sha512"/>
        <DigestValue>cQeUxCxDqL2RbgBHBzM7LovFpmlVjY1FKzpL3TLX7tcZgMGNUn1EVKc8bJQtialjinmLMq0BdBaRE1aF01900g==</DigestValue>
      </Reference>
      <Reference URI="/xl/worksheets/sheet14.xml?ContentType=application/vnd.openxmlformats-officedocument.spreadsheetml.worksheet+xml">
        <DigestMethod Algorithm="http://www.w3.org/2001/04/xmlenc#sha512"/>
        <DigestValue>ClNpw7xKPNdgZz9btbmnjsGG/cyNXONlNZ4ZP195Qhsf5H9FHaXTfsvTNL/NUuuhsXtw5NBI0v+b2zXnMGO/qA==</DigestValue>
      </Reference>
      <Reference URI="/xl/worksheets/sheet15.xml?ContentType=application/vnd.openxmlformats-officedocument.spreadsheetml.worksheet+xml">
        <DigestMethod Algorithm="http://www.w3.org/2001/04/xmlenc#sha512"/>
        <DigestValue>90CwtS9Rw9UNh83EmqyfUx6bMpnpdMhyvTBDTwqrt2XxLJdKR9dyZO+b0s0TQ0psbEjrCDrnzTdliFE3TvA+Tw==</DigestValue>
      </Reference>
      <Reference URI="/xl/worksheets/sheet16.xml?ContentType=application/vnd.openxmlformats-officedocument.spreadsheetml.worksheet+xml">
        <DigestMethod Algorithm="http://www.w3.org/2001/04/xmlenc#sha512"/>
        <DigestValue>PKkbhbG8GjDAvLTfcTpCh7NG+v1W/71zgN4HZNg+JQFhxN+kDdLgos7UTeVjtYo8fVZRAT47TXlRLZUzs2+ITQ==</DigestValue>
      </Reference>
      <Reference URI="/xl/worksheets/sheet17.xml?ContentType=application/vnd.openxmlformats-officedocument.spreadsheetml.worksheet+xml">
        <DigestMethod Algorithm="http://www.w3.org/2001/04/xmlenc#sha512"/>
        <DigestValue>4vxZhMPkKBzVmnrF/fyfzuszTfptN73fSowLuquWy2MCw/Wz7ZzTS4aJz6JFhRrMTOdwyu5m4qEnQt1Uxf0bgA==</DigestValue>
      </Reference>
      <Reference URI="/xl/worksheets/sheet18.xml?ContentType=application/vnd.openxmlformats-officedocument.spreadsheetml.worksheet+xml">
        <DigestMethod Algorithm="http://www.w3.org/2001/04/xmlenc#sha512"/>
        <DigestValue>qi+4ISenqcV5TJbxtJiF+LfkEuqk3Dx3K5D51fRanE5k+S7lITmIh+IsIDlD3hONW2CJWpQVkyqC5acGbJCFjQ==</DigestValue>
      </Reference>
      <Reference URI="/xl/worksheets/sheet19.xml?ContentType=application/vnd.openxmlformats-officedocument.spreadsheetml.worksheet+xml">
        <DigestMethod Algorithm="http://www.w3.org/2001/04/xmlenc#sha512"/>
        <DigestValue>u/YgJMViCDDwQYTQ5MjH/PNwRbKiBRfkwZYM5w6gBgc5rzBDoeSEDSOinpHNUX80GTH9Umhh66gG9WMoqdMOZA==</DigestValue>
      </Reference>
      <Reference URI="/xl/worksheets/sheet2.xml?ContentType=application/vnd.openxmlformats-officedocument.spreadsheetml.worksheet+xml">
        <DigestMethod Algorithm="http://www.w3.org/2001/04/xmlenc#sha512"/>
        <DigestValue>MQlE8OZOz2JFOOhgm1vzsqVxikQRTnl6dHyBBd3L+mFcgcUx+8kD/n3qjy2PK7kiR2nHYI4zphLlHq5StxSSGg==</DigestValue>
      </Reference>
      <Reference URI="/xl/worksheets/sheet20.xml?ContentType=application/vnd.openxmlformats-officedocument.spreadsheetml.worksheet+xml">
        <DigestMethod Algorithm="http://www.w3.org/2001/04/xmlenc#sha512"/>
        <DigestValue>+FRc7MofMZSr4NueU3xaqkDSyOynEf+DWI+DShy4UIkOJTJfhNOtjsb02j7MB6E3cKQCcBlUcHh+FdjRAM0pEA==</DigestValue>
      </Reference>
      <Reference URI="/xl/worksheets/sheet21.xml?ContentType=application/vnd.openxmlformats-officedocument.spreadsheetml.worksheet+xml">
        <DigestMethod Algorithm="http://www.w3.org/2001/04/xmlenc#sha512"/>
        <DigestValue>AJhZGPz88oxeoyafzW0ZecfB2K98lfu4+RHkZa0mP/fOc6UK1ZYWI9GQ8+eFLiABfEc4lkar5AodEDqNXFOPpg==</DigestValue>
      </Reference>
      <Reference URI="/xl/worksheets/sheet22.xml?ContentType=application/vnd.openxmlformats-officedocument.spreadsheetml.worksheet+xml">
        <DigestMethod Algorithm="http://www.w3.org/2001/04/xmlenc#sha512"/>
        <DigestValue>gQjybVmvIGG6LVjv4TgapvQX3MDXIxpiEl3jfXcDGavtepqx9gc7j9BG5BCybPaZ9ZluDHPGt2S/HcY72q4g9g==</DigestValue>
      </Reference>
      <Reference URI="/xl/worksheets/sheet23.xml?ContentType=application/vnd.openxmlformats-officedocument.spreadsheetml.worksheet+xml">
        <DigestMethod Algorithm="http://www.w3.org/2001/04/xmlenc#sha512"/>
        <DigestValue>2xYEs97U9PYZw1LsHOnirHi+qr8KmN7dCWqyKauLH473ZrjQ33OlP5UDMUadiozmm4AeQPtUK4bZZrx6czVTGA==</DigestValue>
      </Reference>
      <Reference URI="/xl/worksheets/sheet24.xml?ContentType=application/vnd.openxmlformats-officedocument.spreadsheetml.worksheet+xml">
        <DigestMethod Algorithm="http://www.w3.org/2001/04/xmlenc#sha512"/>
        <DigestValue>bqu7Ig+rjW219YUNkKqdO4VirbONstNY2ZQCIM6StmbcPYuYHAvWUT1g/8ikZXaaFov7zTQJzWaP/pijHbZbaA==</DigestValue>
      </Reference>
      <Reference URI="/xl/worksheets/sheet25.xml?ContentType=application/vnd.openxmlformats-officedocument.spreadsheetml.worksheet+xml">
        <DigestMethod Algorithm="http://www.w3.org/2001/04/xmlenc#sha512"/>
        <DigestValue>OPzfA9iCHgj2kIh3NhLSpJC/vqGxyCZHERBjJqGICbrkzh/T8+Vt9r8xAM4ikmoMS1t0U/EwweLcxjlhI93JIQ==</DigestValue>
      </Reference>
      <Reference URI="/xl/worksheets/sheet26.xml?ContentType=application/vnd.openxmlformats-officedocument.spreadsheetml.worksheet+xml">
        <DigestMethod Algorithm="http://www.w3.org/2001/04/xmlenc#sha512"/>
        <DigestValue>+e62Q2bFx/ARDRIxivIvp3dvERtPklIldwj6Oezuc1kLH7oMjyWmNCINy6285bOP/D6wEhsKZUif70mCQfa9RQ==</DigestValue>
      </Reference>
      <Reference URI="/xl/worksheets/sheet27.xml?ContentType=application/vnd.openxmlformats-officedocument.spreadsheetml.worksheet+xml">
        <DigestMethod Algorithm="http://www.w3.org/2001/04/xmlenc#sha512"/>
        <DigestValue>yWWtx5bKUxrMwfCW/YoHzyxmhuL/pmn+CHRL1qxVizH0UsBOnQAxPA7rtSK1rUjx98Yk6TENtoedn+qgOhgBKQ==</DigestValue>
      </Reference>
      <Reference URI="/xl/worksheets/sheet28.xml?ContentType=application/vnd.openxmlformats-officedocument.spreadsheetml.worksheet+xml">
        <DigestMethod Algorithm="http://www.w3.org/2001/04/xmlenc#sha512"/>
        <DigestValue>r+NHb25XDTGSXfY7I0CFdF7nA4wmmvLI1vBfc7IiYCfwczxMrYz6uj1oc2Pruyc8wZExeW1YJDmCY3mDzpI8nA==</DigestValue>
      </Reference>
      <Reference URI="/xl/worksheets/sheet29.xml?ContentType=application/vnd.openxmlformats-officedocument.spreadsheetml.worksheet+xml">
        <DigestMethod Algorithm="http://www.w3.org/2001/04/xmlenc#sha512"/>
        <DigestValue>Tz8DjTdlRq9ISmNsfNmWVos6Nj8AWWrPAsGLI1DdWdb1+ytVNMeZqk5TdaI2U5wDHNs+FzdASLbTmQjcQjG71A==</DigestValue>
      </Reference>
      <Reference URI="/xl/worksheets/sheet3.xml?ContentType=application/vnd.openxmlformats-officedocument.spreadsheetml.worksheet+xml">
        <DigestMethod Algorithm="http://www.w3.org/2001/04/xmlenc#sha512"/>
        <DigestValue>QHVZyDqYOaK1AOAjtjWbfwZc8jlNh2xFUCbWamnXpZdarXZIH0TCJdYBLxrfeKPoWkQC7xUF/HCQTE+NQ/D/9A==</DigestValue>
      </Reference>
      <Reference URI="/xl/worksheets/sheet30.xml?ContentType=application/vnd.openxmlformats-officedocument.spreadsheetml.worksheet+xml">
        <DigestMethod Algorithm="http://www.w3.org/2001/04/xmlenc#sha512"/>
        <DigestValue>mDY/rZ0hxBwLQGoUMBmN7yKKndXqtVsa2IakyMf0Agnl+H1ZsJpXDRqRi0twlrTWESkE03NIbb3vB+xDJy4dDg==</DigestValue>
      </Reference>
      <Reference URI="/xl/worksheets/sheet31.xml?ContentType=application/vnd.openxmlformats-officedocument.spreadsheetml.worksheet+xml">
        <DigestMethod Algorithm="http://www.w3.org/2001/04/xmlenc#sha512"/>
        <DigestValue>e+eulhDSuFa8hbaUTh0vm0MP72yFN5xTdALjLvIprr29R4V1B1Yzr+liXaYQtQOvgvTrlbiILuLKnAETm7wixA==</DigestValue>
      </Reference>
      <Reference URI="/xl/worksheets/sheet32.xml?ContentType=application/vnd.openxmlformats-officedocument.spreadsheetml.worksheet+xml">
        <DigestMethod Algorithm="http://www.w3.org/2001/04/xmlenc#sha512"/>
        <DigestValue>AwiW08EIQIW1aXEz4aU+scWHbyeMuqVyMb7BT5MBaUnJPRCxHaBBcAqnW53a1smC+22hCLakmR95JDEIzJsYqg==</DigestValue>
      </Reference>
      <Reference URI="/xl/worksheets/sheet33.xml?ContentType=application/vnd.openxmlformats-officedocument.spreadsheetml.worksheet+xml">
        <DigestMethod Algorithm="http://www.w3.org/2001/04/xmlenc#sha512"/>
        <DigestValue>Y3OzBwQ3klEbQqqIt6tTrDeIPFcV+tbrmQrM+4GubrT2NA1uLQLz8KKX8LZzyAh59qsXQsD+waTJL5IzsxcBwg==</DigestValue>
      </Reference>
      <Reference URI="/xl/worksheets/sheet34.xml?ContentType=application/vnd.openxmlformats-officedocument.spreadsheetml.worksheet+xml">
        <DigestMethod Algorithm="http://www.w3.org/2001/04/xmlenc#sha512"/>
        <DigestValue>bpZzxdRLaQQ7PWSaBjxUodTk4lDjr9aDeFnUkUrzXFBwVvWhF4s6cSdgpa3NDqUwywRJ8hatDcMiwSaXuCksPw==</DigestValue>
      </Reference>
      <Reference URI="/xl/worksheets/sheet35.xml?ContentType=application/vnd.openxmlformats-officedocument.spreadsheetml.worksheet+xml">
        <DigestMethod Algorithm="http://www.w3.org/2001/04/xmlenc#sha512"/>
        <DigestValue>R4MH1H7t+NTULwXBhMmXZ6655AWxmWkXGiEPz6poScG+dU/9ud1oH7eqYEP0MihYB5JTmf8Q2EHevOuUOce6Ww==</DigestValue>
      </Reference>
      <Reference URI="/xl/worksheets/sheet36.xml?ContentType=application/vnd.openxmlformats-officedocument.spreadsheetml.worksheet+xml">
        <DigestMethod Algorithm="http://www.w3.org/2001/04/xmlenc#sha512"/>
        <DigestValue>iN/AKpL8ZyROxowWHE4Gvofkzd8/MFNfvIPOOTN8LRSbMuVLFc1VAnxei7wRl8SAkjBnTsqMooXuqxorMSyKlQ==</DigestValue>
      </Reference>
      <Reference URI="/xl/worksheets/sheet37.xml?ContentType=application/vnd.openxmlformats-officedocument.spreadsheetml.worksheet+xml">
        <DigestMethod Algorithm="http://www.w3.org/2001/04/xmlenc#sha512"/>
        <DigestValue>g4kBf3l9ZRWiP9w/IZXWL8g37GJWlt8KoasgY5zTjf+90WzcWgPYovmBPPyTjcfSIlyDIT10/DY7xzj6lzoUEQ==</DigestValue>
      </Reference>
      <Reference URI="/xl/worksheets/sheet38.xml?ContentType=application/vnd.openxmlformats-officedocument.spreadsheetml.worksheet+xml">
        <DigestMethod Algorithm="http://www.w3.org/2001/04/xmlenc#sha512"/>
        <DigestValue>d9hhki7jkL4L5hFaYt4xNKtERRJjNGu+Y+bt1/C9pXYLH59bmFPry2hVy+n9dFMGLqxsi0gC/HTAuVvjEoWmGQ==</DigestValue>
      </Reference>
      <Reference URI="/xl/worksheets/sheet39.xml?ContentType=application/vnd.openxmlformats-officedocument.spreadsheetml.worksheet+xml">
        <DigestMethod Algorithm="http://www.w3.org/2001/04/xmlenc#sha512"/>
        <DigestValue>BmtlR/81cl4s1De+rrfpUY51TP2pnPMVMawafwZszSLud+PYX//MHcHg4FEIlpwAlu6qvbv23GS9gQ6WVyPI4Q==</DigestValue>
      </Reference>
      <Reference URI="/xl/worksheets/sheet4.xml?ContentType=application/vnd.openxmlformats-officedocument.spreadsheetml.worksheet+xml">
        <DigestMethod Algorithm="http://www.w3.org/2001/04/xmlenc#sha512"/>
        <DigestValue>N+kERSKBPkwUMqKjZ8eb0Uu2IiIuxnE7tZVYTsSDByBCrIsJM0djojiTYa4jWIW2xI3Gv6s0jm5ZMHe7EKI87Q==</DigestValue>
      </Reference>
      <Reference URI="/xl/worksheets/sheet40.xml?ContentType=application/vnd.openxmlformats-officedocument.spreadsheetml.worksheet+xml">
        <DigestMethod Algorithm="http://www.w3.org/2001/04/xmlenc#sha512"/>
        <DigestValue>L+uglgg6+87bKey58XYRfJT8hguGc9jZ7c2j08YMLsJLXpP2LHZ4eLQJv5sLILtaRtH4RQcvk2yZkSRDHAxYlw==</DigestValue>
      </Reference>
      <Reference URI="/xl/worksheets/sheet41.xml?ContentType=application/vnd.openxmlformats-officedocument.spreadsheetml.worksheet+xml">
        <DigestMethod Algorithm="http://www.w3.org/2001/04/xmlenc#sha512"/>
        <DigestValue>vmdOnTjSvr7VOTFRodgbgCEelLCRbTWESUQOYAfNQBx5ithePkrDciHSDuV6W53vyDfjnpoMseN03iSB4Dtybg==</DigestValue>
      </Reference>
      <Reference URI="/xl/worksheets/sheet42.xml?ContentType=application/vnd.openxmlformats-officedocument.spreadsheetml.worksheet+xml">
        <DigestMethod Algorithm="http://www.w3.org/2001/04/xmlenc#sha512"/>
        <DigestValue>zJFBll9JvzvOdcnbdQpzaHbMXJBGmYWC33MJjhg1je/D3We6SWavnSHAooHVb3dYKZEWP6ylh19P9cCPeUtWEQ==</DigestValue>
      </Reference>
      <Reference URI="/xl/worksheets/sheet43.xml?ContentType=application/vnd.openxmlformats-officedocument.spreadsheetml.worksheet+xml">
        <DigestMethod Algorithm="http://www.w3.org/2001/04/xmlenc#sha512"/>
        <DigestValue>Hjdp2IzvcLQVeZyVOpEu6qaQkS9WjMOTZYsmv4wg7fGiy/VP7MdlynnZ1jLFgljSA5yWW3OqX6y442WwvKI7Gw==</DigestValue>
      </Reference>
      <Reference URI="/xl/worksheets/sheet44.xml?ContentType=application/vnd.openxmlformats-officedocument.spreadsheetml.worksheet+xml">
        <DigestMethod Algorithm="http://www.w3.org/2001/04/xmlenc#sha512"/>
        <DigestValue>jK8M2BzetPVhXZjXXUlWp5nilfLZzYj+oumdshJbGSkw9LaewIIPJFScPLC4xSlOZ86v/Qq6WQ6Zq+fif9MOug==</DigestValue>
      </Reference>
      <Reference URI="/xl/worksheets/sheet45.xml?ContentType=application/vnd.openxmlformats-officedocument.spreadsheetml.worksheet+xml">
        <DigestMethod Algorithm="http://www.w3.org/2001/04/xmlenc#sha512"/>
        <DigestValue>+8H3RMbXRXgyNwwnvMId1pWJs1vVP023XHSEgZ4oq2DgstJTdx13S6LnGxSmc7DtYutosDKHKgqS2UHdltJoXA==</DigestValue>
      </Reference>
      <Reference URI="/xl/worksheets/sheet46.xml?ContentType=application/vnd.openxmlformats-officedocument.spreadsheetml.worksheet+xml">
        <DigestMethod Algorithm="http://www.w3.org/2001/04/xmlenc#sha512"/>
        <DigestValue>ev7ipjsh0DG/XG20hP+JGIcd9Wf4hFsjQnDdFWlhq9Yeqg/NQG/cXVeYu7Ju0Yzd/hNLcpEwMHynDA0q+Ss56Q==</DigestValue>
      </Reference>
      <Reference URI="/xl/worksheets/sheet47.xml?ContentType=application/vnd.openxmlformats-officedocument.spreadsheetml.worksheet+xml">
        <DigestMethod Algorithm="http://www.w3.org/2001/04/xmlenc#sha512"/>
        <DigestValue>BPlk2Eza/iigNtuJuBXH+xAu985+YFngZrqKs/2zr5brW/AUi7ESFwiwMTrOpBDluW33l8SdMPh5XRmPyLKaMA==</DigestValue>
      </Reference>
      <Reference URI="/xl/worksheets/sheet48.xml?ContentType=application/vnd.openxmlformats-officedocument.spreadsheetml.worksheet+xml">
        <DigestMethod Algorithm="http://www.w3.org/2001/04/xmlenc#sha512"/>
        <DigestValue>/o5AJUNCyEHH4+sGflbxMtDC9YCJ8mtZ1tDMXTfYXrrzu80Ll/hQ4NoTveidRcs2wbmsu7rSz0/t8IA5x/zcXA==</DigestValue>
      </Reference>
      <Reference URI="/xl/worksheets/sheet49.xml?ContentType=application/vnd.openxmlformats-officedocument.spreadsheetml.worksheet+xml">
        <DigestMethod Algorithm="http://www.w3.org/2001/04/xmlenc#sha512"/>
        <DigestValue>qzTELm+PE7K69G79SeEBqdJ+1Sa1v9VPOdw0ohNwyjpEIF2xpJ0bNjl/mcq7JQvKPl4pDalzM56foIrnKha4Fw==</DigestValue>
      </Reference>
      <Reference URI="/xl/worksheets/sheet5.xml?ContentType=application/vnd.openxmlformats-officedocument.spreadsheetml.worksheet+xml">
        <DigestMethod Algorithm="http://www.w3.org/2001/04/xmlenc#sha512"/>
        <DigestValue>lwJynp3AbdAlIFUBalvGAyqUjJH3/4cAgzR3DfoYvSguBIqM4t+6y4yVOOAvbATZd/oFlJ3O60BAc715mpdI4A==</DigestValue>
      </Reference>
      <Reference URI="/xl/worksheets/sheet50.xml?ContentType=application/vnd.openxmlformats-officedocument.spreadsheetml.worksheet+xml">
        <DigestMethod Algorithm="http://www.w3.org/2001/04/xmlenc#sha512"/>
        <DigestValue>zSZZwhcQOyIRPH2l3z5qnlRjOq165RBBbouWl08igFzVPXiDGWYmXEN6gdMpnMQE8QggvKO/dMIO/0bxzXgU/A==</DigestValue>
      </Reference>
      <Reference URI="/xl/worksheets/sheet6.xml?ContentType=application/vnd.openxmlformats-officedocument.spreadsheetml.worksheet+xml">
        <DigestMethod Algorithm="http://www.w3.org/2001/04/xmlenc#sha512"/>
        <DigestValue>dW/5l53693XA4Os7pMl/26aj0hyLMCp+YjuWB046J/rWUeJYxTaaFPPaQg+xxEaeCXU1mgfLTHOxgodIU+Ov2A==</DigestValue>
      </Reference>
      <Reference URI="/xl/worksheets/sheet7.xml?ContentType=application/vnd.openxmlformats-officedocument.spreadsheetml.worksheet+xml">
        <DigestMethod Algorithm="http://www.w3.org/2001/04/xmlenc#sha512"/>
        <DigestValue>53IWshC8xM3rtXDa7OabMSFwZvKcoaEcKftPHjOsukj9ptKmmlrgzbK0/IgC5Cn2iuxL/cBFJW/zcmpnRUHlsw==</DigestValue>
      </Reference>
      <Reference URI="/xl/worksheets/sheet8.xml?ContentType=application/vnd.openxmlformats-officedocument.spreadsheetml.worksheet+xml">
        <DigestMethod Algorithm="http://www.w3.org/2001/04/xmlenc#sha512"/>
        <DigestValue>bmavGeiXS0HGbWPTKUb6Dtt/OZ1F8dnXzdThR2vpAOBpRzB4QPEfzkBB+9MvKqRATAd+OR6ENu1T4p9H/t6UCA==</DigestValue>
      </Reference>
      <Reference URI="/xl/worksheets/sheet9.xml?ContentType=application/vnd.openxmlformats-officedocument.spreadsheetml.worksheet+xml">
        <DigestMethod Algorithm="http://www.w3.org/2001/04/xmlenc#sha512"/>
        <DigestValue>Tk5lg54eY9FNFaF1P/0LyMOFWq85NvFgLwbbNJNqU/CZ5tljURBVT4V8jw5tgrMa47fGBbXN07Eae12RpRqPKw==</DigestValue>
      </Reference>
    </Manifest>
    <SignatureProperties>
      <SignatureProperty Id="idSignatureTime" Target="#idPackageSignature">
        <mdssi:SignatureTime xmlns:mdssi="http://schemas.openxmlformats.org/package/2006/digital-signature">
          <mdssi:Format>YYYY-MM-DDThh:mm:ssTZD</mdssi:Format>
          <mdssi:Value>2023-03-31T21:05:29Z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ANUAL 31-12-2022 CNV Y BVA</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2023-03-31T21:05:29Z</xd:SigningTime>
          <xd:SigningCertificate>
            <xd:Cert>
              <xd:CertDigest>
                <DigestMethod Algorithm="http://www.w3.org/2001/04/xmlenc#sha512"/>
                <DigestValue>oCKqjdY2R8axYrvtRoGJSxD43fCg9RT09EpyQsfUetiSHvfrYsQT0eNGbjNeQm0egKj6PfL5w3DL+yxuo4JYPg==</DigestValue>
              </xd:CertDigest>
              <xd:IssuerSerial>
                <X509IssuerName>SERIALNUMBER=RUC80080610-7, CN=CODE100 S.A., OU=Prestador Cualificado de Servicios de Confianza, O=ICPP, C=PY</X509IssuerName>
                <X509SerialNumber>24113044802633367844611419015273972089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INFORME ANUAL 31-12-2022 CNV Y BVA</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zNKXDw0GQCRr8LfuPVDAxEtKFNgL34yolfAdNb+sSx9O/xS8QnBayDdqHoYLYFwBSL9BVV2PIGTl
NT9JLUDxJw==</DigestValue>
    </Reference>
    <Reference Type="http://www.w3.org/2000/09/xmldsig#Object" URI="#idOfficeObject">
      <DigestMethod Algorithm="http://www.w3.org/2001/04/xmlenc#sha512"/>
      <DigestValue>lgvvBWfOfNMkNYnH9dHIMC9tJd/y+siVd+AmlgonM3b9tLAqct1D17iXY1cizHUk9BVv9IZ9D6Gb
p5LY/eqf3Q==</DigestValue>
    </Reference>
    <Reference Type="http://uri.etsi.org/01903#SignedProperties" URI="#idSignedProperties">
      <Transforms>
        <Transform Algorithm="http://www.w3.org/TR/2001/REC-xml-c14n-20010315"/>
      </Transforms>
      <DigestMethod Algorithm="http://www.w3.org/2001/04/xmlenc#sha512"/>
      <DigestValue>Xw2LkdFA1Z+CSV48qAjwa3fACF0cPH/erpDL7WOlOKdfbvMxOUeTAg8dqzGjMCD/qKwk3GwYlqCC
Did4FOr1HA==</DigestValue>
    </Reference>
  </SignedInfo>
  <SignatureValue>q+wDdxjr5U6rgPhUaupIw8y8Sz7AwkkxY2ebZjBSQb5B7YtU1mKTcMLwzT3pONP7PlB7euaX623E
KsKHJWstdY95eUvWcLILdgFn1iHmIlN3Ojt2YaccBqQdV5FkBfYyd8FcGqgk79JX+lVcXXdzdtkS
Yr9nwFq+qApwEjQ4haN8PhfbwKSjvfVC2PE69VAYilg2VcFZqDbA2+XBrTpGmx6Htbuv/ZfwdtXF
9173JMuBXrbNXfbpG/KLLK6I/EIXGUWUMqlAjek4nck4thWsVhFfpOh7pP+vqFbC3n/Bkdq6KUsf
k+W5QM97/8EZy0YiXPkxVKtTyDkG9PfRLaV4OA==</SignatureValue>
  <KeyInfo>
    <X509Data>
      <X509Certificate>MIIHtzCCBZ+gAwIBAgIRALP4fUljcqKwRE2U4ERJtfEwDQYJKoZIhvcNAQENBQAwgYUxCzAJBgNVBAYTAlBZMQ0wCwYDVQQKEwRJQ1BQMTgwNgYDVQQLEy9QcmVzdGFkb3IgQ3VhbGlmaWNhZG8gZGUgU2VydmljaW9zIGRlIENvbmZpYW56YTEVMBMGA1UEAxMMQ09ERTEwMCBTLkEuMRYwFAYDVQQFEw1SVUM4MDA4MDYxMC03MB4XDTIzMDMyODIxMDU1MFoXDTI1MDMyODIxMDU1MFowgcIxCzAJBgNVBAYTAlBZMTYwNAYDVQQKDC1DRVJUSUZJQ0FETyBDVUFMSUZJQ0FETyBERSBGSVJNQSBFTEVDVFLDk05JQ0ExCzAJBgNVBAsTAkYyMRcwFQYDVQQEEw5NT05UT1NTSSBQRVJFWjEYMBYGA1UEKhMPRkVERVJJQ08gREFOSUVMMScwJQYDVQQDEx5GRURFUklDTyBEQU5JRUwgTU9OVE9TU0kgUEVSRVoxEjAQBgNVBAUTCUNJODA4NzA1MTCCASIwDQYJKoZIhvcNAQEBBQADggEPADCCAQoCggEBAOzc97tmenjyvYOEVDJ9NKuP5BS0fBnyTXIAT+lgGjrQuvQL5L/lhL9GOw9Hav5d2Y+tJJPa50VejnhmKFrbVcwF+5oWHrBMXlbpjZDuiY2KpMtRMDH+e+D+5cTP6qZ4qwcpAHmVyvxlmB0hKiOiKw+oyjeDfiycCyew6E31y7BO4pkJ4960VJ50K6WvDf1Cglq5Zvmi3yaiFoci1v6UdA7inWDzu83lDpHtC19dJ7sRcz3RfUHUBNt7bZ7zt6D1Qhlusot+4B/Kh5/pV0Te903iQHR4Y77pAgYiK1TKhE0zBnJwVrL7MKDLPQP+r+A+6TPbjku1AO/3rJ+KQqfJq/sCAwEAAaOCAuEwggLdMAwGA1UdEwEB/wQCMAAwHQYDVR0OBBYEFLhKRKNg36GtysR3uGK2zKu6Q9P6MB8GA1UdIwQYMBaAFL41VGJoYOcm0zHBX5ex4vZkzgf1MA4GA1UdDwEB/wQEAwIF4DBYBgNVHREEUTBPgSBGTU9OVE9TU0lATUlMTEVOSUFDQVBJVEFMLkNPTS5QW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sxjtDQJpeSiJOM7YOuuPmUzUWkcYn10BIyV7AaBhHWQMqWYeU4Z8pYqNmYlnP92outZSj1rfskam0TclMfIwE6JEB5XjaulHSxrj5QSYUExFn0TYfFmZFYKDp3mGMCwdULN8yLCE1rVWetWBEdXOAtvTNz5e+vU5EiWTkn5iKYqWp+QXMTxbAG5vyekrnllCt5r6/dBR1JeSxBKpUmkIxQl84HFB4JRWVkZAXFtU9JallhRqn912qrhjnxTCbJbNS4eAMwEodsMBOQlw7Y5YxnjpaJIMYOiMdnJCH6ylGxchfXzYyRY6XpxOTxfvHAaWKYV4vsTbW7ou4//dgEreNkq4HC9p0j2Pff3Brj55JJT77Nk6m9AnCnhiLnP4s8FQqkF/VrCfdM2xGpmj771XI99y7iZXfn2d6MOwJBPofe27QkzCd0RkFpr7gS/5ALnkJaSiieQxWfwCb+YYS7ig5lMDI3osoLP3YbM2UVudHuenqCrxNbTi7iFcCLiFANWPO9/pXo2ntq3XQ3aq6HrX0Cxh18UeXeiq4DOpJRbvBoqiNUMw/KzUpTfWGw4tTsoANWZaFm+KZyCLEhYQ3aXT5fnI+p59OSpRYqgZg4r0aFjFP0q1OHIchMHHCMfZnlF+xmP5+jr8YrFDO5e9VJozxNXIbJVmQn/8ixi7iWjMie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BR9CwnJ8AHQD/oga807dXNBO2tKwQCVBeG8AOIScmzmPl4LXXvzixTgYkM8kZNmQVB5IZ3+appqLnY3WRXjrsA==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vC9Ybf7mLdSsinCWSqEOYeocn/+MhwnIoctJQdAwnnK4CDwQp3PX35amw69PTdt12/NT9NSaoWtQ+j+sBIS5EQ==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Oclxn0MNgrXVzG5RgT99sVX0u/8A6K2j7oyvhdWyTBG3EJb03lAUMFDXwn5YoTGryDtc4tw8YXXXtsfbLT3qvw==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FG2/0iODOBNk3oAxrhisGanNVRvGO1OOFYl8WoLNVJXktORTzklP5Om51ACNnNkxF4q2WQSLifvlIwuHErV9lw==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RYv1XGM+mE9LBLm3h98gysSMozsCwRVJwwJvTwzol0sLjyTMp9shExuLcsNEVfZtMAQ7X7IacRoXRY+MbT2A1A==</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PaInxNIgdmBcDgeRo7TAnjUcZtaarz5N83PapBzciusk58Jwr2k5a2T3UpnM8w912bPi17OPLqb/IW1gEqA/iA==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abKu7mg1dD5+udBGnbGkVmRIFkZCuL7twcZG9QmrnILpfWxUDYOvaUBdvBq9RlKSmYV/IRy5Z6KV2exgoBOBZw==</DigestValue>
      </Reference>
      <Reference URI="/xl/styles.xml?ContentType=application/vnd.openxmlformats-officedocument.spreadsheetml.styles+xml">
        <DigestMethod Algorithm="http://www.w3.org/2001/04/xmlenc#sha512"/>
        <DigestValue>FApIdpwgqp/FFYwAL2rjA7Dz1cpoROQ/JWebKOWfK95L/DWa90NyHEjMZMyMaciSoasIso73tzPNINb24RcH7w==</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ut0u3z8YuHWB/HX0T44XmwL7H29EoDd25kK/7ocJe8zYeEUYfuFTq1nys/pNCSxZDByoLnnls3RlmpOCU1dvTw==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ZImDS2sL8mcvQkt7o81cEjaMTdarfuCGUjmmyCjpj1EKIc6Qiz+QBGxh6RQYzKVQVZcJ6/hoesKegz6QB1uJkQ==</DigestValue>
      </Reference>
      <Reference URI="/xl/worksheets/sheet11.xml?ContentType=application/vnd.openxmlformats-officedocument.spreadsheetml.worksheet+xml">
        <DigestMethod Algorithm="http://www.w3.org/2001/04/xmlenc#sha512"/>
        <DigestValue>/lc/5XCLWEGR2YmuDKeVuG4tEvNt0c6E0PrXPcpb4O0rrjEKiT6f4U3i5q3sxq1CK+40T6wLeU+YXKtmEdlEog==</DigestValue>
      </Reference>
      <Reference URI="/xl/worksheets/sheet12.xml?ContentType=application/vnd.openxmlformats-officedocument.spreadsheetml.worksheet+xml">
        <DigestMethod Algorithm="http://www.w3.org/2001/04/xmlenc#sha512"/>
        <DigestValue>ir2Tasyut7OwZK9aSYsJLn6I7aosxuuaRA1jWXUZYYSC+Hca0q7Tgpv0juSCuxyIG2v8Kz0CSR4phMVjsx1v0g==</DigestValue>
      </Reference>
      <Reference URI="/xl/worksheets/sheet13.xml?ContentType=application/vnd.openxmlformats-officedocument.spreadsheetml.worksheet+xml">
        <DigestMethod Algorithm="http://www.w3.org/2001/04/xmlenc#sha512"/>
        <DigestValue>cQeUxCxDqL2RbgBHBzM7LovFpmlVjY1FKzpL3TLX7tcZgMGNUn1EVKc8bJQtialjinmLMq0BdBaRE1aF01900g==</DigestValue>
      </Reference>
      <Reference URI="/xl/worksheets/sheet14.xml?ContentType=application/vnd.openxmlformats-officedocument.spreadsheetml.worksheet+xml">
        <DigestMethod Algorithm="http://www.w3.org/2001/04/xmlenc#sha512"/>
        <DigestValue>ClNpw7xKPNdgZz9btbmnjsGG/cyNXONlNZ4ZP195Qhsf5H9FHaXTfsvTNL/NUuuhsXtw5NBI0v+b2zXnMGO/qA==</DigestValue>
      </Reference>
      <Reference URI="/xl/worksheets/sheet15.xml?ContentType=application/vnd.openxmlformats-officedocument.spreadsheetml.worksheet+xml">
        <DigestMethod Algorithm="http://www.w3.org/2001/04/xmlenc#sha512"/>
        <DigestValue>90CwtS9Rw9UNh83EmqyfUx6bMpnpdMhyvTBDTwqrt2XxLJdKR9dyZO+b0s0TQ0psbEjrCDrnzTdliFE3TvA+Tw==</DigestValue>
      </Reference>
      <Reference URI="/xl/worksheets/sheet16.xml?ContentType=application/vnd.openxmlformats-officedocument.spreadsheetml.worksheet+xml">
        <DigestMethod Algorithm="http://www.w3.org/2001/04/xmlenc#sha512"/>
        <DigestValue>PKkbhbG8GjDAvLTfcTpCh7NG+v1W/71zgN4HZNg+JQFhxN+kDdLgos7UTeVjtYo8fVZRAT47TXlRLZUzs2+ITQ==</DigestValue>
      </Reference>
      <Reference URI="/xl/worksheets/sheet17.xml?ContentType=application/vnd.openxmlformats-officedocument.spreadsheetml.worksheet+xml">
        <DigestMethod Algorithm="http://www.w3.org/2001/04/xmlenc#sha512"/>
        <DigestValue>4vxZhMPkKBzVmnrF/fyfzuszTfptN73fSowLuquWy2MCw/Wz7ZzTS4aJz6JFhRrMTOdwyu5m4qEnQt1Uxf0bgA==</DigestValue>
      </Reference>
      <Reference URI="/xl/worksheets/sheet18.xml?ContentType=application/vnd.openxmlformats-officedocument.spreadsheetml.worksheet+xml">
        <DigestMethod Algorithm="http://www.w3.org/2001/04/xmlenc#sha512"/>
        <DigestValue>qi+4ISenqcV5TJbxtJiF+LfkEuqk3Dx3K5D51fRanE5k+S7lITmIh+IsIDlD3hONW2CJWpQVkyqC5acGbJCFjQ==</DigestValue>
      </Reference>
      <Reference URI="/xl/worksheets/sheet19.xml?ContentType=application/vnd.openxmlformats-officedocument.spreadsheetml.worksheet+xml">
        <DigestMethod Algorithm="http://www.w3.org/2001/04/xmlenc#sha512"/>
        <DigestValue>u/YgJMViCDDwQYTQ5MjH/PNwRbKiBRfkwZYM5w6gBgc5rzBDoeSEDSOinpHNUX80GTH9Umhh66gG9WMoqdMOZA==</DigestValue>
      </Reference>
      <Reference URI="/xl/worksheets/sheet2.xml?ContentType=application/vnd.openxmlformats-officedocument.spreadsheetml.worksheet+xml">
        <DigestMethod Algorithm="http://www.w3.org/2001/04/xmlenc#sha512"/>
        <DigestValue>MQlE8OZOz2JFOOhgm1vzsqVxikQRTnl6dHyBBd3L+mFcgcUx+8kD/n3qjy2PK7kiR2nHYI4zphLlHq5StxSSGg==</DigestValue>
      </Reference>
      <Reference URI="/xl/worksheets/sheet20.xml?ContentType=application/vnd.openxmlformats-officedocument.spreadsheetml.worksheet+xml">
        <DigestMethod Algorithm="http://www.w3.org/2001/04/xmlenc#sha512"/>
        <DigestValue>+FRc7MofMZSr4NueU3xaqkDSyOynEf+DWI+DShy4UIkOJTJfhNOtjsb02j7MB6E3cKQCcBlUcHh+FdjRAM0pEA==</DigestValue>
      </Reference>
      <Reference URI="/xl/worksheets/sheet21.xml?ContentType=application/vnd.openxmlformats-officedocument.spreadsheetml.worksheet+xml">
        <DigestMethod Algorithm="http://www.w3.org/2001/04/xmlenc#sha512"/>
        <DigestValue>AJhZGPz88oxeoyafzW0ZecfB2K98lfu4+RHkZa0mP/fOc6UK1ZYWI9GQ8+eFLiABfEc4lkar5AodEDqNXFOPpg==</DigestValue>
      </Reference>
      <Reference URI="/xl/worksheets/sheet22.xml?ContentType=application/vnd.openxmlformats-officedocument.spreadsheetml.worksheet+xml">
        <DigestMethod Algorithm="http://www.w3.org/2001/04/xmlenc#sha512"/>
        <DigestValue>gQjybVmvIGG6LVjv4TgapvQX3MDXIxpiEl3jfXcDGavtepqx9gc7j9BG5BCybPaZ9ZluDHPGt2S/HcY72q4g9g==</DigestValue>
      </Reference>
      <Reference URI="/xl/worksheets/sheet23.xml?ContentType=application/vnd.openxmlformats-officedocument.spreadsheetml.worksheet+xml">
        <DigestMethod Algorithm="http://www.w3.org/2001/04/xmlenc#sha512"/>
        <DigestValue>2xYEs97U9PYZw1LsHOnirHi+qr8KmN7dCWqyKauLH473ZrjQ33OlP5UDMUadiozmm4AeQPtUK4bZZrx6czVTGA==</DigestValue>
      </Reference>
      <Reference URI="/xl/worksheets/sheet24.xml?ContentType=application/vnd.openxmlformats-officedocument.spreadsheetml.worksheet+xml">
        <DigestMethod Algorithm="http://www.w3.org/2001/04/xmlenc#sha512"/>
        <DigestValue>bqu7Ig+rjW219YUNkKqdO4VirbONstNY2ZQCIM6StmbcPYuYHAvWUT1g/8ikZXaaFov7zTQJzWaP/pijHbZbaA==</DigestValue>
      </Reference>
      <Reference URI="/xl/worksheets/sheet25.xml?ContentType=application/vnd.openxmlformats-officedocument.spreadsheetml.worksheet+xml">
        <DigestMethod Algorithm="http://www.w3.org/2001/04/xmlenc#sha512"/>
        <DigestValue>OPzfA9iCHgj2kIh3NhLSpJC/vqGxyCZHERBjJqGICbrkzh/T8+Vt9r8xAM4ikmoMS1t0U/EwweLcxjlhI93JIQ==</DigestValue>
      </Reference>
      <Reference URI="/xl/worksheets/sheet26.xml?ContentType=application/vnd.openxmlformats-officedocument.spreadsheetml.worksheet+xml">
        <DigestMethod Algorithm="http://www.w3.org/2001/04/xmlenc#sha512"/>
        <DigestValue>+e62Q2bFx/ARDRIxivIvp3dvERtPklIldwj6Oezuc1kLH7oMjyWmNCINy6285bOP/D6wEhsKZUif70mCQfa9RQ==</DigestValue>
      </Reference>
      <Reference URI="/xl/worksheets/sheet27.xml?ContentType=application/vnd.openxmlformats-officedocument.spreadsheetml.worksheet+xml">
        <DigestMethod Algorithm="http://www.w3.org/2001/04/xmlenc#sha512"/>
        <DigestValue>yWWtx5bKUxrMwfCW/YoHzyxmhuL/pmn+CHRL1qxVizH0UsBOnQAxPA7rtSK1rUjx98Yk6TENtoedn+qgOhgBKQ==</DigestValue>
      </Reference>
      <Reference URI="/xl/worksheets/sheet28.xml?ContentType=application/vnd.openxmlformats-officedocument.spreadsheetml.worksheet+xml">
        <DigestMethod Algorithm="http://www.w3.org/2001/04/xmlenc#sha512"/>
        <DigestValue>r+NHb25XDTGSXfY7I0CFdF7nA4wmmvLI1vBfc7IiYCfwczxMrYz6uj1oc2Pruyc8wZExeW1YJDmCY3mDzpI8nA==</DigestValue>
      </Reference>
      <Reference URI="/xl/worksheets/sheet29.xml?ContentType=application/vnd.openxmlformats-officedocument.spreadsheetml.worksheet+xml">
        <DigestMethod Algorithm="http://www.w3.org/2001/04/xmlenc#sha512"/>
        <DigestValue>Tz8DjTdlRq9ISmNsfNmWVos6Nj8AWWrPAsGLI1DdWdb1+ytVNMeZqk5TdaI2U5wDHNs+FzdASLbTmQjcQjG71A==</DigestValue>
      </Reference>
      <Reference URI="/xl/worksheets/sheet3.xml?ContentType=application/vnd.openxmlformats-officedocument.spreadsheetml.worksheet+xml">
        <DigestMethod Algorithm="http://www.w3.org/2001/04/xmlenc#sha512"/>
        <DigestValue>QHVZyDqYOaK1AOAjtjWbfwZc8jlNh2xFUCbWamnXpZdarXZIH0TCJdYBLxrfeKPoWkQC7xUF/HCQTE+NQ/D/9A==</DigestValue>
      </Reference>
      <Reference URI="/xl/worksheets/sheet30.xml?ContentType=application/vnd.openxmlformats-officedocument.spreadsheetml.worksheet+xml">
        <DigestMethod Algorithm="http://www.w3.org/2001/04/xmlenc#sha512"/>
        <DigestValue>mDY/rZ0hxBwLQGoUMBmN7yKKndXqtVsa2IakyMf0Agnl+H1ZsJpXDRqRi0twlrTWESkE03NIbb3vB+xDJy4dDg==</DigestValue>
      </Reference>
      <Reference URI="/xl/worksheets/sheet31.xml?ContentType=application/vnd.openxmlformats-officedocument.spreadsheetml.worksheet+xml">
        <DigestMethod Algorithm="http://www.w3.org/2001/04/xmlenc#sha512"/>
        <DigestValue>e+eulhDSuFa8hbaUTh0vm0MP72yFN5xTdALjLvIprr29R4V1B1Yzr+liXaYQtQOvgvTrlbiILuLKnAETm7wixA==</DigestValue>
      </Reference>
      <Reference URI="/xl/worksheets/sheet32.xml?ContentType=application/vnd.openxmlformats-officedocument.spreadsheetml.worksheet+xml">
        <DigestMethod Algorithm="http://www.w3.org/2001/04/xmlenc#sha512"/>
        <DigestValue>AwiW08EIQIW1aXEz4aU+scWHbyeMuqVyMb7BT5MBaUnJPRCxHaBBcAqnW53a1smC+22hCLakmR95JDEIzJsYqg==</DigestValue>
      </Reference>
      <Reference URI="/xl/worksheets/sheet33.xml?ContentType=application/vnd.openxmlformats-officedocument.spreadsheetml.worksheet+xml">
        <DigestMethod Algorithm="http://www.w3.org/2001/04/xmlenc#sha512"/>
        <DigestValue>Y3OzBwQ3klEbQqqIt6tTrDeIPFcV+tbrmQrM+4GubrT2NA1uLQLz8KKX8LZzyAh59qsXQsD+waTJL5IzsxcBwg==</DigestValue>
      </Reference>
      <Reference URI="/xl/worksheets/sheet34.xml?ContentType=application/vnd.openxmlformats-officedocument.spreadsheetml.worksheet+xml">
        <DigestMethod Algorithm="http://www.w3.org/2001/04/xmlenc#sha512"/>
        <DigestValue>bpZzxdRLaQQ7PWSaBjxUodTk4lDjr9aDeFnUkUrzXFBwVvWhF4s6cSdgpa3NDqUwywRJ8hatDcMiwSaXuCksPw==</DigestValue>
      </Reference>
      <Reference URI="/xl/worksheets/sheet35.xml?ContentType=application/vnd.openxmlformats-officedocument.spreadsheetml.worksheet+xml">
        <DigestMethod Algorithm="http://www.w3.org/2001/04/xmlenc#sha512"/>
        <DigestValue>R4MH1H7t+NTULwXBhMmXZ6655AWxmWkXGiEPz6poScG+dU/9ud1oH7eqYEP0MihYB5JTmf8Q2EHevOuUOce6Ww==</DigestValue>
      </Reference>
      <Reference URI="/xl/worksheets/sheet36.xml?ContentType=application/vnd.openxmlformats-officedocument.spreadsheetml.worksheet+xml">
        <DigestMethod Algorithm="http://www.w3.org/2001/04/xmlenc#sha512"/>
        <DigestValue>iN/AKpL8ZyROxowWHE4Gvofkzd8/MFNfvIPOOTN8LRSbMuVLFc1VAnxei7wRl8SAkjBnTsqMooXuqxorMSyKlQ==</DigestValue>
      </Reference>
      <Reference URI="/xl/worksheets/sheet37.xml?ContentType=application/vnd.openxmlformats-officedocument.spreadsheetml.worksheet+xml">
        <DigestMethod Algorithm="http://www.w3.org/2001/04/xmlenc#sha512"/>
        <DigestValue>g4kBf3l9ZRWiP9w/IZXWL8g37GJWlt8KoasgY5zTjf+90WzcWgPYovmBPPyTjcfSIlyDIT10/DY7xzj6lzoUEQ==</DigestValue>
      </Reference>
      <Reference URI="/xl/worksheets/sheet38.xml?ContentType=application/vnd.openxmlformats-officedocument.spreadsheetml.worksheet+xml">
        <DigestMethod Algorithm="http://www.w3.org/2001/04/xmlenc#sha512"/>
        <DigestValue>d9hhki7jkL4L5hFaYt4xNKtERRJjNGu+Y+bt1/C9pXYLH59bmFPry2hVy+n9dFMGLqxsi0gC/HTAuVvjEoWmGQ==</DigestValue>
      </Reference>
      <Reference URI="/xl/worksheets/sheet39.xml?ContentType=application/vnd.openxmlformats-officedocument.spreadsheetml.worksheet+xml">
        <DigestMethod Algorithm="http://www.w3.org/2001/04/xmlenc#sha512"/>
        <DigestValue>BmtlR/81cl4s1De+rrfpUY51TP2pnPMVMawafwZszSLud+PYX//MHcHg4FEIlpwAlu6qvbv23GS9gQ6WVyPI4Q==</DigestValue>
      </Reference>
      <Reference URI="/xl/worksheets/sheet4.xml?ContentType=application/vnd.openxmlformats-officedocument.spreadsheetml.worksheet+xml">
        <DigestMethod Algorithm="http://www.w3.org/2001/04/xmlenc#sha512"/>
        <DigestValue>N+kERSKBPkwUMqKjZ8eb0Uu2IiIuxnE7tZVYTsSDByBCrIsJM0djojiTYa4jWIW2xI3Gv6s0jm5ZMHe7EKI87Q==</DigestValue>
      </Reference>
      <Reference URI="/xl/worksheets/sheet40.xml?ContentType=application/vnd.openxmlformats-officedocument.spreadsheetml.worksheet+xml">
        <DigestMethod Algorithm="http://www.w3.org/2001/04/xmlenc#sha512"/>
        <DigestValue>L+uglgg6+87bKey58XYRfJT8hguGc9jZ7c2j08YMLsJLXpP2LHZ4eLQJv5sLILtaRtH4RQcvk2yZkSRDHAxYlw==</DigestValue>
      </Reference>
      <Reference URI="/xl/worksheets/sheet41.xml?ContentType=application/vnd.openxmlformats-officedocument.spreadsheetml.worksheet+xml">
        <DigestMethod Algorithm="http://www.w3.org/2001/04/xmlenc#sha512"/>
        <DigestValue>vmdOnTjSvr7VOTFRodgbgCEelLCRbTWESUQOYAfNQBx5ithePkrDciHSDuV6W53vyDfjnpoMseN03iSB4Dtybg==</DigestValue>
      </Reference>
      <Reference URI="/xl/worksheets/sheet42.xml?ContentType=application/vnd.openxmlformats-officedocument.spreadsheetml.worksheet+xml">
        <DigestMethod Algorithm="http://www.w3.org/2001/04/xmlenc#sha512"/>
        <DigestValue>zJFBll9JvzvOdcnbdQpzaHbMXJBGmYWC33MJjhg1je/D3We6SWavnSHAooHVb3dYKZEWP6ylh19P9cCPeUtWEQ==</DigestValue>
      </Reference>
      <Reference URI="/xl/worksheets/sheet43.xml?ContentType=application/vnd.openxmlformats-officedocument.spreadsheetml.worksheet+xml">
        <DigestMethod Algorithm="http://www.w3.org/2001/04/xmlenc#sha512"/>
        <DigestValue>Hjdp2IzvcLQVeZyVOpEu6qaQkS9WjMOTZYsmv4wg7fGiy/VP7MdlynnZ1jLFgljSA5yWW3OqX6y442WwvKI7Gw==</DigestValue>
      </Reference>
      <Reference URI="/xl/worksheets/sheet44.xml?ContentType=application/vnd.openxmlformats-officedocument.spreadsheetml.worksheet+xml">
        <DigestMethod Algorithm="http://www.w3.org/2001/04/xmlenc#sha512"/>
        <DigestValue>jK8M2BzetPVhXZjXXUlWp5nilfLZzYj+oumdshJbGSkw9LaewIIPJFScPLC4xSlOZ86v/Qq6WQ6Zq+fif9MOug==</DigestValue>
      </Reference>
      <Reference URI="/xl/worksheets/sheet45.xml?ContentType=application/vnd.openxmlformats-officedocument.spreadsheetml.worksheet+xml">
        <DigestMethod Algorithm="http://www.w3.org/2001/04/xmlenc#sha512"/>
        <DigestValue>+8H3RMbXRXgyNwwnvMId1pWJs1vVP023XHSEgZ4oq2DgstJTdx13S6LnGxSmc7DtYutosDKHKgqS2UHdltJoXA==</DigestValue>
      </Reference>
      <Reference URI="/xl/worksheets/sheet46.xml?ContentType=application/vnd.openxmlformats-officedocument.spreadsheetml.worksheet+xml">
        <DigestMethod Algorithm="http://www.w3.org/2001/04/xmlenc#sha512"/>
        <DigestValue>ev7ipjsh0DG/XG20hP+JGIcd9Wf4hFsjQnDdFWlhq9Yeqg/NQG/cXVeYu7Ju0Yzd/hNLcpEwMHynDA0q+Ss56Q==</DigestValue>
      </Reference>
      <Reference URI="/xl/worksheets/sheet47.xml?ContentType=application/vnd.openxmlformats-officedocument.spreadsheetml.worksheet+xml">
        <DigestMethod Algorithm="http://www.w3.org/2001/04/xmlenc#sha512"/>
        <DigestValue>BPlk2Eza/iigNtuJuBXH+xAu985+YFngZrqKs/2zr5brW/AUi7ESFwiwMTrOpBDluW33l8SdMPh5XRmPyLKaMA==</DigestValue>
      </Reference>
      <Reference URI="/xl/worksheets/sheet48.xml?ContentType=application/vnd.openxmlformats-officedocument.spreadsheetml.worksheet+xml">
        <DigestMethod Algorithm="http://www.w3.org/2001/04/xmlenc#sha512"/>
        <DigestValue>/o5AJUNCyEHH4+sGflbxMtDC9YCJ8mtZ1tDMXTfYXrrzu80Ll/hQ4NoTveidRcs2wbmsu7rSz0/t8IA5x/zcXA==</DigestValue>
      </Reference>
      <Reference URI="/xl/worksheets/sheet49.xml?ContentType=application/vnd.openxmlformats-officedocument.spreadsheetml.worksheet+xml">
        <DigestMethod Algorithm="http://www.w3.org/2001/04/xmlenc#sha512"/>
        <DigestValue>qzTELm+PE7K69G79SeEBqdJ+1Sa1v9VPOdw0ohNwyjpEIF2xpJ0bNjl/mcq7JQvKPl4pDalzM56foIrnKha4Fw==</DigestValue>
      </Reference>
      <Reference URI="/xl/worksheets/sheet5.xml?ContentType=application/vnd.openxmlformats-officedocument.spreadsheetml.worksheet+xml">
        <DigestMethod Algorithm="http://www.w3.org/2001/04/xmlenc#sha512"/>
        <DigestValue>lwJynp3AbdAlIFUBalvGAyqUjJH3/4cAgzR3DfoYvSguBIqM4t+6y4yVOOAvbATZd/oFlJ3O60BAc715mpdI4A==</DigestValue>
      </Reference>
      <Reference URI="/xl/worksheets/sheet50.xml?ContentType=application/vnd.openxmlformats-officedocument.spreadsheetml.worksheet+xml">
        <DigestMethod Algorithm="http://www.w3.org/2001/04/xmlenc#sha512"/>
        <DigestValue>zSZZwhcQOyIRPH2l3z5qnlRjOq165RBBbouWl08igFzVPXiDGWYmXEN6gdMpnMQE8QggvKO/dMIO/0bxzXgU/A==</DigestValue>
      </Reference>
      <Reference URI="/xl/worksheets/sheet6.xml?ContentType=application/vnd.openxmlformats-officedocument.spreadsheetml.worksheet+xml">
        <DigestMethod Algorithm="http://www.w3.org/2001/04/xmlenc#sha512"/>
        <DigestValue>dW/5l53693XA4Os7pMl/26aj0hyLMCp+YjuWB046J/rWUeJYxTaaFPPaQg+xxEaeCXU1mgfLTHOxgodIU+Ov2A==</DigestValue>
      </Reference>
      <Reference URI="/xl/worksheets/sheet7.xml?ContentType=application/vnd.openxmlformats-officedocument.spreadsheetml.worksheet+xml">
        <DigestMethod Algorithm="http://www.w3.org/2001/04/xmlenc#sha512"/>
        <DigestValue>53IWshC8xM3rtXDa7OabMSFwZvKcoaEcKftPHjOsukj9ptKmmlrgzbK0/IgC5Cn2iuxL/cBFJW/zcmpnRUHlsw==</DigestValue>
      </Reference>
      <Reference URI="/xl/worksheets/sheet8.xml?ContentType=application/vnd.openxmlformats-officedocument.spreadsheetml.worksheet+xml">
        <DigestMethod Algorithm="http://www.w3.org/2001/04/xmlenc#sha512"/>
        <DigestValue>bmavGeiXS0HGbWPTKUb6Dtt/OZ1F8dnXzdThR2vpAOBpRzB4QPEfzkBB+9MvKqRATAd+OR6ENu1T4p9H/t6UCA==</DigestValue>
      </Reference>
      <Reference URI="/xl/worksheets/sheet9.xml?ContentType=application/vnd.openxmlformats-officedocument.spreadsheetml.worksheet+xml">
        <DigestMethod Algorithm="http://www.w3.org/2001/04/xmlenc#sha512"/>
        <DigestValue>Tk5lg54eY9FNFaF1P/0LyMOFWq85NvFgLwbbNJNqU/CZ5tljURBVT4V8jw5tgrMa47fGBbXN07Eae12RpRqPKw==</DigestValue>
      </Reference>
    </Manifest>
    <SignatureProperties>
      <SignatureProperty Id="idSignatureTime" Target="#idPackageSignature">
        <mdssi:SignatureTime xmlns:mdssi="http://schemas.openxmlformats.org/package/2006/digital-signature">
          <mdssi:Format>YYYY-MM-DDThh:mm:ssTZD</mdssi:Format>
          <mdssi:Value>2023-03-31T21:10:44Z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31032023</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2023-03-31T21:10:44Z</xd:SigningTime>
          <xd:SigningCertificate>
            <xd:Cert>
              <xd:CertDigest>
                <DigestMethod Algorithm="http://www.w3.org/2001/04/xmlenc#sha512"/>
                <DigestValue>egiPWyBWyEtfJCCvKwTaGPmhJC4UKVKn1kIajVNuR4ImlXsUk7/rez0+UDsgIj7ar07LVhvZNhNztp9dl8XdbQ==</DigestValue>
              </xd:CertDigest>
              <xd:IssuerSerial>
                <X509IssuerName>SERIALNUMBER=RUC80080610-7, CN=CODE100 S.A., OU=Prestador Cualificado de Servicios de Confianza, O=ICPP, C=PY</X509IssuerName>
                <X509SerialNumber>239222041982050500292424829658748007921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31032023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+hN5JnYdsiuvupHCxmUdppVraPE=</DigestValue>
    </Reference>
    <Reference URI="#idOfficeObject" Type="http://www.w3.org/2000/09/xmldsig#Object">
      <DigestMethod Algorithm="http://www.w3.org/2000/09/xmldsig#sha1"/>
      <DigestValue>tqeR556MFpk+Lyj0qXa8P/iIDLw=</DigestValue>
    </Reference>
    <Reference URI="#idSignedProperties" Type="http://uri.etsi.org/01903#SignedProperties">
      <Transforms>
        <Transform Algorithm="http://www.w3.org/TR/2001/REC-xml-c14n-20010315"/>
      </Transforms>
      <DigestMethod Algorithm="http://www.w3.org/2000/09/xmldsig#sha1"/>
      <DigestValue>0SiiioBqlgzhBNUPUzRXCQxDwuA=</DigestValue>
    </Reference>
  </SignedInfo>
  <SignatureValue>yMZqZb0maYCHcA3714gIZSuqMnjjoYxdRfNJsRLzOrYk4Cwp6iPiCNu8zuJpx0xt7Qau5LHXBMwg
pHPVCRcWNIc08VUZeZW09diV7Ril6JkIAgNJMMWDzxgjm52uP0wN3xZppckKpQISq/D1x+dHfUdv
RDpQxUXeqhQeWHWChLolJ4tErdt6/SqJuEg3LNPAR46kaKkXPtTdbYT2hsvPx8yNgxG2ZE+vsMH1
sGUE4z8vpMGUMt6BPFtCg9eNd3VIlUdKnIoQt/0m7AVAUaHYyB/a9LuYACnkWFbp2aP00mfoRnhA
r+m6W1BhroTDMMkATL3tV+Lfe5V8xrtG3soyww==</SignatureValue>
  <KeyInfo>
    <X509Data>
      <X509Certificate>MIIIDDCCBfSgAwIBAgIIBxipIo3ddAMwDQYJKoZIhvcNAQELBQAwWzEXMBUGA1UEBRMOUlVDIDgw
MDUwMTcyLTExGjAYBgNVBAMTEUNBLURPQ1VNRU5UQSBTLkEuMRcwFQYDVQQKEw5ET0NVTUVOVEEg
Uy5BLjELMAkGA1UEBhMCUFkwHhcNMjIwNDAxMTMzMDU1WhcNMjQwMzMxMTM0MDU1WjCBpTELMAkG
A1UEBhMCUFkxGDAWBgNVBAQMD0hFUk1PU0EgQkFDSEVSTzESMBAGA1UEBRMJQ0kzNDk1NTI2MRUw
EwYDVQQqDAxNQVJJQSBMT1JFTkExFzAVBgNVBAoMDlBFUlNPTkEgRklTSUNBMREwDwYDVQQLDAhG
SVJNQSBGMjElMCMGA1UEAwwcTUFSSUEgTE9SRU5BIEhFUk1PU0EgQkFDSEVSTzCCASIwDQYJKoZI
hvcNAQEBBQADggEPADCCAQoCggEBAN+YZteZL1nWGxGYtMuyn9TWw/oK+/gkGsBid7Fey1V3/Z5N
dQffZichHVwmP35HhVCemDhXgHxV8M8VH9M75yNkUr2B2XmwYsvRu+NvsLnybGXWYzNgpQxyu0Na
o/YZum7DPne3Q3H+Lu23eVHQs9DaKt8+nOfgpSOl4rlugIIbzHWjp6KLgrga/+Qq5SU6+gY+bLBr
MJ1hWaqFH1EqOhV4xUSF+vPB6kdFkQg3inlrzturyHKhkYuLmdvnDf/gF0EMlLeoN6VW7ugwiJTt
qrA3EC5eFmPMz4wXlEFfl0lHoUvzcTMZ0HFWxHuJOd6pH2F33+xFjwp7ms8xRWkAVmMCAwEAAaOC
A4cwggODMAwGA1UdEwEB/wQCMAAwDgYDVR0PAQH/BAQDAgXgMCoGA1UdJQEB/wQgMB4GCCsGAQUF
BwMBBggrBgEFBQcDAgYIKwYBBQUHAwQwHQYDVR0OBBYEFC3UGUJ0dd2LG/6e4q+erT8VeqGaMIGX
BggrBgEFBQcBAQSBijCBhzA6BggrBgEFBQcwAYYuaHR0cHM6Ly93d3cuZG9jdW1lbnRhLmNvbS5w
eS9maXJtYWRpZ2l0YWwvb3NjcDBJBggrBgEFBQcwAoY9aHR0cHM6Ly93d3cuZG9jdW1lbnRhLmNv
bS5weS9maXJtYWRpZ2l0YWwvZGVzY2FyZ2FzL2NhZG9jLmNydDAfBgNVHSMEGDAWgBRAJqwmXGKP
xvUCVOSNwRom1u6lsjBPBgNVHR8ESDBGMESgQqBAhj5odHRwczovL3d3dy5kb2N1bWVudGEuY29t
LnB5L2Zpcm1hZGlnaXRhbC9kZXNjYXJnYXMvY3JsZG9jLmNybDArBgNVHREEJDAigSBsb3JlbmEu
aGVybW9zYUBiYWtlcnRpbGx5LmNvbS5weTCCAd0GA1UdIASCAdQwggHQMIIBzAYOKwYBBAGC+TsB
AQEGAQEwggG4MD8GCCsGAQUFBwIBFjNodHRwczovL3d3dy5kb2N1bWVudGEuY29tLnB5L2Zpcm1h
ZGlnaXRhbC9kZXNjYXJnYXMwgcAGCCsGAQUFBwICMIGzGoGwRXN0ZSBlcyB1biBjZXJ0aWZpY2Fk
byBkZSBwZXJzb25hIGbtc2ljYSBjdXlhIGNsYXZlIHByaXZhZGEgZXN04SBjb250ZW5pZGEgZW4g
dW4gbfNkdWxvIGRlIGhhcmR3YXJlIHNlZ3VybyB5IHN1IGZpbmFsaWRhZCBlcyBhdXRlbnRpY2Fy
IGEgc3UgdGl0dWxhciBvIGdlbmVyYXIgZmlybWFzIGRpZ2l0YWxlcy4wgbEGCCsGAQUFBwICMIGk
GoGhVGhpcyBpcyBhbiBlbmQgdXNlciBjZXJ0aWZpY2F0ZSB3aG9zZSBwcml2YXRlIGtleSBpcyBl
bWJlZGRlZCB3aXRoaW4gYSBzZWN1cmUgaGFyZHdhcmUgbW9kdWxlIHRoYXQgYWltcyB0byBhdXRo
ZW50aWNhdGUgaXRzIG93bmVyIG9yIGdlbmVyYXRlIGRpZ2l0YWwgc2lnbmF0dXJlcy4wDQYJKoZI
hvcNAQELBQADggIBAMtzSktsxyvqMSr8kHccoE6Phk4LNnndhwqmg3uBUoVrnC+uwvljojzjefU1
WpC1ChVippM7epJUN1En6E419EKTbWIKNgCR3LszuMnkFfa/Tkqcf2kzKgWHJzVfOBISZn7TFNCR
oUW38KV1szkL9vyQYpNAsEDfIQkVzSkD0FT/ims9hMayrScQPBoS1sFbS+OO6SvuUf0mVrw4L5K4
TDcsY90gV5BkruhCu+R8xefFtpmCMH9+OYoIgACjUYGWo54Kviz9GZJtdx8pJ5w6oNa6nlSo84dY
FltAEA8onywJSUGofThCix89xsiiI9nIIkCf2QoC8exrcaVUELQ1nJSStOYWj+i7WrtKJB37Nvxz
heWG9M5FuIB4+i1opYIg2yHVINfUYLTNY6oPscPIkbTqR2bISrF4uLPsO9wP0gGNopbLpMqrJosH
fiyOY4/urfb6RB4ZIN02+dIAblyTbDnbc99WBfTWz2XbDg/UWhSNpSxiSAMEpo6cHVb/h3BwuiBZ
/AzmbOqG4itjXYYHBN6YG+cKZmx7H7QPuFRbq2FEfxZVL7XwVlkUFUAKXFDJYjbWykfzMz6Z5Y6T
LRZMS4hXqg4byEb01VqColJgHAKKYNN4X6y3gZKX3e2lPcJjUoWzmve86Z2rtuWX0+5yr9CYz34Q
hXSzDr9sVDzbWo7Y</X509Certificate>
    </X509Data>
  </KeyInfo>
  <Object xmlns:mdssi="http://schemas.openxmlformats.org/package/2006/digital-signature" Id="idPackageObject">
    <Manifest>
      <Reference URI="/xl/printerSettings/printerSettings12.bin?ContentType=application/vnd.openxmlformats-officedocument.spreadsheetml.printerSettings">
        <DigestMethod Algorithm="http://www.w3.org/2000/09/xmldsig#sha1"/>
        <DigestValue>Onfp7al3E5mFjjx4cBZv4LOPgZI=</DigestValue>
      </Reference>
      <Reference URI="/xl/drawings/drawing18.xml?ContentType=application/vnd.openxmlformats-officedocument.drawing+xml">
        <DigestMethod Algorithm="http://www.w3.org/2000/09/xmldsig#sha1"/>
        <DigestValue>X8Baw9sIqTNa53guH/jQAPsc22w=</DigestValue>
      </Reference>
      <Reference URI="/xl/worksheets/sheet15.xml?ContentType=application/vnd.openxmlformats-officedocument.spreadsheetml.worksheet+xml">
        <DigestMethod Algorithm="http://www.w3.org/2000/09/xmldsig#sha1"/>
        <DigestValue>0L59rmSv7NSzbmBG3PSymZ3gQTY=</DigestValue>
      </Reference>
      <Reference URI="/xl/worksheets/sheet14.xml?ContentType=application/vnd.openxmlformats-officedocument.spreadsheetml.worksheet+xml">
        <DigestMethod Algorithm="http://www.w3.org/2000/09/xmldsig#sha1"/>
        <DigestValue>h4HayXdnYKQDeR87o1u5mOwAy7Y=</DigestValue>
      </Reference>
      <Reference URI="/xl/drawings/drawing12.xml?ContentType=application/vnd.openxmlformats-officedocument.drawing+xml">
        <DigestMethod Algorithm="http://www.w3.org/2000/09/xmldsig#sha1"/>
        <DigestValue>gXPB4WnSwrblxTDT3ByipSg6LzU=</DigestValue>
      </Reference>
      <Reference URI="/xl/drawings/drawing23.xml?ContentType=application/vnd.openxmlformats-officedocument.drawing+xml">
        <DigestMethod Algorithm="http://www.w3.org/2000/09/xmldsig#sha1"/>
        <DigestValue>DkRDeqM6FWzxzayXP1q1BbsJKXY=</DigestValue>
      </Reference>
      <Reference URI="/xl/drawings/drawing24.xml?ContentType=application/vnd.openxmlformats-officedocument.drawing+xml">
        <DigestMethod Algorithm="http://www.w3.org/2000/09/xmldsig#sha1"/>
        <DigestValue>QaKtjwMoZ5pCyCE8Cw9By0VaHzg=</DigestValue>
      </Reference>
      <Reference URI="/xl/worksheets/sheet7.xml?ContentType=application/vnd.openxmlformats-officedocument.spreadsheetml.worksheet+xml">
        <DigestMethod Algorithm="http://www.w3.org/2000/09/xmldsig#sha1"/>
        <DigestValue>Q9II4c6mAc0qo5FF9+mbr2jAv8c=</DigestValue>
      </Reference>
      <Reference URI="/xl/worksheets/sheet6.xml?ContentType=application/vnd.openxmlformats-officedocument.spreadsheetml.worksheet+xml">
        <DigestMethod Algorithm="http://www.w3.org/2000/09/xmldsig#sha1"/>
        <DigestValue>d6EBk1uFSzgiM+DOvYSnK27HHjw=</DigestValue>
      </Reference>
      <Reference URI="/xl/worksheets/sheet5.xml?ContentType=application/vnd.openxmlformats-officedocument.spreadsheetml.worksheet+xml">
        <DigestMethod Algorithm="http://www.w3.org/2000/09/xmldsig#sha1"/>
        <DigestValue>bQ2bxkAR2sgFSgYCu8Ltvu3C6vs=</DigestValue>
      </Reference>
      <Reference URI="/xl/worksheets/sheet24.xml?ContentType=application/vnd.openxmlformats-officedocument.spreadsheetml.worksheet+xml">
        <DigestMethod Algorithm="http://www.w3.org/2000/09/xmldsig#sha1"/>
        <DigestValue>3nGER4NQ/sUWRqygfwANhsTKwt4=</DigestValue>
      </Reference>
      <Reference URI="/xl/drawings/drawing15.xml?ContentType=application/vnd.openxmlformats-officedocument.drawing+xml">
        <DigestMethod Algorithm="http://www.w3.org/2000/09/xmldsig#sha1"/>
        <DigestValue>3SP7AKJEEp+RITZ3HkV0WOGIBYo=</DigestValue>
      </Reference>
      <Reference URI="/xl/worksheets/sheet25.xml?ContentType=application/vnd.openxmlformats-officedocument.spreadsheetml.worksheet+xml">
        <DigestMethod Algorithm="http://www.w3.org/2000/09/xmldsig#sha1"/>
        <DigestValue>Zsxv1juhBUzWkjonFllFR3UNJqo=</DigestValue>
      </Reference>
      <Reference URI="/xl/worksheets/sheet17.xml?ContentType=application/vnd.openxmlformats-officedocument.spreadsheetml.worksheet+xml">
        <DigestMethod Algorithm="http://www.w3.org/2000/09/xmldsig#sha1"/>
        <DigestValue>p0N4cV3NMyrRhYQDcS6HeDXQ9Kk=</DigestValue>
      </Reference>
      <Reference URI="/xl/worksheets/sheet16.xml?ContentType=application/vnd.openxmlformats-officedocument.spreadsheetml.worksheet+xml">
        <DigestMethod Algorithm="http://www.w3.org/2000/09/xmldsig#sha1"/>
        <DigestValue>KaXDehZ7hlSQAN07KK+SgGqZu0Y=</DigestValue>
      </Reference>
      <Reference URI="/xl/worksheets/sheet22.xml?ContentType=application/vnd.openxmlformats-officedocument.spreadsheetml.worksheet+xml">
        <DigestMethod Algorithm="http://www.w3.org/2000/09/xmldsig#sha1"/>
        <DigestValue>XzihGxT7r/5DWz33oE5lgKdS9zg=</DigestValue>
      </Reference>
      <Reference URI="/xl/drawings/drawing16.xml?ContentType=application/vnd.openxmlformats-officedocument.drawing+xml">
        <DigestMethod Algorithm="http://www.w3.org/2000/09/xmldsig#sha1"/>
        <DigestValue>Q3DJFXqjjFJDLYV4gzDyXUnZgKw=</DigestValue>
      </Reference>
      <Reference URI="/xl/worksheets/sheet23.xml?ContentType=application/vnd.openxmlformats-officedocument.spreadsheetml.worksheet+xml">
        <DigestMethod Algorithm="http://www.w3.org/2000/09/xmldsig#sha1"/>
        <DigestValue>CKLk+QsyO6YZQbJAfcr6ELQbbyM=</DigestValue>
      </Reference>
      <Reference URI="/xl/drawings/drawing13.xml?ContentType=application/vnd.openxmlformats-officedocument.drawing+xml">
        <DigestMethod Algorithm="http://www.w3.org/2000/09/xmldsig#sha1"/>
        <DigestValue>c4Qyb0rdn6oah9AcWYBxdMi2oPg=</DigestValue>
      </Reference>
      <Reference URI="/xl/worksheets/sheet26.xml?ContentType=application/vnd.openxmlformats-officedocument.spreadsheetml.worksheet+xml">
        <DigestMethod Algorithm="http://www.w3.org/2000/09/xmldsig#sha1"/>
        <DigestValue>lRknFEQRWeN/doU7N12hQQijpb4=</DigestValue>
      </Reference>
      <Reference URI="/xl/drawings/drawing14.xml?ContentType=application/vnd.openxmlformats-officedocument.drawing+xml">
        <DigestMethod Algorithm="http://www.w3.org/2000/09/xmldsig#sha1"/>
        <DigestValue>szX5IEvGS3KYfkDvIfb6e1y6Bik=</DigestValue>
      </Reference>
      <Reference URI="/xl/drawings/drawing25.xml?ContentType=application/vnd.openxmlformats-officedocument.drawing+xml">
        <DigestMethod Algorithm="http://www.w3.org/2000/09/xmldsig#sha1"/>
        <DigestValue>0frsTJnK153NYAtdHK7dAQKd85U=</DigestValue>
      </Reference>
      <Reference URI="/xl/drawings/drawing22.xml?ContentType=application/vnd.openxmlformats-officedocument.drawing+xml">
        <DigestMethod Algorithm="http://www.w3.org/2000/09/xmldsig#sha1"/>
        <DigestValue>DBw0XKocVFJVDM03w82LwXuXRt4=</DigestValue>
      </Reference>
      <Reference URI="/xl/worksheets/sheet8.xml?ContentType=application/vnd.openxmlformats-officedocument.spreadsheetml.worksheet+xml">
        <DigestMethod Algorithm="http://www.w3.org/2000/09/xmldsig#sha1"/>
        <DigestValue>LVU48lHUVOd8dmzTAV5I3Dz2b9w=</DigestValue>
      </Reference>
      <Reference URI="/xl/worksheets/sheet41.xml?ContentType=application/vnd.openxmlformats-officedocument.spreadsheetml.worksheet+xml">
        <DigestMethod Algorithm="http://www.w3.org/2000/09/xmldsig#sha1"/>
        <DigestValue>vCWvHIBV0/LLkE6dACQ2Wks+18s=</DigestValue>
      </Reference>
      <Reference URI="/xl/worksheets/sheet40.xml?ContentType=application/vnd.openxmlformats-officedocument.spreadsheetml.worksheet+xml">
        <DigestMethod Algorithm="http://www.w3.org/2000/09/xmldsig#sha1"/>
        <DigestValue>oT6m+OzIGRUCwCLQXgkXsjEcEl8=</DigestValue>
      </Reference>
      <Reference URI="/xl/worksheets/sheet39.xml?ContentType=application/vnd.openxmlformats-officedocument.spreadsheetml.worksheet+xml">
        <DigestMethod Algorithm="http://www.w3.org/2000/09/xmldsig#sha1"/>
        <DigestValue>pIuLMV7dZYunMk+Om9EyJruAcec=</DigestValue>
      </Reference>
      <Reference URI="/xl/drawings/drawing26.xml?ContentType=application/vnd.openxmlformats-officedocument.drawing+xml">
        <DigestMethod Algorithm="http://www.w3.org/2000/09/xmldsig#sha1"/>
        <DigestValue>h/q7fSz8IYP3qOF9oGQUNzdh3XE=</DigestValue>
      </Reference>
      <Reference URI="/xl/worksheets/sheet38.xml?ContentType=application/vnd.openxmlformats-officedocument.spreadsheetml.worksheet+xml">
        <DigestMethod Algorithm="http://www.w3.org/2000/09/xmldsig#sha1"/>
        <DigestValue>CmVpe0rDOLeDrjL6GTliXkD8LQo=</DigestValue>
      </Reference>
      <Reference URI="/xl/drawings/drawing1.xml?ContentType=application/vnd.openxmlformats-officedocument.drawing+xml">
        <DigestMethod Algorithm="http://www.w3.org/2000/09/xmldsig#sha1"/>
        <DigestValue>Ckav1eZSrF0tzVsU8iDCfXiyl9Y=</DigestValue>
      </Reference>
      <Reference URI="/xl/worksheets/sheet42.xml?ContentType=application/vnd.openxmlformats-officedocument.spreadsheetml.worksheet+xml">
        <DigestMethod Algorithm="http://www.w3.org/2000/09/xmldsig#sha1"/>
        <DigestValue>FlQsZApu6wuHL7OYvqdWYXgECqg=</DigestValue>
      </Reference>
      <Reference URI="/xl/worksheets/sheet43.xml?ContentType=application/vnd.openxmlformats-officedocument.spreadsheetml.worksheet+xml">
        <DigestMethod Algorithm="http://www.w3.org/2000/09/xmldsig#sha1"/>
        <DigestValue>JhdFQM8/XPN9rm0xpHo+KBYAIVk=</DigestValue>
      </Reference>
      <Reference URI="/xl/sharedStrings.xml?ContentType=application/vnd.openxmlformats-officedocument.spreadsheetml.sharedStrings+xml">
        <DigestMethod Algorithm="http://www.w3.org/2000/09/xmldsig#sha1"/>
        <DigestValue>Rr/cn7LJhhW8PFq6RjCfJMsLnt8=</DigestValue>
      </Reference>
      <Reference URI="/xl/worksheets/sheet28.xml?ContentType=application/vnd.openxmlformats-officedocument.spreadsheetml.worksheet+xml">
        <DigestMethod Algorithm="http://www.w3.org/2000/09/xmldsig#sha1"/>
        <DigestValue>4EoN2Q+iNkR32WE1er+w17npXe0=</DigestValue>
      </Reference>
      <Reference URI="/xl/worksheets/sheet29.xml?ContentType=application/vnd.openxmlformats-officedocument.spreadsheetml.worksheet+xml">
        <DigestMethod Algorithm="http://www.w3.org/2000/09/xmldsig#sha1"/>
        <DigestValue>qA+nMOwNhUAjwcOEFx3PGx7KzTQ=</DigestValue>
      </Reference>
      <Reference URI="/xl/worksheets/sheet27.xml?ContentType=application/vnd.openxmlformats-officedocument.spreadsheetml.worksheet+xml">
        <DigestMethod Algorithm="http://www.w3.org/2000/09/xmldsig#sha1"/>
        <DigestValue>m5bewUsYk8R0AneeEKtK2G30IVY=</DigestValue>
      </Reference>
      <Reference URI="/xl/worksheets/sheet9.xml?ContentType=application/vnd.openxmlformats-officedocument.spreadsheetml.worksheet+xml">
        <DigestMethod Algorithm="http://www.w3.org/2000/09/xmldsig#sha1"/>
        <DigestValue>QlH6RrtojGbec0azSQUJjOVa5Ec=</DigestValue>
      </Reference>
      <Reference URI="/xl/drawings/drawing19.xml?ContentType=application/vnd.openxmlformats-officedocument.drawing+xml">
        <DigestMethod Algorithm="http://www.w3.org/2000/09/xmldsig#sha1"/>
        <DigestValue>gZqaPFy6MOAPa0EkihQ18dUcTDs=</DigestValue>
      </Reference>
      <Reference URI="/xl/worksheets/sheet13.xml?ContentType=application/vnd.openxmlformats-officedocument.spreadsheetml.worksheet+xml">
        <DigestMethod Algorithm="http://www.w3.org/2000/09/xmldsig#sha1"/>
        <DigestValue>vh79T5Lggpttm0kPmC39B79Df9U=</DigestValue>
      </Reference>
      <Reference URI="/xl/drawings/drawing20.xml?ContentType=application/vnd.openxmlformats-officedocument.drawing+xml">
        <DigestMethod Algorithm="http://www.w3.org/2000/09/xmldsig#sha1"/>
        <DigestValue>pIKvFRBTgG4d4wND6xn0sPL13fE=</DigestValue>
      </Reference>
      <Reference URI="/xl/worksheets/sheet12.xml?ContentType=application/vnd.openxmlformats-officedocument.spreadsheetml.worksheet+xml">
        <DigestMethod Algorithm="http://www.w3.org/2000/09/xmldsig#sha1"/>
        <DigestValue>lIY6Y+87srYxnT+IN0tV+dOh0Cc=</DigestValue>
      </Reference>
      <Reference URI="/xl/worksheets/sheet11.xml?ContentType=application/vnd.openxmlformats-officedocument.spreadsheetml.worksheet+xml">
        <DigestMethod Algorithm="http://www.w3.org/2000/09/xmldsig#sha1"/>
        <DigestValue>a+spy3CNVFDfZ5H9iz0lGnLMSNA=</DigestValue>
      </Reference>
      <Reference URI="/xl/drawings/drawing21.xml?ContentType=application/vnd.openxmlformats-officedocument.drawing+xml">
        <DigestMethod Algorithm="http://www.w3.org/2000/09/xmldsig#sha1"/>
        <DigestValue>hvXalhUVuSkNgK46+9C8uVQy0RM=</DigestValue>
      </Reference>
      <Reference URI="/xl/printerSettings/printerSettings11.bin?ContentType=application/vnd.openxmlformats-officedocument.spreadsheetml.printerSettings">
        <DigestMethod Algorithm="http://www.w3.org/2000/09/xmldsig#sha1"/>
        <DigestValue>+8tBlnEIZk7qIqTPZSDNqXd5/TY=</DigestValue>
      </Reference>
      <Reference URI="/xl/worksheets/sheet18.xml?ContentType=application/vnd.openxmlformats-officedocument.spreadsheetml.worksheet+xml">
        <DigestMethod Algorithm="http://www.w3.org/2000/09/xmldsig#sha1"/>
        <DigestValue>6IM7wQ6cRtNSJcteXsGd4h7zZvU=</DigestValue>
      </Reference>
      <Reference URI="/xl/drawings/drawing17.xml?ContentType=application/vnd.openxmlformats-officedocument.drawing+xml">
        <DigestMethod Algorithm="http://www.w3.org/2000/09/xmldsig#sha1"/>
        <DigestValue>lgrpOnr4r9VMTCfHTfXXrgyXzWY=</DigestValue>
      </Reference>
      <Reference URI="/xl/worksheets/sheet19.xml?ContentType=application/vnd.openxmlformats-officedocument.spreadsheetml.worksheet+xml">
        <DigestMethod Algorithm="http://www.w3.org/2000/09/xmldsig#sha1"/>
        <DigestValue>jNMWkabrmofHn6Ze7X+nwaXa3P0=</DigestValue>
      </Reference>
      <Reference URI="/xl/printerSettings/printerSettings1.bin?ContentType=application/vnd.openxmlformats-officedocument.spreadsheetml.printerSettings">
        <DigestMethod Algorithm="http://www.w3.org/2000/09/xmldsig#sha1"/>
        <DigestValue>3/AjyOsWSzMAw0NfZzvH8be89YU=</DigestValue>
      </Reference>
      <Reference URI="/xl/printerSettings/printerSettings2.bin?ContentType=application/vnd.openxmlformats-officedocument.spreadsheetml.printerSettings">
        <DigestMethod Algorithm="http://www.w3.org/2000/09/xmldsig#sha1"/>
        <DigestValue>75GM83u2ksx49evHWSmj1I2DZww=</DigestValue>
      </Reference>
      <Reference URI="/xl/printerSettings/printerSettings3.bin?ContentType=application/vnd.openxmlformats-officedocument.spreadsheetml.printerSettings">
        <DigestMethod Algorithm="http://www.w3.org/2000/09/xmldsig#sha1"/>
        <DigestValue>fvge9F33GMOA+e5gwLN/ke9ZvBI=</DigestValue>
      </Reference>
      <Reference URI="/xl/printerSettings/printerSettings4.bin?ContentType=application/vnd.openxmlformats-officedocument.spreadsheetml.printerSettings">
        <DigestMethod Algorithm="http://www.w3.org/2000/09/xmldsig#sha1"/>
        <DigestValue>6Jx3NwZ/gVS4JNw4FqkgFAk6cRM=</DigestValue>
      </Reference>
      <Reference URI="/xl/printerSettings/printerSettings5.bin?ContentType=application/vnd.openxmlformats-officedocument.spreadsheetml.printerSettings">
        <DigestMethod Algorithm="http://www.w3.org/2000/09/xmldsig#sha1"/>
        <DigestValue>fvge9F33GMOA+e5gwLN/ke9ZvBI=</DigestValue>
      </Reference>
      <Reference URI="/xl/printerSettings/printerSettings7.bin?ContentType=application/vnd.openxmlformats-officedocument.spreadsheetml.printerSettings">
        <DigestMethod Algorithm="http://www.w3.org/2000/09/xmldsig#sha1"/>
        <DigestValue>+Sen5uyLYnhgYwcBLlFXopaNTtk=</DigestValue>
      </Reference>
      <Reference URI="/xl/printerSettings/printerSettings19.bin?ContentType=application/vnd.openxmlformats-officedocument.spreadsheetml.printerSettings">
        <DigestMethod Algorithm="http://www.w3.org/2000/09/xmldsig#sha1"/>
        <DigestValue>+8tBlnEIZk7qIqTPZSDNqXd5/TY=</DigestValue>
      </Reference>
      <Reference URI="/xl/printerSettings/printerSettings20.bin?ContentType=application/vnd.openxmlformats-officedocument.spreadsheetml.printerSettings">
        <DigestMethod Algorithm="http://www.w3.org/2000/09/xmldsig#sha1"/>
        <DigestValue>tSeEP/VQZsJgKZ/UBeqlhNPaFuA=</DigestValue>
      </Reference>
      <Reference URI="/xl/printerSettings/printerSettings21.bin?ContentType=application/vnd.openxmlformats-officedocument.spreadsheetml.printerSettings">
        <DigestMethod Algorithm="http://www.w3.org/2000/09/xmldsig#sha1"/>
        <DigestValue>2xBH7JGqBmCrjTeokPcM698iWVI=</DigestValue>
      </Reference>
      <Reference URI="/xl/externalLinks/externalLink3.xml?ContentType=application/vnd.openxmlformats-officedocument.spreadsheetml.externalLink+xml">
        <DigestMethod Algorithm="http://www.w3.org/2000/09/xmldsig#sha1"/>
        <DigestValue>WVvB4lOWkOWlFErE6FRCSCIFufE=</DigestValue>
      </Reference>
      <Reference URI="/xl/externalLinks/externalLink2.xml?ContentType=application/vnd.openxmlformats-officedocument.spreadsheetml.externalLink+xml">
        <DigestMethod Algorithm="http://www.w3.org/2000/09/xmldsig#sha1"/>
        <DigestValue>hgNLYd3yRcJN6c0Mq4rSZTySfrQ=</DigestValue>
      </Reference>
      <Reference URI="/xl/printerSettings/printerSettings8.bin?ContentType=application/vnd.openxmlformats-officedocument.spreadsheetml.printerSettings">
        <DigestMethod Algorithm="http://www.w3.org/2000/09/xmldsig#sha1"/>
        <DigestValue>Onfp7al3E5mFjjx4cBZv4LOPgZI=</DigestValue>
      </Reference>
      <Reference URI="/xl/printerSettings/printerSettings13.bin?ContentType=application/vnd.openxmlformats-officedocument.spreadsheetml.printerSettings">
        <DigestMethod Algorithm="http://www.w3.org/2000/09/xmldsig#sha1"/>
        <DigestValue>EyqI1MMiY+AzvBVobwBuoQtxEso=</DigestValue>
      </Reference>
      <Reference URI="/xl/printerSettings/printerSettings14.bin?ContentType=application/vnd.openxmlformats-officedocument.spreadsheetml.printerSettings">
        <DigestMethod Algorithm="http://www.w3.org/2000/09/xmldsig#sha1"/>
        <DigestValue>rA9A4VuFJq02StyeHufgLQAiHrQ=</DigestValue>
      </Reference>
      <Reference URI="/xl/printerSettings/printerSettings15.bin?ContentType=application/vnd.openxmlformats-officedocument.spreadsheetml.printerSettings">
        <DigestMethod Algorithm="http://www.w3.org/2000/09/xmldsig#sha1"/>
        <DigestValue>+kroToF/HjSbRlZWqwPN3YhsaJI=</DigestValue>
      </Reference>
      <Reference URI="/xl/printerSettings/printerSettings16.bin?ContentType=application/vnd.openxmlformats-officedocument.spreadsheetml.printerSettings">
        <DigestMethod Algorithm="http://www.w3.org/2000/09/xmldsig#sha1"/>
        <DigestValue>fvge9F33GMOA+e5gwLN/ke9ZvBI=</DigestValue>
      </Reference>
      <Reference URI="/xl/printerSettings/printerSettings17.bin?ContentType=application/vnd.openxmlformats-officedocument.spreadsheetml.printerSettings">
        <DigestMethod Algorithm="http://www.w3.org/2000/09/xmldsig#sha1"/>
        <DigestValue>+8tBlnEIZk7qIqTPZSDNqXd5/TY=</DigestValue>
      </Reference>
      <Reference URI="/xl/printerSettings/printerSettings18.bin?ContentType=application/vnd.openxmlformats-officedocument.spreadsheetml.printerSettings">
        <DigestMethod Algorithm="http://www.w3.org/2000/09/xmldsig#sha1"/>
        <DigestValue>hSCth8P3LE+kYwgpf4idJKlHFuY=</DigestValue>
      </Reference>
      <Reference URI="/xl/printerSettings/printerSettings10.bin?ContentType=application/vnd.openxmlformats-officedocument.spreadsheetml.printerSettings">
        <DigestMethod Algorithm="http://www.w3.org/2000/09/xmldsig#sha1"/>
        <DigestValue>Onfp7al3E5mFjjx4cBZv4LOPgZI=</DigestValue>
      </Reference>
      <Reference URI="/xl/printerSettings/printerSettings9.bin?ContentType=application/vnd.openxmlformats-officedocument.spreadsheetml.printerSettings">
        <DigestMethod Algorithm="http://www.w3.org/2000/09/xmldsig#sha1"/>
        <DigestValue>vZQmxquD5g8tqo7V9PUWvMiYrMU=</DigestValue>
      </Reference>
      <Reference URI="/xl/printerSettings/printerSettings24.bin?ContentType=application/vnd.openxmlformats-officedocument.spreadsheetml.printerSettings">
        <DigestMethod Algorithm="http://www.w3.org/2000/09/xmldsig#sha1"/>
        <DigestValue>vZQmxquD5g8tqo7V9PUWvMiYrMU=</DigestValue>
      </Reference>
      <Reference URI="/xl/printerSettings/printerSettings32.bin?ContentType=application/vnd.openxmlformats-officedocument.spreadsheetml.printerSettings">
        <DigestMethod Algorithm="http://www.w3.org/2000/09/xmldsig#sha1"/>
        <DigestValue>Onfp7al3E5mFjjx4cBZv4LOPgZI=</DigestValue>
      </Reference>
      <Reference URI="/xl/printerSettings/printerSettings31.bin?ContentType=application/vnd.openxmlformats-officedocument.spreadsheetml.printerSettings">
        <DigestMethod Algorithm="http://www.w3.org/2000/09/xmldsig#sha1"/>
        <DigestValue>+8tBlnEIZk7qIqTPZSDNqXd5/TY=</DigestValue>
      </Reference>
      <Reference URI="/xl/printerSettings/printerSettings37.bin?ContentType=application/vnd.openxmlformats-officedocument.spreadsheetml.printerSettings">
        <DigestMethod Algorithm="http://www.w3.org/2000/09/xmldsig#sha1"/>
        <DigestValue>bXjW9G8fy3P/49MmaPvdiCtGmu4=</DigestValue>
      </Reference>
      <Reference URI="/xl/printerSettings/printerSettings36.bin?ContentType=application/vnd.openxmlformats-officedocument.spreadsheetml.printerSettings">
        <DigestMethod Algorithm="http://www.w3.org/2000/09/xmldsig#sha1"/>
        <DigestValue>pOwSSx2Dui8yg7dOuh6hbUKWq1g=</DigestValue>
      </Reference>
      <Reference URI="/xl/printerSettings/printerSettings23.bin?ContentType=application/vnd.openxmlformats-officedocument.spreadsheetml.printerSettings">
        <DigestMethod Algorithm="http://www.w3.org/2000/09/xmldsig#sha1"/>
        <DigestValue>Onfp7al3E5mFjjx4cBZv4LOPgZI=</DigestValue>
      </Reference>
      <Reference URI="/xl/externalLinks/externalLink1.xml?ContentType=application/vnd.openxmlformats-officedocument.spreadsheetml.externalLink+xml">
        <DigestMethod Algorithm="http://www.w3.org/2000/09/xmldsig#sha1"/>
        <DigestValue>4DP/vVAVFZCklG6xoSLiEf8ORGA=</DigestValue>
      </Reference>
      <Reference URI="/xl/printerSettings/printerSettings6.bin?ContentType=application/vnd.openxmlformats-officedocument.spreadsheetml.printerSettings">
        <DigestMethod Algorithm="http://www.w3.org/2000/09/xmldsig#sha1"/>
        <DigestValue>6b+EaXNKNWWvkmMxg/zv56M4gW0=</DigestValue>
      </Reference>
      <Reference URI="/xl/printerSettings/printerSettings27.bin?ContentType=application/vnd.openxmlformats-officedocument.spreadsheetml.printerSettings">
        <DigestMethod Algorithm="http://www.w3.org/2000/09/xmldsig#sha1"/>
        <DigestValue>vZQmxquD5g8tqo7V9PUWvMiYrMU=</DigestValue>
      </Reference>
      <Reference URI="/xl/worksheets/sheet21.xml?ContentType=application/vnd.openxmlformats-officedocument.spreadsheetml.worksheet+xml">
        <DigestMethod Algorithm="http://www.w3.org/2000/09/xmldsig#sha1"/>
        <DigestValue>WkjhW31ACZSOVPfE3UZExywQUYs=</DigestValue>
      </Reference>
      <Reference URI="/xl/worksheets/sheet20.xml?ContentType=application/vnd.openxmlformats-officedocument.spreadsheetml.worksheet+xml">
        <DigestMethod Algorithm="http://www.w3.org/2000/09/xmldsig#sha1"/>
        <DigestValue>0rx+guAZML0wOCfAl73V7E2+CPU=</DigestValue>
      </Reference>
      <Reference URI="/xl/printerSettings/printerSettings38.bin?ContentType=application/vnd.openxmlformats-officedocument.spreadsheetml.printerSettings">
        <DigestMethod Algorithm="http://www.w3.org/2000/09/xmldsig#sha1"/>
        <DigestValue>bXjW9G8fy3P/49MmaPvdiCtGmu4=</DigestValue>
      </Reference>
      <Reference URI="/xl/calcChain.xml?ContentType=application/vnd.openxmlformats-officedocument.spreadsheetml.calcChain+xml">
        <DigestMethod Algorithm="http://www.w3.org/2000/09/xmldsig#sha1"/>
        <DigestValue>n6GCUwJVojbiH+RvHchdUzsga70=</DigestValue>
      </Reference>
      <Reference URI="/xl/printerSettings/printerSettings22.bin?ContentType=application/vnd.openxmlformats-officedocument.spreadsheetml.printerSettings">
        <DigestMethod Algorithm="http://www.w3.org/2000/09/xmldsig#sha1"/>
        <DigestValue>rA9A4VuFJq02StyeHufgLQAiHrQ=</DigestValue>
      </Reference>
      <Reference URI="/xl/printerSettings/printerSettings25.bin?ContentType=application/vnd.openxmlformats-officedocument.spreadsheetml.printerSettings">
        <DigestMethod Algorithm="http://www.w3.org/2000/09/xmldsig#sha1"/>
        <DigestValue>jZHD40qBzqCoBVbqIJLwZAKXnzw=</DigestValue>
      </Reference>
      <Reference URI="/xl/printerSettings/printerSettings30.bin?ContentType=application/vnd.openxmlformats-officedocument.spreadsheetml.printerSettings">
        <DigestMethod Algorithm="http://www.w3.org/2000/09/xmldsig#sha1"/>
        <DigestValue>hSCth8P3LE+kYwgpf4idJKlHFuY=</DigestValue>
      </Reference>
      <Reference URI="/xl/printerSettings/printerSettings29.bin?ContentType=application/vnd.openxmlformats-officedocument.spreadsheetml.printerSettings">
        <DigestMethod Algorithm="http://www.w3.org/2000/09/xmldsig#sha1"/>
        <DigestValue>rjDLzzlqFiiMRDWBUeyxBwJOqcM=</DigestValue>
      </Reference>
      <Reference URI="/xl/printerSettings/printerSettings26.bin?ContentType=application/vnd.openxmlformats-officedocument.spreadsheetml.printerSettings">
        <DigestMethod Algorithm="http://www.w3.org/2000/09/xmldsig#sha1"/>
        <DigestValue>hZMndZvfcs6/K5hX7KH0qowNXqI=</DigestValue>
      </Reference>
      <Reference URI="/xl/printerSettings/printerSettings28.bin?ContentType=application/vnd.openxmlformats-officedocument.spreadsheetml.printerSettings">
        <DigestMethod Algorithm="http://www.w3.org/2000/09/xmldsig#sha1"/>
        <DigestValue>f3DswPQTomIZ7W3BbHIg6VUB434=</DigestValue>
      </Reference>
      <Reference URI="/xl/printerSettings/printerSettings33.bin?ContentType=application/vnd.openxmlformats-officedocument.spreadsheetml.printerSettings">
        <DigestMethod Algorithm="http://www.w3.org/2000/09/xmldsig#sha1"/>
        <DigestValue>vZQmxquD5g8tqo7V9PUWvMiYrMU=</DigestValue>
      </Reference>
      <Reference URI="/xl/printerSettings/printerSettings34.bin?ContentType=application/vnd.openxmlformats-officedocument.spreadsheetml.printerSettings">
        <DigestMethod Algorithm="http://www.w3.org/2000/09/xmldsig#sha1"/>
        <DigestValue>jZHD40qBzqCoBVbqIJLwZAKXnzw=</DigestValue>
      </Reference>
      <Reference URI="/xl/printerSettings/printerSettings35.bin?ContentType=application/vnd.openxmlformats-officedocument.spreadsheetml.printerSettings">
        <DigestMethod Algorithm="http://www.w3.org/2000/09/xmldsig#sha1"/>
        <DigestValue>Onfp7al3E5mFjjx4cBZv4LOPgZI=</DigestValue>
      </Reference>
      <Reference URI="/xl/worksheets/sheet47.xml?ContentType=application/vnd.openxmlformats-officedocument.spreadsheetml.worksheet+xml">
        <DigestMethod Algorithm="http://www.w3.org/2000/09/xmldsig#sha1"/>
        <DigestValue>aXv8UmYfbVBhiRzkMu3w4yKQOIY=</DigestValue>
      </Reference>
      <Reference URI="/xl/worksheets/sheet10.xml?ContentType=application/vnd.openxmlformats-officedocument.spreadsheetml.worksheet+xml">
        <DigestMethod Algorithm="http://www.w3.org/2000/09/xmldsig#sha1"/>
        <DigestValue>kVioiNb0pyGsilNQHTHK7NFPSSU=</DigestValue>
      </Reference>
      <Reference URI="/xl/drawings/drawing33.xml?ContentType=application/vnd.openxmlformats-officedocument.drawing+xml">
        <DigestMethod Algorithm="http://www.w3.org/2000/09/xmldsig#sha1"/>
        <DigestValue>f2z5McXwxbj/RV8i6PAr07EsY2w=</DigestValue>
      </Reference>
      <Reference URI="/xl/drawings/drawing30.xml?ContentType=application/vnd.openxmlformats-officedocument.drawing+xml">
        <DigestMethod Algorithm="http://www.w3.org/2000/09/xmldsig#sha1"/>
        <DigestValue>cM36jFvqj6kkxWUw+BNKthn5olc=</DigestValue>
      </Reference>
      <Reference URI="/xl/worksheets/sheet33.xml?ContentType=application/vnd.openxmlformats-officedocument.spreadsheetml.worksheet+xml">
        <DigestMethod Algorithm="http://www.w3.org/2000/09/xmldsig#sha1"/>
        <DigestValue>6Kg4CSHlOXZFZRrd9qcM5DtpN1Q=</DigestValue>
      </Reference>
      <Reference URI="/xl/drawings/drawing31.xml?ContentType=application/vnd.openxmlformats-officedocument.drawing+xml">
        <DigestMethod Algorithm="http://www.w3.org/2000/09/xmldsig#sha1"/>
        <DigestValue>WpE/0/ibfANVxlzTsgwuDYb20VI=</DigestValue>
      </Reference>
      <Reference URI="/xl/worksheets/sheet31.xml?ContentType=application/vnd.openxmlformats-officedocument.spreadsheetml.worksheet+xml">
        <DigestMethod Algorithm="http://www.w3.org/2000/09/xmldsig#sha1"/>
        <DigestValue>+QO+fNSK6sKWpU99C1hWkyE54uI=</DigestValue>
      </Reference>
      <Reference URI="/xl/drawings/drawing9.xml?ContentType=application/vnd.openxmlformats-officedocument.drawing+xml">
        <DigestMethod Algorithm="http://www.w3.org/2000/09/xmldsig#sha1"/>
        <DigestValue>nqiyNcT8k0d01sYYkIQC05jU5Vo=</DigestValue>
      </Reference>
      <Reference URI="/xl/drawings/drawing29.xml?ContentType=application/vnd.openxmlformats-officedocument.drawing+xml">
        <DigestMethod Algorithm="http://www.w3.org/2000/09/xmldsig#sha1"/>
        <DigestValue>8VKYQDfBPcq3sARlStBhKrWSIW4=</DigestValue>
      </Reference>
      <Reference URI="/xl/worksheets/sheet32.xml?ContentType=application/vnd.openxmlformats-officedocument.spreadsheetml.worksheet+xml">
        <DigestMethod Algorithm="http://www.w3.org/2000/09/xmldsig#sha1"/>
        <DigestValue>1BzcvIV2wlo9OgDx80Xo0q5k2rU=</DigestValue>
      </Reference>
      <Reference URI="/xl/drawings/drawing28.xml?ContentType=application/vnd.openxmlformats-officedocument.drawing+xml">
        <DigestMethod Algorithm="http://www.w3.org/2000/09/xmldsig#sha1"/>
        <DigestValue>8GgKkP6zGdGjGvVPmS6UjrA0ySs=</DigestValue>
      </Reference>
      <Reference URI="/xl/worksheets/sheet45.xml?ContentType=application/vnd.openxmlformats-officedocument.spreadsheetml.worksheet+xml">
        <DigestMethod Algorithm="http://www.w3.org/2000/09/xmldsig#sha1"/>
        <DigestValue>x0lac6wpQwmfLeSSeplaEJBc0ys=</DigestValue>
      </Reference>
      <Reference URI="/xl/drawings/drawing2.xml?ContentType=application/vnd.openxmlformats-officedocument.drawing+xml">
        <DigestMethod Algorithm="http://www.w3.org/2000/09/xmldsig#sha1"/>
        <DigestValue>zandNZS5Gp4Sf1NCq6QbyEsmEtg=</DigestValue>
      </Reference>
      <Reference URI="/xl/drawings/drawing6.xml?ContentType=application/vnd.openxmlformats-officedocument.drawing+xml">
        <DigestMethod Algorithm="http://www.w3.org/2000/09/xmldsig#sha1"/>
        <DigestValue>sbZ/qUzxWZtHSsFtQVCuPZl/TYw=</DigestValue>
      </Reference>
      <Reference URI="/xl/drawings/drawing39.xml?ContentType=application/vnd.openxmlformats-officedocument.drawing+xml">
        <DigestMethod Algorithm="http://www.w3.org/2000/09/xmldsig#sha1"/>
        <DigestValue>DSqg3UmCVJxlJVQJWktQHxrEPHk=</DigestValue>
      </Reference>
      <Reference URI="/xl/drawings/drawing10.xml?ContentType=application/vnd.openxmlformats-officedocument.drawing+xml">
        <DigestMethod Algorithm="http://www.w3.org/2000/09/xmldsig#sha1"/>
        <DigestValue>TUxCArFGdPMqic1AOHipt8n23nQ=</DigestValue>
      </Reference>
      <Reference URI="/xl/drawings/drawing27.xml?ContentType=application/vnd.openxmlformats-officedocument.drawing+xml">
        <DigestMethod Algorithm="http://www.w3.org/2000/09/xmldsig#sha1"/>
        <DigestValue>/92W9lU6/j6cGy0i5V/RibELTN0=</DigestValue>
      </Reference>
      <Reference URI="/xl/drawings/drawing11.xml?ContentType=application/vnd.openxmlformats-officedocument.drawing+xml">
        <DigestMethod Algorithm="http://www.w3.org/2000/09/xmldsig#sha1"/>
        <DigestValue>lb7r3U8CV6x0j/wB8zcRgxow460=</DigestValue>
      </Reference>
      <Reference URI="/xl/worksheets/sheet46.xml?ContentType=application/vnd.openxmlformats-officedocument.spreadsheetml.worksheet+xml">
        <DigestMethod Algorithm="http://www.w3.org/2000/09/xmldsig#sha1"/>
        <DigestValue>NpEDfvtS/d7owYNbE/LOqNUNxGU=</DigestValue>
      </Reference>
      <Reference URI="/xl/worksheets/sheet2.xml?ContentType=application/vnd.openxmlformats-officedocument.spreadsheetml.worksheet+xml">
        <DigestMethod Algorithm="http://www.w3.org/2000/09/xmldsig#sha1"/>
        <DigestValue>wkuY4/P8I0e3pLULz15RQzclaaY=</DigestValue>
      </Reference>
      <Reference URI="/xl/drawings/drawing8.xml?ContentType=application/vnd.openxmlformats-officedocument.drawing+xml">
        <DigestMethod Algorithm="http://www.w3.org/2000/09/xmldsig#sha1"/>
        <DigestValue>cYWxt6zrCJiNN9rZxkf+j6Jx1kk=</DigestValue>
      </Reference>
      <Reference URI="/xl/worksheets/sheet30.xml?ContentType=application/vnd.openxmlformats-officedocument.spreadsheetml.worksheet+xml">
        <DigestMethod Algorithm="http://www.w3.org/2000/09/xmldsig#sha1"/>
        <DigestValue>ycSw7Px6HkMnp3KuSO3OaPopDD4=</DigestValue>
      </Reference>
      <Reference URI="/xl/worksheets/sheet3.xml?ContentType=application/vnd.openxmlformats-officedocument.spreadsheetml.worksheet+xml">
        <DigestMethod Algorithm="http://www.w3.org/2000/09/xmldsig#sha1"/>
        <DigestValue>6UAxQdSMkH+h7ZKyujzrgqo70FY=</DigestValue>
      </Reference>
      <Reference URI="/xl/worksheets/sheet34.xml?ContentType=application/vnd.openxmlformats-officedocument.spreadsheetml.worksheet+xml">
        <DigestMethod Algorithm="http://www.w3.org/2000/09/xmldsig#sha1"/>
        <DigestValue>BE1RZmSEnNVlGrO+WTJe3d7Btk8=</DigestValue>
      </Reference>
      <Reference URI="/xl/drawings/drawing40.xml?ContentType=application/vnd.openxmlformats-officedocument.drawing+xml">
        <DigestMethod Algorithm="http://www.w3.org/2000/09/xmldsig#sha1"/>
        <DigestValue>w3uuR/4oX5hNkcYv7dfIaa2fGjE=</DigestValue>
      </Reference>
      <Reference URI="/xl/drawings/drawing7.xml?ContentType=application/vnd.openxmlformats-officedocument.drawing+xml">
        <DigestMethod Algorithm="http://www.w3.org/2000/09/xmldsig#sha1"/>
        <DigestValue>HtN4NDrTU7MVX9CZEsUEQe0u14o=</DigestValue>
      </Reference>
      <Reference URI="/xl/drawings/drawing32.xml?ContentType=application/vnd.openxmlformats-officedocument.drawing+xml">
        <DigestMethod Algorithm="http://www.w3.org/2000/09/xmldsig#sha1"/>
        <DigestValue>Ezi3Cc8CrtCpFBSDSm0JmqYYobk=</DigestValue>
      </Reference>
      <Reference URI="/xl/drawings/drawing5.xml?ContentType=application/vnd.openxmlformats-officedocument.drawing+xml">
        <DigestMethod Algorithm="http://www.w3.org/2000/09/xmldsig#sha1"/>
        <DigestValue>dn5Q4eI6pOPhAj9qEgM1OWQWcQw=</DigestValue>
      </Reference>
      <Reference URI="/xl/worksheets/sheet35.xml?ContentType=application/vnd.openxmlformats-officedocument.spreadsheetml.worksheet+xml">
        <DigestMethod Algorithm="http://www.w3.org/2000/09/xmldsig#sha1"/>
        <DigestValue>pTVeU4LW0OX8dvepkY5pXpyU7CI=</DigestValue>
      </Reference>
      <Reference URI="/xl/worksheets/sheet50.xml?ContentType=application/vnd.openxmlformats-officedocument.spreadsheetml.worksheet+xml">
        <DigestMethod Algorithm="http://www.w3.org/2000/09/xmldsig#sha1"/>
        <DigestValue>4e0hNQxjMcbZT9gcyLrkdMfNwtY=</DigestValue>
      </Reference>
      <Reference URI="/xl/drawings/drawing36.xml?ContentType=application/vnd.openxmlformats-officedocument.drawing+xml">
        <DigestMethod Algorithm="http://www.w3.org/2000/09/xmldsig#sha1"/>
        <DigestValue>Ho+fVyJgiETBU/LDaTj1kDfAZV0=</DigestValue>
      </Reference>
      <Reference URI="/xl/drawings/drawing37.xml?ContentType=application/vnd.openxmlformats-officedocument.drawing+xml">
        <DigestMethod Algorithm="http://www.w3.org/2000/09/xmldsig#sha1"/>
        <DigestValue>qdhHV4XCNYKCpdobXf8bFUsG3G8=</DigestValue>
      </Reference>
      <Reference URI="/xl/drawings/drawing35.xml?ContentType=application/vnd.openxmlformats-officedocument.drawing+xml">
        <DigestMethod Algorithm="http://www.w3.org/2000/09/xmldsig#sha1"/>
        <DigestValue>JGQzA8OFF9+5sDznkaXGFnLW13k=</DigestValue>
      </Reference>
      <Reference URI="/xl/drawings/drawing3.xml?ContentType=application/vnd.openxmlformats-officedocument.drawing+xml">
        <DigestMethod Algorithm="http://www.w3.org/2000/09/xmldsig#sha1"/>
        <DigestValue>Ahm1bAYt04BF+NvVSqwY33MG9mU=</DigestValue>
      </Reference>
      <Reference URI="/xl/worksheets/sheet49.xml?ContentType=application/vnd.openxmlformats-officedocument.spreadsheetml.worksheet+xml">
        <DigestMethod Algorithm="http://www.w3.org/2000/09/xmldsig#sha1"/>
        <DigestValue>D+KXFhrx5ksJgh/KcTaY+dwJynI=</DigestValue>
      </Reference>
      <Reference URI="/xl/worksheets/sheet4.xml?ContentType=application/vnd.openxmlformats-officedocument.spreadsheetml.worksheet+xml">
        <DigestMethod Algorithm="http://www.w3.org/2000/09/xmldsig#sha1"/>
        <DigestValue>D6VYya8f+8jcuuUGD/pEKCfd9j8=</DigestValue>
      </Reference>
      <Reference URI="/xl/workbook.xml?ContentType=application/vnd.openxmlformats-officedocument.spreadsheetml.sheet.main+xml">
        <DigestMethod Algorithm="http://www.w3.org/2000/09/xmldsig#sha1"/>
        <DigestValue>uL8RBrBsrFG7FQscHZ8UuBq4lZY=</DigestValue>
      </Reference>
      <Reference URI="/xl/worksheets/sheet48.xml?ContentType=application/vnd.openxmlformats-officedocument.spreadsheetml.worksheet+xml">
        <DigestMethod Algorithm="http://www.w3.org/2000/09/xmldsig#sha1"/>
        <DigestValue>gk+CqdwvdfvOFzoC/t7gMKnIkss=</DigestValue>
      </Reference>
      <Reference URI="/xl/worksheets/sheet1.xml?ContentType=application/vnd.openxmlformats-officedocument.spreadsheetml.worksheet+xml">
        <DigestMethod Algorithm="http://www.w3.org/2000/09/xmldsig#sha1"/>
        <DigestValue>1g1d/u7K1zsa2tm78Ek2CZ2mRts=</DigestValue>
      </Reference>
      <Reference URI="/xl/worksheets/sheet44.xml?ContentType=application/vnd.openxmlformats-officedocument.spreadsheetml.worksheet+xml">
        <DigestMethod Algorithm="http://www.w3.org/2000/09/xmldsig#sha1"/>
        <DigestValue>LqWqQctLiKQo9RYm71LazBbPFa8=</DigestValue>
      </Reference>
      <Reference URI="/xl/drawings/drawing38.xml?ContentType=application/vnd.openxmlformats-officedocument.drawing+xml">
        <DigestMethod Algorithm="http://www.w3.org/2000/09/xmldsig#sha1"/>
        <DigestValue>2Xtwt9aI0mz4a9jGUganBUbUk78=</DigestValue>
      </Reference>
      <Reference URI="/xl/theme/theme1.xml?ContentType=application/vnd.openxmlformats-officedocument.theme+xml">
        <DigestMethod Algorithm="http://www.w3.org/2000/09/xmldsig#sha1"/>
        <DigestValue>piH9goZzN1iWBpb/ZXtMCh2PyZw=</DigestValue>
      </Reference>
      <Reference URI="/xl/media/image1.png?ContentType=image/png">
        <DigestMethod Algorithm="http://www.w3.org/2000/09/xmldsig#sha1"/>
        <DigestValue>SO/RgXKvgQgP7n7OmH1n3mamBCA=</DigestValue>
      </Reference>
      <Reference URI="/xl/worksheets/sheet37.xml?ContentType=application/vnd.openxmlformats-officedocument.spreadsheetml.worksheet+xml">
        <DigestMethod Algorithm="http://www.w3.org/2000/09/xmldsig#sha1"/>
        <DigestValue>aqtCPgRoDe65qYmX0pxsSWgKheI=</DigestValue>
      </Reference>
      <Reference URI="/xl/drawings/drawing34.xml?ContentType=application/vnd.openxmlformats-officedocument.drawing+xml">
        <DigestMethod Algorithm="http://www.w3.org/2000/09/xmldsig#sha1"/>
        <DigestValue>i4f4gkSPr1ZgBSCPH3voLkY4ogU=</DigestValue>
      </Reference>
      <Reference URI="/xl/drawings/drawing4.xml?ContentType=application/vnd.openxmlformats-officedocument.drawing+xml">
        <DigestMethod Algorithm="http://www.w3.org/2000/09/xmldsig#sha1"/>
        <DigestValue>l26SgjCz01r9WlGLRjMFx20OFF8=</DigestValue>
      </Reference>
      <Reference URI="/xl/styles.xml?ContentType=application/vnd.openxmlformats-officedocument.spreadsheetml.styles+xml">
        <DigestMethod Algorithm="http://www.w3.org/2000/09/xmldsig#sha1"/>
        <DigestValue>IFCwVXn18mF9ONTWt420pOJ1Pn8=</DigestValue>
      </Reference>
      <Reference URI="/xl/worksheets/sheet36.xml?ContentType=application/vnd.openxmlformats-officedocument.spreadsheetml.worksheet+xml">
        <DigestMethod Algorithm="http://www.w3.org/2000/09/xmldsig#sha1"/>
        <DigestValue>8JOrcbY9tBYiHW+DLCN/3JSnJPM=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9onmVR0N2xjs+IyKUUJUFws+9kY=</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qza11tAW487azx7Vjy9vpdA50dk=</DigestValue>
      </Reference>
      <Reference URI="/xl/drawings/_rels/drawing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Q8waQ7Nb9kJgRC6gbj/UdDUj1mE=</DigestValue>
      </Reference>
      <Reference URI="/xl/drawings/_rels/drawing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swSQlzXTq5bE6DscUznIm4e36EM=</DigestValue>
      </Reference>
      <Reference URI="/xl/drawings/_rels/drawing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drawings/_rels/drawing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3gzJC8E/mv2MTDDlqMISR9777G0=</DigestValue>
      </Reference>
      <Reference URI="/xl/worksheets/_rels/sheet4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reKpvsMjLP9mVkjTqTfzPhoHTbg=</DigestValue>
      </Reference>
      <Reference URI="/xl/worksheets/_rels/sheet4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/WSWMsdhGwL/GTSYZR37v/jfcuU=</DigestValue>
      </Reference>
      <Reference URI="/xl/drawings/_rels/drawing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PcMY1u5SuhGaeBQHOXmIcupy9hg=</DigestValue>
      </Reference>
      <Reference URI="/xl/drawings/_rels/drawing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VzAocTn+36TNk6S74Tp+aV8249g=</DigestValue>
      </Reference>
      <Reference URI="/xl/drawings/_rels/drawing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drawings/_rels/drawing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5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IbyN+53U2bN/UJdQVfX6jFCXj80=</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j8tku2UUQMnumIQqwiZ6825JVxA=</DigestValue>
      </Reference>
      <Reference URI="/xl/drawings/_rels/drawing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xPMla1ZTQA+G7gRCse0XBydBklU=</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OQG9/UBKi3DgAyJY6k2r3JomCAU=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0CldsrzNWShtZ6KmyeYMNWNXe7Q=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drawings/_rels/drawing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j3M5Q9NPG8XBO2MFBTcH7KhYCS8=</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ejxWfVBTzXsqgEoTRE0uLpEMeXY=</DigestValue>
      </Reference>
      <Reference URI="/xl/drawings/_rels/drawing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55"/>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0"/>
            <mdssi:RelationshipReference SourceId="rId29"/>
            <mdssi:RelationshipReference SourceId="rId41"/>
            <mdssi:RelationshipReference SourceId="rId54"/>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57"/>
            <mdssi:RelationshipReference SourceId="rId10"/>
            <mdssi:RelationshipReference SourceId="rId19"/>
            <mdssi:RelationshipReference SourceId="rId31"/>
            <mdssi:RelationshipReference SourceId="rId44"/>
            <mdssi:RelationshipReference SourceId="rId52"/>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56"/>
            <mdssi:RelationshipReference SourceId="rId8"/>
            <mdssi:RelationshipReference SourceId="rId51"/>
            <mdssi:RelationshipReference SourceId="rId3"/>
          </Transform>
          <Transform Algorithm="http://www.w3.org/TR/2001/REC-xml-c14n-20010315"/>
        </Transforms>
        <DigestMethod Algorithm="http://www.w3.org/2000/09/xmldsig#sha1"/>
        <DigestValue>8FxNkf7sizwpOjZmPywKSC1O+gc=</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xG0nm432e/G77cH0CnoEUugYmZQ=</DigestValue>
      </Reference>
      <Reference URI="/xl/worksheets/_rels/sheet2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nny2ow41MShsuFPE3XqDd5r+bbg=</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e22L9WcDZfU6ptKy19xdEl8oIB4=</DigestValue>
      </Reference>
      <Reference URI="/xl/worksheets/_rels/sheet4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doVgIknoQNJJ4DU17WmzYo9AGZY=</DigestValue>
      </Reference>
      <Reference URI="/xl/worksheets/_rels/sheet2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SVKjMTgvWzyTNsuAMEcDTdTZMak=</DigestValue>
      </Reference>
      <Reference URI="/xl/worksheets/_rels/sheet3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AhTcz5SET8iBdX5h0RHQqAsbjpg=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BsiWD0kcTbIQ31U+tQfbKZvb8BE=</DigestValue>
      </Reference>
      <Reference URI="/xl/worksheets/_rels/sheet4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XRvTny4DwEefRGPeQhGwxfML1z0=</DigestValue>
      </Reference>
      <Reference URI="/xl/worksheets/_rels/sheet2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z4C4GfS6yfQmDn1UmJyqzzh2Htc=</DigestValue>
      </Reference>
      <Reference URI="/xl/worksheets/_rels/sheet4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YBHpo5hkwihEOl8BZmVkI8rp7yw=</DigestValue>
      </Reference>
      <Reference URI="/xl/worksheets/_rels/sheet4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n8cApefXzCp79odWnc8iwD5qU0Y=</DigestValue>
      </Reference>
      <Reference URI="/xl/worksheets/_rels/sheet4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O3q2m8/Ttdwlg94j8g+ahdM04M8=</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i6FsbEkTe9qcz5HMs6kJXlmyhwo=</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cFYv59eVTxlA5e8Tjhys9GeICLY=</DigestValue>
      </Reference>
      <Reference URI="/xl/worksheets/_rels/sheet1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OrcGy8w0u5v2Oy4aQe1O/XYwtKo=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CvkSVuS5y9xtAunpKe3aR2jQy/Q=</DigestValue>
      </Reference>
      <Reference URI="/xl/worksheets/_rels/sheet1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blXF23L99XQglXhJKv+c3nUXa/E=</DigestValue>
      </Reference>
      <Reference URI="/xl/worksheets/_rels/sheet3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98//fQjWj9DoJnEovfcjytZpCfg=</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FcZfoiJfFUb09VBMzVPyYTis4wk=</DigestValue>
      </Reference>
      <Reference URI="/xl/worksheets/_rels/sheet2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PHYfggKXChOSkjw2xpw/QqaFEw8=</DigestValue>
      </Reference>
      <Reference URI="/xl/worksheets/_rels/sheet1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+lhRkpbA5OV/KwtZI0YknCmtr1w=</DigestValue>
      </Reference>
      <Reference URI="/xl/worksheets/_rels/sheet2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sQPRPBIfColRkulaxOpfZ2x6LDg=</DigestValue>
      </Reference>
      <Reference URI="/xl/worksheets/_rels/sheet4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p0m/qQQmlkMR/OMJbeVfIjPyTy8=</DigestValue>
      </Reference>
      <Reference URI="/xl/worksheets/_rels/sheet1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BCZ4j99yrS+eeyWzAdfx3EdtvRg=</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tNQvHjqxbYtSm5hoxw+rg6dWhx8=</DigestValue>
      </Reference>
      <Reference URI="/xl/worksheets/_rels/sheet3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490VKaOypqJq5CUYCLVezlqkR4E=</DigestValue>
      </Reference>
      <Reference URI="/xl/worksheets/_rels/sheet2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BCft+fbZ4jNlK+JvAE1HDqtqR/Y=</DigestValue>
      </Reference>
      <Reference URI="/xl/worksheets/_rels/sheet3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c5Ip5wMb0+y9pO02IR+Q1h0Hd7U=</DigestValue>
      </Reference>
    </Manifest>
    <SignatureProperties>
      <SignatureProperty Id="idSignatureTime" Target="#idPackageSignature">
        <mdssi:SignatureTime>
          <mdssi:Format>YYYY-MM-DDThh:mm:ssTZD</mdssi:Format>
          <mdssi:Value>2023-03-31T21:44:38Z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 efectos de identificación con el dictamen de auditoría.</SignatureComments>
          <WindowsVersion>6.2</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2023-03-31T21:44:38Z</xd:SigningTime>
          <xd:SigningCertificate>
            <xd:Cert>
              <xd:CertDigest>
                <DigestMethod Algorithm="http://www.w3.org/2000/09/xmldsig#sha1"/>
                <DigestValue>WgN2v/72YXnfKhQ2Lqom0kWMfhA=</DigestValue>
              </xd:CertDigest>
              <xd:IssuerSerial>
                <X509IssuerName>SERIALNUMBER=RUC 80050172-1, CN=CA-DOCUMENTA S.A., O=DOCUMENTA S.A., C=PY</X509IssuerName>
                <X509SerialNumber>511344523580634115</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88C8C-1AE9-4C6C-8897-DFE154F36CC6}"/>
</file>

<file path=customXml/itemProps2.xml><?xml version="1.0" encoding="utf-8"?>
<ds:datastoreItem xmlns:ds="http://schemas.openxmlformats.org/officeDocument/2006/customXml" ds:itemID="{EDB60605-C818-4654-9FB4-67E808A0D0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9</vt:i4>
      </vt:variant>
    </vt:vector>
  </HeadingPairs>
  <TitlesOfParts>
    <vt:vector size="59" baseType="lpstr">
      <vt:lpstr>Balance (2)</vt:lpstr>
      <vt:lpstr>Resultado</vt:lpstr>
      <vt:lpstr>ACTIVO</vt:lpstr>
      <vt:lpstr>PASIVO</vt:lpstr>
      <vt:lpstr>EGRESOS</vt:lpstr>
      <vt:lpstr>INGRESOS</vt:lpstr>
      <vt:lpstr>IDENTIFICACION</vt:lpstr>
      <vt:lpstr>ANTECEDENTES</vt:lpstr>
      <vt:lpstr>ADMINISTRACION</vt:lpstr>
      <vt:lpstr>CAPITAL Y PROP</vt:lpstr>
      <vt:lpstr>AUDITOR EXT IND</vt:lpstr>
      <vt:lpstr>PERS VINCULADAS</vt:lpstr>
      <vt:lpstr>BALANCE</vt:lpstr>
      <vt:lpstr>RESULTAD</vt:lpstr>
      <vt:lpstr>FLUJO</vt:lpstr>
      <vt:lpstr>EVOL</vt:lpstr>
      <vt:lpstr>NOTAS</vt:lpstr>
      <vt:lpstr>Flujocaja</vt:lpstr>
      <vt:lpstr>VAL. M.E.</vt:lpstr>
      <vt:lpstr>AYPMEXT</vt:lpstr>
      <vt:lpstr>DIF CAMBIO ME</vt:lpstr>
      <vt:lpstr>DISPONIB</vt:lpstr>
      <vt:lpstr>INVERS</vt:lpstr>
      <vt:lpstr>OTRAINV</vt:lpstr>
      <vt:lpstr>CREDITOS</vt:lpstr>
      <vt:lpstr>BIENDEUSO</vt:lpstr>
      <vt:lpstr>CARGOS DIFERIDOS</vt:lpstr>
      <vt:lpstr>ACTIVOS INTANGIBLES</vt:lpstr>
      <vt:lpstr>OTROS ACTIVOS CTE Y NO CTE</vt:lpstr>
      <vt:lpstr>PTMOS. FINANCIEROS</vt:lpstr>
      <vt:lpstr>DOC. Y CTAS POR PAGAR</vt:lpstr>
      <vt:lpstr>ACREEDORES POR INTERM</vt:lpstr>
      <vt:lpstr>ADM DE CARTERA</vt:lpstr>
      <vt:lpstr>CTAS A PAGAR A PERS. RELAC</vt:lpstr>
      <vt:lpstr>OBLIG. POR CONTRATO UNDER</vt:lpstr>
      <vt:lpstr>OTROS PASIVOS CTE Y NO CTE</vt:lpstr>
      <vt:lpstr>SALDOS PERS RELAC</vt:lpstr>
      <vt:lpstr>RESULTADO PERS VINC</vt:lpstr>
      <vt:lpstr>PATRIMONIO</vt:lpstr>
      <vt:lpstr>PREVISIONES</vt:lpstr>
      <vt:lpstr>INGRESOS OPERATIVOS</vt:lpstr>
      <vt:lpstr>OTROS GASTOS OP, COM Y ADM</vt:lpstr>
      <vt:lpstr>OTROS INGRESOS Y EGRESOS</vt:lpstr>
      <vt:lpstr>RESULTADOS FIN</vt:lpstr>
      <vt:lpstr>RESULTADOS EXTRAORD</vt:lpstr>
      <vt:lpstr>NOTAS2</vt:lpstr>
      <vt:lpstr>ANEX A - PERS VINCULADAS</vt:lpstr>
      <vt:lpstr>BIENUSO</vt:lpstr>
      <vt:lpstr>CostosyGastos</vt:lpstr>
      <vt:lpstr>Anexo H F2</vt:lpstr>
      <vt:lpstr>'ANEX A - PERS VINCULADAS'!_GoBack</vt:lpstr>
      <vt:lpstr>ACTIVO!Área_de_impresión</vt:lpstr>
      <vt:lpstr>EGRESOS!Área_de_impresión</vt:lpstr>
      <vt:lpstr>Flujocaja!Área_de_impresión</vt:lpstr>
      <vt:lpstr>INGRESOS!Área_de_impresión</vt:lpstr>
      <vt:lpstr>PASIVO!Área_de_impresión</vt:lpstr>
      <vt:lpstr>Resultado!Área_de_impresión</vt:lpstr>
      <vt:lpstr>'Balance (2)'!Títulos_a_imprimir</vt:lpstr>
      <vt:lpstr>Resultado!Títulos_a_imprimir</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Lujan</cp:lastModifiedBy>
  <cp:lastPrinted>2022-07-29T19:20:12Z</cp:lastPrinted>
  <dcterms:created xsi:type="dcterms:W3CDTF">2008-04-01T17:46:33Z</dcterms:created>
  <dcterms:modified xsi:type="dcterms:W3CDTF">2023-03-31T21:01:29Z</dcterms:modified>
</cp:coreProperties>
</file>