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0.Investor SA/Contabilidad/CNV_EEFF_Informes/2022/CNV_Informes/06.2022/"/>
    </mc:Choice>
  </mc:AlternateContent>
  <xr:revisionPtr revIDLastSave="0" documentId="14_{6A58B3FB-FE07-427C-A41F-DB3DB2D7E4AA}" xr6:coauthVersionLast="47" xr6:coauthVersionMax="47" xr10:uidLastSave="{00000000-0000-0000-0000-000000000000}"/>
  <workbookProtection workbookAlgorithmName="SHA-512" workbookHashValue="+xvFS0CfpLpn12y0w8vhjuNFmBs25ayu8EHqJAWnrLWAB7CHTs9r7rT5ur3+cv+5xK3MjbTXB7hYrLTXsRx6Gw==" workbookSaltValue="9OoVE239w+fz0pQ7ufZ+4w==" workbookSpinCount="100000" lockStructure="1"/>
  <bookViews>
    <workbookView xWindow="-108" yWindow="-108" windowWidth="23256" windowHeight="12576" tabRatio="870" activeTab="2" xr2:uid="{00000000-000D-0000-FFFF-FFFF00000000}"/>
  </bookViews>
  <sheets>
    <sheet name="Indice" sheetId="33" r:id="rId1"/>
    <sheet name="I.Infomac Gral Emp " sheetId="41" r:id="rId2"/>
    <sheet name="Balance Gral. Resol. 30" sheetId="1" r:id="rId3"/>
    <sheet name="Estado de Resultado Resol. 30" sheetId="2" r:id="rId4"/>
    <sheet name="Flujo de Efectivo Resol. Res 30" sheetId="34" r:id="rId5"/>
    <sheet name="Estado de Variacion PN " sheetId="35" r:id="rId6"/>
    <sheet name=" Flujo de Fondos Calculo INVEST" sheetId="39" state="hidden" r:id="rId7"/>
    <sheet name="NOTA A LOS ESTADOS CONTA. 1-4" sheetId="36" r:id="rId8"/>
    <sheet name="NOTA 5 A-C CRITERIOS ESPECIF." sheetId="37" r:id="rId9"/>
    <sheet name="NOTA D - DISPONIBILIDADES" sheetId="7" r:id="rId10"/>
    <sheet name="NOTA E - INVERSIONES TEMP Y PER" sheetId="40" r:id="rId11"/>
    <sheet name="NOTA F - CREDITOS" sheetId="9" r:id="rId12"/>
    <sheet name="NOTA G BIENES DE USO" sheetId="11" r:id="rId13"/>
    <sheet name="NOTA H CARGOS DIFERIDOS" sheetId="13" r:id="rId14"/>
    <sheet name=" NOTA I INTANGIBLES" sheetId="14" r:id="rId15"/>
    <sheet name="NOTA J OTROS ACTIVOS CTES y NO " sheetId="15" r:id="rId16"/>
    <sheet name="NOTA K PRESTAMOS" sheetId="17" r:id="rId17"/>
    <sheet name="NOTA L DOCUM y CTAS A PAG" sheetId="18" r:id="rId18"/>
    <sheet name="NOTAS M-Q ACREED y CTAS A PAG" sheetId="16" r:id="rId19"/>
    <sheet name="NOTA R SALDOS Y TRANSACC" sheetId="19" r:id="rId20"/>
    <sheet name="NOTA S RESULTADOS CON PERS" sheetId="21" r:id="rId21"/>
    <sheet name=" NOTA T PATRIMONIO Y PREVIS" sheetId="22" r:id="rId22"/>
    <sheet name="NOTA V INGRESOS OPERATIVOS" sheetId="23" r:id="rId23"/>
    <sheet name="NOTA W OTROS GASTOS OPER" sheetId="24" r:id="rId24"/>
    <sheet name="NOTA X OTROS INGRESOS Y EGR" sheetId="25" r:id="rId25"/>
    <sheet name="NOTA Y RESULTADOS FINANC" sheetId="27" r:id="rId26"/>
    <sheet name="NOTA Z RESULT EXTRA" sheetId="28" r:id="rId27"/>
    <sheet name="NOTA 6 INFORMACION REFERENTE" sheetId="26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2" hidden="1">'Balance Gral. Resol. 30'!$B$8:$K$8</definedName>
    <definedName name="_xlnm._FilterDatabase" localSheetId="3" hidden="1">'Estado de Resultado Resol. 30'!$B$50:$E$84</definedName>
    <definedName name="_xlnm._FilterDatabase" localSheetId="1" hidden="1">'I.Infomac Gral Emp '!$A$54:$K$144</definedName>
    <definedName name="_xlnm._FilterDatabase" localSheetId="9" hidden="1">'NOTA D - DISPONIBILIDADES'!$B$8:$D$67</definedName>
    <definedName name="_xlnm._FilterDatabase" localSheetId="10" hidden="1">'NOTA E - INVERSIONES TEMP Y PER'!$B$8:$K$75</definedName>
    <definedName name="_xlnm._FilterDatabase" localSheetId="19" hidden="1">'NOTA R SALDOS Y TRANSACC'!$B$6:$H$23</definedName>
    <definedName name="_MON_1268749014" localSheetId="8">#N/A</definedName>
    <definedName name="a" localSheetId="6">#REF!</definedName>
    <definedName name="a" localSheetId="5">#N/A</definedName>
    <definedName name="a" localSheetId="4">#N/A</definedName>
    <definedName name="a" localSheetId="8">#N/A</definedName>
    <definedName name="a" localSheetId="7">#N/A</definedName>
    <definedName name="a">#N/A</definedName>
    <definedName name="aa" localSheetId="6">#REF!</definedName>
    <definedName name="aa" localSheetId="5">#N/A</definedName>
    <definedName name="aa" localSheetId="4">#N/A</definedName>
    <definedName name="aa" localSheetId="8">#N/A</definedName>
    <definedName name="aa" localSheetId="7">#N/A</definedName>
    <definedName name="aa">#N/A</definedName>
    <definedName name="_xlnm.Print_Area" localSheetId="6">' Flujo de Fondos Calculo INVEST'!$A$59:$E$91</definedName>
    <definedName name="_xlnm.Print_Area" localSheetId="2">#N/A</definedName>
    <definedName name="_xlnm.Print_Area" localSheetId="3">#N/A</definedName>
    <definedName name="_xlnm.Print_Area" localSheetId="23">#N/A</definedName>
    <definedName name="Broker">#REF!</definedName>
    <definedName name="BuiltIn_Print_Area" localSheetId="6">#N/A</definedName>
    <definedName name="BuiltIn_Print_Area" localSheetId="1">[1]anexos!#REF!</definedName>
    <definedName name="BuiltIn_Print_Area">[1]anexos!#REF!</definedName>
    <definedName name="BuiltIn_Print_Area___0" localSheetId="6">#N/A</definedName>
    <definedName name="BuiltIn_Print_Area___0" localSheetId="1">'[1]Balance General Resol 950'!#REF!</definedName>
    <definedName name="BuiltIn_Print_Area___0">'[1]Balance General Resol 950'!#REF!</definedName>
    <definedName name="BuiltIn_Print_Area___0___0" localSheetId="6">#REF!</definedName>
    <definedName name="BuiltIn_Print_Area___0___0" localSheetId="5">#N/A</definedName>
    <definedName name="BuiltIn_Print_Area___0___0" localSheetId="4">#N/A</definedName>
    <definedName name="BuiltIn_Print_Area___0___0" localSheetId="8">#N/A</definedName>
    <definedName name="BuiltIn_Print_Area___0___0" localSheetId="7">#N/A</definedName>
    <definedName name="BuiltIn_Print_Area___0___0">#N/A</definedName>
    <definedName name="BuiltIn_Print_Area___0___0___0___0" localSheetId="6">'[2]Flujos de efectivo'!#REF!</definedName>
    <definedName name="BuiltIn_Print_Area___0___0___0___0" localSheetId="1">'[3]Flujos de efectivo'!#REF!</definedName>
    <definedName name="BuiltIn_Print_Area___0___0___0___0">'[3]Flujos de efectivo'!#REF!</definedName>
    <definedName name="BuiltIn_Print_Area___0___0___0___0___0" localSheetId="6">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8">#N/A</definedName>
    <definedName name="BuiltIn_Print_Area___0___0___0___0___0" localSheetId="7">#N/A</definedName>
    <definedName name="BuiltIn_Print_Area___0___0___0___0___0">#N/A</definedName>
    <definedName name="Clientes" localSheetId="6">#REF!</definedName>
    <definedName name="Clientes" localSheetId="5">#N/A</definedName>
    <definedName name="Clientes" localSheetId="4">#N/A</definedName>
    <definedName name="Clientes" localSheetId="8">#N/A</definedName>
    <definedName name="Clientes" localSheetId="7">#N/A</definedName>
    <definedName name="Clientes">#N/A</definedName>
    <definedName name="DATA16" localSheetId="6">#REF!</definedName>
    <definedName name="DATA16" localSheetId="5">#N/A</definedName>
    <definedName name="DATA16" localSheetId="4">#N/A</definedName>
    <definedName name="DATA16" localSheetId="8">#N/A</definedName>
    <definedName name="DATA16" localSheetId="7">#N/A</definedName>
    <definedName name="DATA16">#N/A</definedName>
    <definedName name="DATA17" localSheetId="6">#REF!</definedName>
    <definedName name="DATA17" localSheetId="5">#N/A</definedName>
    <definedName name="DATA17" localSheetId="4">#N/A</definedName>
    <definedName name="DATA17" localSheetId="8">#N/A</definedName>
    <definedName name="DATA17" localSheetId="7">#N/A</definedName>
    <definedName name="DATA17">#N/A</definedName>
    <definedName name="DATA18" localSheetId="6">#REF!</definedName>
    <definedName name="DATA18" localSheetId="5">#N/A</definedName>
    <definedName name="DATA18" localSheetId="4">#N/A</definedName>
    <definedName name="DATA18" localSheetId="8">#N/A</definedName>
    <definedName name="DATA18" localSheetId="7">#N/A</definedName>
    <definedName name="DATA18">#N/A</definedName>
    <definedName name="DATA20" localSheetId="6">#REF!</definedName>
    <definedName name="DATA20" localSheetId="5">#N/A</definedName>
    <definedName name="DATA20" localSheetId="4">#N/A</definedName>
    <definedName name="DATA20" localSheetId="8">#N/A</definedName>
    <definedName name="DATA20" localSheetId="7">#N/A</definedName>
    <definedName name="DATA20">#N/A</definedName>
    <definedName name="datos" localSheetId="6">#REF!</definedName>
    <definedName name="datos" localSheetId="5">#N/A</definedName>
    <definedName name="datos" localSheetId="4">#N/A</definedName>
    <definedName name="datos" localSheetId="8">#N/A</definedName>
    <definedName name="datos" localSheetId="7">#N/A</definedName>
    <definedName name="datos">#N/A</definedName>
    <definedName name="k" localSheetId="6">#REF!</definedName>
    <definedName name="k" localSheetId="5">#N/A</definedName>
    <definedName name="k" localSheetId="4">#N/A</definedName>
    <definedName name="k" localSheetId="8">#N/A</definedName>
    <definedName name="k" localSheetId="7">#N/A</definedName>
    <definedName name="k">#N/A</definedName>
    <definedName name="klkl" localSheetId="6">#REF!</definedName>
    <definedName name="klkl" localSheetId="5">#N/A</definedName>
    <definedName name="klkl" localSheetId="4">#N/A</definedName>
    <definedName name="klkl" localSheetId="8">#N/A</definedName>
    <definedName name="klkl" localSheetId="7">#N/A</definedName>
    <definedName name="klkl">#N/A</definedName>
    <definedName name="klll" localSheetId="6">#REF!</definedName>
    <definedName name="klll" localSheetId="5">#N/A</definedName>
    <definedName name="klll" localSheetId="4">#N/A</definedName>
    <definedName name="klll" localSheetId="8">#N/A</definedName>
    <definedName name="klll" localSheetId="7">#N/A</definedName>
    <definedName name="klll">#N/A</definedName>
    <definedName name="ver" localSheetId="6">#REF!</definedName>
    <definedName name="ver" localSheetId="5">#N/A</definedName>
    <definedName name="ver" localSheetId="4">#N/A</definedName>
    <definedName name="ver" localSheetId="8">#N/A</definedName>
    <definedName name="ver" localSheetId="7">#N/A</definedName>
    <definedName name="ver">#N/A</definedName>
    <definedName name="verificar" localSheetId="6">#REF!</definedName>
    <definedName name="verificar" localSheetId="5">#N/A</definedName>
    <definedName name="verificar" localSheetId="4">#N/A</definedName>
    <definedName name="verificar" localSheetId="8">#N/A</definedName>
    <definedName name="verificar" localSheetId="7">#N/A</definedName>
    <definedName name="verificar">#N/A</definedName>
    <definedName name="zz" localSheetId="1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D50" i="24" l="1"/>
  <c r="D51" i="24"/>
  <c r="C51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22" i="23"/>
  <c r="D20" i="23"/>
  <c r="D21" i="23"/>
  <c r="D12" i="23"/>
  <c r="D13" i="23"/>
  <c r="D11" i="23"/>
  <c r="D10" i="23"/>
  <c r="F9" i="22"/>
  <c r="F8" i="22"/>
  <c r="F7" i="22"/>
  <c r="D7" i="22" s="1"/>
  <c r="C12" i="22"/>
  <c r="C13" i="22"/>
  <c r="C11" i="22"/>
  <c r="C8" i="22"/>
  <c r="C9" i="22"/>
  <c r="C10" i="22"/>
  <c r="C7" i="22"/>
  <c r="C41" i="16" l="1"/>
  <c r="C42" i="16"/>
  <c r="C39" i="16"/>
  <c r="C43" i="16" s="1"/>
  <c r="C7" i="18"/>
  <c r="C13" i="18" s="1"/>
  <c r="C37" i="17"/>
  <c r="B22" i="17"/>
  <c r="B21" i="17"/>
  <c r="C46" i="17"/>
  <c r="C45" i="17"/>
  <c r="C44" i="17"/>
  <c r="C10" i="17"/>
  <c r="D10" i="14"/>
  <c r="F10" i="13"/>
  <c r="F9" i="13"/>
  <c r="F8" i="13"/>
  <c r="G19" i="11"/>
  <c r="G18" i="11"/>
  <c r="G17" i="11"/>
  <c r="G16" i="11"/>
  <c r="G15" i="11"/>
  <c r="D15" i="11" s="1"/>
  <c r="G14" i="11"/>
  <c r="G13" i="11"/>
  <c r="E34" i="11" s="1"/>
  <c r="C42" i="9"/>
  <c r="C40" i="9"/>
  <c r="C25" i="9"/>
  <c r="C24" i="9"/>
  <c r="C23" i="9"/>
  <c r="C22" i="9"/>
  <c r="C21" i="9"/>
  <c r="C20" i="9"/>
  <c r="C12" i="9"/>
  <c r="C11" i="9"/>
  <c r="J79" i="40"/>
  <c r="E82" i="40" l="1"/>
  <c r="F82" i="40"/>
  <c r="F79" i="40"/>
  <c r="E79" i="40"/>
  <c r="D79" i="40" s="1"/>
  <c r="G75" i="40"/>
  <c r="G85" i="40" s="1"/>
  <c r="F33" i="40"/>
  <c r="F39" i="40"/>
  <c r="F40" i="40"/>
  <c r="F41" i="40"/>
  <c r="F42" i="40"/>
  <c r="F43" i="40"/>
  <c r="F44" i="40"/>
  <c r="F45" i="40"/>
  <c r="F46" i="40"/>
  <c r="F47" i="40"/>
  <c r="F48" i="40"/>
  <c r="F49" i="40"/>
  <c r="F50" i="40"/>
  <c r="F51" i="40"/>
  <c r="F52" i="40"/>
  <c r="F53" i="40"/>
  <c r="F54" i="40"/>
  <c r="F55" i="40"/>
  <c r="F56" i="40"/>
  <c r="F57" i="40"/>
  <c r="F58" i="40"/>
  <c r="F59" i="40"/>
  <c r="F60" i="40"/>
  <c r="F61" i="40"/>
  <c r="F62" i="40"/>
  <c r="F63" i="40"/>
  <c r="F64" i="40"/>
  <c r="F65" i="40"/>
  <c r="F66" i="40"/>
  <c r="F67" i="40"/>
  <c r="F68" i="40"/>
  <c r="F69" i="40"/>
  <c r="F70" i="40"/>
  <c r="F71" i="40"/>
  <c r="F72" i="40"/>
  <c r="F73" i="40"/>
  <c r="F74" i="40"/>
  <c r="F38" i="40"/>
  <c r="F11" i="40"/>
  <c r="H11" i="40" s="1"/>
  <c r="F12" i="40"/>
  <c r="H12" i="40" s="1"/>
  <c r="F13" i="40"/>
  <c r="H13" i="40" s="1"/>
  <c r="F14" i="40"/>
  <c r="H14" i="40" s="1"/>
  <c r="F15" i="40"/>
  <c r="H15" i="40" s="1"/>
  <c r="F16" i="40"/>
  <c r="H16" i="40" s="1"/>
  <c r="F17" i="40"/>
  <c r="H17" i="40" s="1"/>
  <c r="F20" i="40"/>
  <c r="H20" i="40" s="1"/>
  <c r="F21" i="40"/>
  <c r="H21" i="40" s="1"/>
  <c r="F22" i="40"/>
  <c r="H22" i="40" s="1"/>
  <c r="F23" i="40"/>
  <c r="H23" i="40" s="1"/>
  <c r="F24" i="40"/>
  <c r="H24" i="40" s="1"/>
  <c r="F25" i="40"/>
  <c r="H25" i="40" s="1"/>
  <c r="F26" i="40"/>
  <c r="H26" i="40" s="1"/>
  <c r="F27" i="40"/>
  <c r="H27" i="40" s="1"/>
  <c r="F28" i="40"/>
  <c r="H28" i="40" s="1"/>
  <c r="F29" i="40"/>
  <c r="H29" i="40" s="1"/>
  <c r="F30" i="40"/>
  <c r="H30" i="40" s="1"/>
  <c r="F10" i="40"/>
  <c r="H10" i="40" s="1"/>
  <c r="E32" i="40"/>
  <c r="F32" i="40" s="1"/>
  <c r="H32" i="40" s="1"/>
  <c r="E31" i="40"/>
  <c r="F31" i="40" s="1"/>
  <c r="H31" i="40" s="1"/>
  <c r="E19" i="40"/>
  <c r="F19" i="40" s="1"/>
  <c r="H19" i="40" s="1"/>
  <c r="E18" i="40"/>
  <c r="F18" i="40" s="1"/>
  <c r="H18" i="40" s="1"/>
  <c r="H37" i="40"/>
  <c r="E37" i="40"/>
  <c r="D37" i="40"/>
  <c r="E78" i="40"/>
  <c r="G78" i="40"/>
  <c r="D9" i="40"/>
  <c r="D75" i="40" l="1"/>
  <c r="F9" i="40"/>
  <c r="F37" i="40"/>
  <c r="H33" i="40"/>
  <c r="E9" i="40"/>
  <c r="E75" i="40" s="1"/>
  <c r="F78" i="40"/>
  <c r="F75" i="40" l="1"/>
  <c r="C65" i="7" l="1"/>
  <c r="C67" i="7" s="1"/>
  <c r="C48" i="7"/>
  <c r="C45" i="7"/>
  <c r="C27" i="7"/>
  <c r="C36" i="7"/>
  <c r="C56" i="7"/>
  <c r="C52" i="7"/>
  <c r="C40" i="7"/>
  <c r="C31" i="7"/>
  <c r="C18" i="7"/>
  <c r="C42" i="7"/>
  <c r="C34" i="7"/>
  <c r="C21" i="7"/>
  <c r="C32" i="7"/>
  <c r="C11" i="7"/>
  <c r="C38" i="7"/>
  <c r="C13" i="7"/>
  <c r="C28" i="7"/>
  <c r="C54" i="7"/>
  <c r="C59" i="7"/>
  <c r="C25" i="7"/>
  <c r="C16" i="7"/>
  <c r="C23" i="7"/>
  <c r="C49" i="7"/>
  <c r="C46" i="7"/>
  <c r="C44" i="7"/>
  <c r="C21" i="17" s="1"/>
  <c r="C26" i="7"/>
  <c r="C14" i="7"/>
  <c r="C37" i="7"/>
  <c r="C57" i="7"/>
  <c r="C53" i="7"/>
  <c r="C41" i="7"/>
  <c r="C30" i="7"/>
  <c r="C19" i="7"/>
  <c r="C43" i="7"/>
  <c r="C35" i="7"/>
  <c r="C22" i="7"/>
  <c r="C33" i="7"/>
  <c r="C10" i="7"/>
  <c r="C39" i="7"/>
  <c r="C12" i="7"/>
  <c r="C29" i="7"/>
  <c r="C55" i="7"/>
  <c r="C58" i="7"/>
  <c r="C20" i="7"/>
  <c r="C17" i="7"/>
  <c r="C24" i="7"/>
  <c r="C50" i="7"/>
  <c r="C51" i="7"/>
  <c r="C22" i="17" s="1"/>
  <c r="C47" i="7"/>
  <c r="C15" i="7"/>
  <c r="C63" i="7"/>
  <c r="C8" i="7"/>
  <c r="B41" i="39"/>
  <c r="B40" i="39"/>
  <c r="B51" i="39"/>
  <c r="B50" i="39"/>
  <c r="B46" i="39"/>
  <c r="B45" i="39"/>
  <c r="B44" i="39"/>
  <c r="B7" i="39"/>
  <c r="K32" i="35"/>
  <c r="I24" i="35"/>
  <c r="B47" i="39" l="1"/>
  <c r="C20" i="17"/>
  <c r="C8" i="17" s="1"/>
  <c r="K27" i="35"/>
  <c r="E7" i="34"/>
  <c r="D7" i="34"/>
  <c r="D48" i="2"/>
  <c r="D41" i="2"/>
  <c r="D87" i="2"/>
  <c r="D88" i="2"/>
  <c r="D97" i="2"/>
  <c r="D96" i="2"/>
  <c r="D94" i="2"/>
  <c r="E95" i="37" s="1"/>
  <c r="G15" i="2"/>
  <c r="H11" i="2"/>
  <c r="D42" i="2"/>
  <c r="D37" i="2"/>
  <c r="D27" i="2"/>
  <c r="D93" i="2" s="1"/>
  <c r="D26" i="2"/>
  <c r="D14" i="2"/>
  <c r="E111" i="2"/>
  <c r="E107" i="2"/>
  <c r="E84" i="2"/>
  <c r="E46" i="2"/>
  <c r="E45" i="2"/>
  <c r="E43" i="2"/>
  <c r="D86" i="2" l="1"/>
  <c r="E10" i="2" l="1"/>
  <c r="D10" i="2"/>
  <c r="D67" i="1" l="1"/>
  <c r="D13" i="1" l="1"/>
  <c r="G21" i="37"/>
  <c r="E21" i="37" s="1"/>
  <c r="D18" i="1"/>
  <c r="D24" i="1"/>
  <c r="G28" i="37"/>
  <c r="D25" i="1"/>
  <c r="D28" i="1"/>
  <c r="G32" i="37"/>
  <c r="D35" i="1"/>
  <c r="G38" i="37"/>
  <c r="D43" i="1"/>
  <c r="D63" i="1"/>
  <c r="G13" i="1"/>
  <c r="G19" i="1"/>
  <c r="G69" i="37"/>
  <c r="G70" i="37"/>
  <c r="G21" i="1"/>
  <c r="G12" i="1"/>
  <c r="G64" i="37"/>
  <c r="G27" i="1"/>
  <c r="C40" i="39"/>
  <c r="G34" i="1"/>
  <c r="G24" i="37" l="1"/>
  <c r="E24" i="37" s="1"/>
  <c r="G20" i="1"/>
  <c r="G22" i="1" s="1"/>
  <c r="G36" i="1"/>
  <c r="D34" i="1"/>
  <c r="D62" i="1"/>
  <c r="D19" i="1"/>
  <c r="D20" i="1"/>
  <c r="D66" i="1"/>
  <c r="D11" i="1"/>
  <c r="G77" i="1"/>
  <c r="D24" i="39" l="1"/>
  <c r="D54" i="34"/>
  <c r="D15" i="39"/>
  <c r="E26" i="39"/>
  <c r="E17" i="39"/>
  <c r="E31" i="39"/>
  <c r="E37" i="39"/>
  <c r="E35" i="39"/>
  <c r="E34" i="39"/>
  <c r="E33" i="39"/>
  <c r="E30" i="39"/>
  <c r="E25" i="39"/>
  <c r="E24" i="39"/>
  <c r="E21" i="39"/>
  <c r="E20" i="39"/>
  <c r="E19" i="39" s="1"/>
  <c r="E18" i="39"/>
  <c r="E16" i="39"/>
  <c r="E15" i="39"/>
  <c r="E12" i="39"/>
  <c r="E13" i="39" s="1"/>
  <c r="E9" i="39"/>
  <c r="C89" i="39" s="1"/>
  <c r="E38" i="39" l="1"/>
  <c r="E22" i="39"/>
  <c r="E23" i="39" s="1"/>
  <c r="E39" i="39" l="1"/>
  <c r="D154" i="41" l="1"/>
  <c r="G153" i="41"/>
  <c r="F153" i="41"/>
  <c r="G152" i="41"/>
  <c r="F152" i="41"/>
  <c r="G151" i="41"/>
  <c r="F151" i="41"/>
  <c r="G150" i="41"/>
  <c r="F150" i="41"/>
  <c r="G149" i="41"/>
  <c r="F149" i="41"/>
  <c r="G148" i="41"/>
  <c r="F148" i="41"/>
  <c r="I143" i="41"/>
  <c r="H143" i="41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E137" i="41"/>
  <c r="I136" i="41"/>
  <c r="H136" i="41"/>
  <c r="E136" i="41"/>
  <c r="I135" i="41"/>
  <c r="H135" i="41"/>
  <c r="E135" i="41"/>
  <c r="I134" i="41"/>
  <c r="H134" i="41"/>
  <c r="I133" i="41"/>
  <c r="H133" i="41"/>
  <c r="I132" i="41"/>
  <c r="H132" i="41"/>
  <c r="I131" i="41"/>
  <c r="H131" i="41"/>
  <c r="I130" i="41"/>
  <c r="H130" i="41"/>
  <c r="F129" i="41"/>
  <c r="H129" i="41" s="1"/>
  <c r="F128" i="41"/>
  <c r="I128" i="41" s="1"/>
  <c r="F127" i="41"/>
  <c r="H127" i="41" s="1"/>
  <c r="F126" i="41"/>
  <c r="I126" i="41" s="1"/>
  <c r="F125" i="41"/>
  <c r="H125" i="41" s="1"/>
  <c r="F124" i="41"/>
  <c r="I124" i="41" s="1"/>
  <c r="F123" i="41"/>
  <c r="H123" i="41" s="1"/>
  <c r="F122" i="41"/>
  <c r="I122" i="41" s="1"/>
  <c r="F121" i="41"/>
  <c r="H121" i="41" s="1"/>
  <c r="F120" i="41"/>
  <c r="I120" i="41" s="1"/>
  <c r="F119" i="41"/>
  <c r="H119" i="41" s="1"/>
  <c r="F118" i="41"/>
  <c r="I118" i="41" s="1"/>
  <c r="F117" i="41"/>
  <c r="H117" i="41" s="1"/>
  <c r="F116" i="41"/>
  <c r="I116" i="41" s="1"/>
  <c r="F115" i="41"/>
  <c r="H115" i="41" s="1"/>
  <c r="F114" i="41"/>
  <c r="I114" i="41" s="1"/>
  <c r="F113" i="41"/>
  <c r="H113" i="41" s="1"/>
  <c r="F112" i="41"/>
  <c r="I112" i="41" s="1"/>
  <c r="D108" i="41"/>
  <c r="E108" i="41" s="1"/>
  <c r="F107" i="41"/>
  <c r="H107" i="41" s="1"/>
  <c r="E107" i="41"/>
  <c r="E103" i="41"/>
  <c r="F103" i="41" s="1"/>
  <c r="E102" i="41"/>
  <c r="F102" i="41" s="1"/>
  <c r="F101" i="41"/>
  <c r="I101" i="41" s="1"/>
  <c r="F100" i="41"/>
  <c r="H100" i="41" s="1"/>
  <c r="F99" i="41"/>
  <c r="I99" i="41" s="1"/>
  <c r="F98" i="41"/>
  <c r="H98" i="41" s="1"/>
  <c r="F97" i="41"/>
  <c r="I97" i="41" s="1"/>
  <c r="F96" i="41"/>
  <c r="I96" i="41" s="1"/>
  <c r="F95" i="41"/>
  <c r="I95" i="41" s="1"/>
  <c r="F94" i="41"/>
  <c r="H94" i="41" s="1"/>
  <c r="F93" i="41"/>
  <c r="I93" i="41" s="1"/>
  <c r="F92" i="41"/>
  <c r="H92" i="41" s="1"/>
  <c r="F91" i="41"/>
  <c r="I91" i="41" s="1"/>
  <c r="F90" i="41"/>
  <c r="I90" i="41" s="1"/>
  <c r="F89" i="41"/>
  <c r="I89" i="41" s="1"/>
  <c r="F88" i="41"/>
  <c r="I88" i="41" s="1"/>
  <c r="F87" i="41"/>
  <c r="I87" i="41" s="1"/>
  <c r="F86" i="41"/>
  <c r="H86" i="41" s="1"/>
  <c r="F85" i="41"/>
  <c r="I85" i="41" s="1"/>
  <c r="F84" i="41"/>
  <c r="H84" i="41" s="1"/>
  <c r="E84" i="41"/>
  <c r="F83" i="41"/>
  <c r="I83" i="41" s="1"/>
  <c r="F82" i="41"/>
  <c r="H82" i="41" s="1"/>
  <c r="F81" i="41"/>
  <c r="I81" i="41" s="1"/>
  <c r="I80" i="41"/>
  <c r="H80" i="41"/>
  <c r="F80" i="41"/>
  <c r="F79" i="41"/>
  <c r="I79" i="41" s="1"/>
  <c r="F78" i="41"/>
  <c r="H78" i="41" s="1"/>
  <c r="F77" i="41"/>
  <c r="I77" i="41" s="1"/>
  <c r="I76" i="41"/>
  <c r="H76" i="41"/>
  <c r="F76" i="41"/>
  <c r="F75" i="41"/>
  <c r="I75" i="41" s="1"/>
  <c r="F74" i="41"/>
  <c r="I74" i="41" s="1"/>
  <c r="F73" i="41"/>
  <c r="I73" i="41" s="1"/>
  <c r="I72" i="41"/>
  <c r="H72" i="41"/>
  <c r="F72" i="41"/>
  <c r="F71" i="41"/>
  <c r="I71" i="41" s="1"/>
  <c r="F70" i="41"/>
  <c r="I70" i="41" s="1"/>
  <c r="F69" i="41"/>
  <c r="I69" i="41" s="1"/>
  <c r="I68" i="41"/>
  <c r="H68" i="41"/>
  <c r="F68" i="41"/>
  <c r="F67" i="41"/>
  <c r="I67" i="41" s="1"/>
  <c r="F66" i="41"/>
  <c r="H66" i="41" s="1"/>
  <c r="F65" i="41"/>
  <c r="I65" i="41" s="1"/>
  <c r="I64" i="41"/>
  <c r="H64" i="41"/>
  <c r="F64" i="41"/>
  <c r="F63" i="41"/>
  <c r="I63" i="41" s="1"/>
  <c r="F62" i="41"/>
  <c r="I62" i="41" s="1"/>
  <c r="F61" i="41"/>
  <c r="I61" i="41" s="1"/>
  <c r="I60" i="41"/>
  <c r="H60" i="41"/>
  <c r="F60" i="41"/>
  <c r="F59" i="41"/>
  <c r="I59" i="41" s="1"/>
  <c r="F58" i="41"/>
  <c r="H58" i="41" s="1"/>
  <c r="F57" i="41"/>
  <c r="I57" i="41" s="1"/>
  <c r="I56" i="41"/>
  <c r="H56" i="41"/>
  <c r="F56" i="41"/>
  <c r="F55" i="41"/>
  <c r="H99" i="41" l="1"/>
  <c r="H150" i="41"/>
  <c r="G154" i="41"/>
  <c r="H151" i="41" s="1"/>
  <c r="H62" i="41"/>
  <c r="H70" i="41"/>
  <c r="H74" i="41"/>
  <c r="H101" i="41"/>
  <c r="I58" i="41"/>
  <c r="I66" i="41"/>
  <c r="I78" i="41"/>
  <c r="I82" i="41"/>
  <c r="H97" i="41"/>
  <c r="F108" i="41"/>
  <c r="D109" i="41"/>
  <c r="E109" i="41" s="1"/>
  <c r="H152" i="41"/>
  <c r="H149" i="41"/>
  <c r="I102" i="41"/>
  <c r="H102" i="41"/>
  <c r="I103" i="41"/>
  <c r="H103" i="41"/>
  <c r="H153" i="41"/>
  <c r="H90" i="41"/>
  <c r="I107" i="41"/>
  <c r="I113" i="41"/>
  <c r="I115" i="41"/>
  <c r="I117" i="41"/>
  <c r="I119" i="41"/>
  <c r="I121" i="41"/>
  <c r="I123" i="41"/>
  <c r="I125" i="41"/>
  <c r="I127" i="41"/>
  <c r="I129" i="41"/>
  <c r="H88" i="41"/>
  <c r="H96" i="41"/>
  <c r="I84" i="41"/>
  <c r="I86" i="41"/>
  <c r="I92" i="41"/>
  <c r="I94" i="41"/>
  <c r="I98" i="41"/>
  <c r="I100" i="41"/>
  <c r="D104" i="41"/>
  <c r="E104" i="41" s="1"/>
  <c r="H112" i="41"/>
  <c r="H114" i="41"/>
  <c r="H116" i="41"/>
  <c r="H118" i="41"/>
  <c r="H120" i="41"/>
  <c r="H122" i="41"/>
  <c r="H124" i="41"/>
  <c r="H126" i="41"/>
  <c r="H128" i="41"/>
  <c r="H55" i="41"/>
  <c r="H57" i="41"/>
  <c r="H59" i="41"/>
  <c r="H61" i="41"/>
  <c r="H63" i="41"/>
  <c r="H65" i="41"/>
  <c r="H67" i="41"/>
  <c r="H69" i="41"/>
  <c r="H71" i="41"/>
  <c r="H73" i="41"/>
  <c r="H75" i="41"/>
  <c r="H77" i="41"/>
  <c r="H79" i="41"/>
  <c r="H81" i="41"/>
  <c r="H83" i="41"/>
  <c r="H148" i="41"/>
  <c r="I55" i="41"/>
  <c r="H85" i="41"/>
  <c r="H87" i="41"/>
  <c r="H89" i="41"/>
  <c r="H91" i="41"/>
  <c r="H93" i="41"/>
  <c r="H95" i="41"/>
  <c r="D110" i="41" l="1"/>
  <c r="E110" i="41" s="1"/>
  <c r="F109" i="41"/>
  <c r="I108" i="41"/>
  <c r="H108" i="41"/>
  <c r="H154" i="41"/>
  <c r="D105" i="41"/>
  <c r="E105" i="41" s="1"/>
  <c r="F104" i="41"/>
  <c r="I109" i="41" l="1"/>
  <c r="H109" i="41"/>
  <c r="I104" i="41"/>
  <c r="H104" i="41"/>
  <c r="D106" i="41"/>
  <c r="E106" i="41" s="1"/>
  <c r="F106" i="41" s="1"/>
  <c r="F105" i="41"/>
  <c r="D111" i="41"/>
  <c r="E111" i="41" s="1"/>
  <c r="F111" i="41" s="1"/>
  <c r="F110" i="41"/>
  <c r="I105" i="41" l="1"/>
  <c r="H105" i="41"/>
  <c r="I106" i="41"/>
  <c r="H106" i="41"/>
  <c r="F144" i="41"/>
  <c r="I144" i="41"/>
  <c r="H110" i="41"/>
  <c r="H144" i="41" s="1"/>
  <c r="I110" i="41"/>
  <c r="H111" i="41"/>
  <c r="I111" i="41"/>
  <c r="J111" i="41" l="1"/>
  <c r="J106" i="41"/>
  <c r="J133" i="41"/>
  <c r="J141" i="41"/>
  <c r="J136" i="41"/>
  <c r="J134" i="41"/>
  <c r="J138" i="41"/>
  <c r="J142" i="41"/>
  <c r="J88" i="41"/>
  <c r="J56" i="41"/>
  <c r="J62" i="41"/>
  <c r="J71" i="41"/>
  <c r="J137" i="41"/>
  <c r="J59" i="41"/>
  <c r="J131" i="41"/>
  <c r="J95" i="41"/>
  <c r="J97" i="41"/>
  <c r="J120" i="41"/>
  <c r="J72" i="41"/>
  <c r="J60" i="41"/>
  <c r="J96" i="41"/>
  <c r="J68" i="41"/>
  <c r="J66" i="41"/>
  <c r="J75" i="41"/>
  <c r="J67" i="41"/>
  <c r="J140" i="41"/>
  <c r="J85" i="41"/>
  <c r="J143" i="41"/>
  <c r="J69" i="41"/>
  <c r="J101" i="41"/>
  <c r="J93" i="41"/>
  <c r="J114" i="41"/>
  <c r="J80" i="41"/>
  <c r="J70" i="41"/>
  <c r="J130" i="41"/>
  <c r="J83" i="41"/>
  <c r="J135" i="41"/>
  <c r="J79" i="41"/>
  <c r="J81" i="41"/>
  <c r="J77" i="41"/>
  <c r="J116" i="41"/>
  <c r="J58" i="41"/>
  <c r="J63" i="41"/>
  <c r="J61" i="41"/>
  <c r="J122" i="41"/>
  <c r="J57" i="41"/>
  <c r="J74" i="41"/>
  <c r="J99" i="41"/>
  <c r="J90" i="41"/>
  <c r="J64" i="41"/>
  <c r="J91" i="41"/>
  <c r="J73" i="41"/>
  <c r="J78" i="41"/>
  <c r="J76" i="41"/>
  <c r="J87" i="41"/>
  <c r="J118" i="41"/>
  <c r="J124" i="41"/>
  <c r="J112" i="41"/>
  <c r="J139" i="41"/>
  <c r="J128" i="41"/>
  <c r="J82" i="41"/>
  <c r="J65" i="41"/>
  <c r="J132" i="41"/>
  <c r="J89" i="41"/>
  <c r="J126" i="41"/>
  <c r="J100" i="41"/>
  <c r="J119" i="41"/>
  <c r="J94" i="41"/>
  <c r="J113" i="41"/>
  <c r="J115" i="41"/>
  <c r="J107" i="41"/>
  <c r="J102" i="41"/>
  <c r="J86" i="41"/>
  <c r="J117" i="41"/>
  <c r="J121" i="41"/>
  <c r="J84" i="41"/>
  <c r="J98" i="41"/>
  <c r="J127" i="41"/>
  <c r="J125" i="41"/>
  <c r="J123" i="41"/>
  <c r="J129" i="41"/>
  <c r="J103" i="41"/>
  <c r="J92" i="41"/>
  <c r="J55" i="41"/>
  <c r="J108" i="41"/>
  <c r="J104" i="41"/>
  <c r="J109" i="41"/>
  <c r="J110" i="41"/>
  <c r="J105" i="41"/>
  <c r="J144" i="41" l="1"/>
  <c r="C50" i="24" l="1"/>
  <c r="C44" i="16"/>
  <c r="C34" i="16"/>
  <c r="C37" i="16" s="1"/>
  <c r="C53" i="17"/>
  <c r="C25" i="17"/>
  <c r="C39" i="17" s="1"/>
  <c r="D18" i="14" l="1"/>
  <c r="D17" i="14"/>
  <c r="E10" i="13"/>
  <c r="D9" i="13"/>
  <c r="D8" i="13"/>
  <c r="M20" i="11"/>
  <c r="M13" i="11"/>
  <c r="D19" i="11"/>
  <c r="M18" i="11"/>
  <c r="M16" i="11"/>
  <c r="D14" i="11"/>
  <c r="C60" i="7"/>
  <c r="C69" i="7" s="1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64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20" i="37"/>
  <c r="M15" i="11" l="1"/>
  <c r="M17" i="11"/>
  <c r="D17" i="11"/>
  <c r="D18" i="11"/>
  <c r="M19" i="11"/>
  <c r="D16" i="11"/>
  <c r="M14" i="11"/>
  <c r="D20" i="11"/>
  <c r="B34" i="11" l="1"/>
  <c r="D45" i="2"/>
  <c r="D34" i="2"/>
  <c r="D12" i="2"/>
  <c r="D99" i="2"/>
  <c r="G11" i="2" l="1"/>
  <c r="G14" i="2" s="1"/>
  <c r="G16" i="2" s="1"/>
  <c r="D95" i="2"/>
  <c r="D92" i="2"/>
  <c r="D39" i="2"/>
  <c r="D43" i="2" s="1"/>
  <c r="D84" i="2" s="1"/>
  <c r="D90" i="2" l="1"/>
  <c r="D107" i="2" s="1"/>
  <c r="D111" i="2" s="1"/>
  <c r="G76" i="1" l="1"/>
  <c r="G64" i="1"/>
  <c r="G65" i="1" s="1"/>
  <c r="D72" i="1"/>
  <c r="D64" i="1"/>
  <c r="G74" i="1"/>
  <c r="G70" i="1"/>
  <c r="G50" i="1"/>
  <c r="G60" i="1" s="1"/>
  <c r="D60" i="1"/>
  <c r="D50" i="1"/>
  <c r="D26" i="1"/>
  <c r="D26" i="21"/>
  <c r="C26" i="21"/>
  <c r="G22" i="19"/>
  <c r="H23" i="19"/>
  <c r="D11" i="28"/>
  <c r="D14" i="28"/>
  <c r="D15" i="28" s="1"/>
  <c r="D13" i="27"/>
  <c r="D12" i="27"/>
  <c r="D9" i="27"/>
  <c r="D8" i="27"/>
  <c r="D8" i="25"/>
  <c r="D7" i="25" s="1"/>
  <c r="D10" i="25"/>
  <c r="D9" i="25" s="1"/>
  <c r="M21" i="11"/>
  <c r="E21" i="11"/>
  <c r="F21" i="11"/>
  <c r="G21" i="11"/>
  <c r="H21" i="11"/>
  <c r="I21" i="11"/>
  <c r="J21" i="11"/>
  <c r="K21" i="11"/>
  <c r="L21" i="11"/>
  <c r="D82" i="40"/>
  <c r="G82" i="40" l="1"/>
  <c r="D77" i="40"/>
  <c r="D85" i="40" s="1"/>
  <c r="D14" i="27"/>
  <c r="G16" i="1"/>
  <c r="D10" i="27"/>
  <c r="D15" i="27" s="1"/>
  <c r="G38" i="1"/>
  <c r="C46" i="16" s="1"/>
  <c r="G31" i="1"/>
  <c r="G78" i="1"/>
  <c r="G79" i="1" s="1"/>
  <c r="D14" i="1"/>
  <c r="C71" i="7" s="1"/>
  <c r="D79" i="1"/>
  <c r="D11" i="25"/>
  <c r="D22" i="1"/>
  <c r="D38" i="1"/>
  <c r="G39" i="1" l="1"/>
  <c r="B26" i="39"/>
  <c r="G61" i="1" l="1"/>
  <c r="G80" i="1" s="1"/>
  <c r="B93" i="40"/>
  <c r="D92" i="40"/>
  <c r="D93" i="40" s="1"/>
  <c r="C92" i="40"/>
  <c r="C93" i="40" s="1"/>
  <c r="E84" i="40"/>
  <c r="G84" i="40" s="1"/>
  <c r="G83" i="40"/>
  <c r="E81" i="40"/>
  <c r="G81" i="40" s="1"/>
  <c r="E80" i="40"/>
  <c r="H9" i="40"/>
  <c r="H75" i="40" s="1"/>
  <c r="H97" i="37"/>
  <c r="H95" i="37"/>
  <c r="E77" i="40" l="1"/>
  <c r="E85" i="40" s="1"/>
  <c r="G79" i="40"/>
  <c r="F80" i="40"/>
  <c r="G80" i="40"/>
  <c r="F81" i="40"/>
  <c r="F84" i="40"/>
  <c r="F77" i="40" l="1"/>
  <c r="F85" i="40" s="1"/>
  <c r="K8" i="35"/>
  <c r="G15" i="22"/>
  <c r="H6" i="19"/>
  <c r="F23" i="16"/>
  <c r="C12" i="16"/>
  <c r="F16" i="13"/>
  <c r="H99" i="37"/>
  <c r="H101" i="37" s="1"/>
  <c r="J11" i="35"/>
  <c r="J12" i="35"/>
  <c r="J13" i="35"/>
  <c r="J15" i="35"/>
  <c r="J17" i="35"/>
  <c r="J18" i="35"/>
  <c r="J19" i="35"/>
  <c r="J21" i="35"/>
  <c r="J22" i="35"/>
  <c r="J23" i="35"/>
  <c r="D16" i="28"/>
  <c r="D16" i="27"/>
  <c r="D13" i="25"/>
  <c r="G20" i="24"/>
  <c r="D19" i="24"/>
  <c r="D18" i="24"/>
  <c r="D17" i="24"/>
  <c r="D16" i="24"/>
  <c r="D15" i="24"/>
  <c r="G14" i="24" s="1"/>
  <c r="D14" i="24"/>
  <c r="D13" i="24"/>
  <c r="D12" i="24"/>
  <c r="D11" i="24"/>
  <c r="D10" i="24"/>
  <c r="D9" i="24"/>
  <c r="G9" i="24" s="1"/>
  <c r="C10" i="24"/>
  <c r="C14" i="24"/>
  <c r="C15" i="24"/>
  <c r="F14" i="24" s="1"/>
  <c r="C16" i="24"/>
  <c r="C17" i="24"/>
  <c r="C18" i="24"/>
  <c r="C19" i="24"/>
  <c r="C20" i="24"/>
  <c r="F20" i="24" s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D16" i="23"/>
  <c r="D8" i="23"/>
  <c r="D8" i="24" s="1"/>
  <c r="D6" i="25" s="1"/>
  <c r="D6" i="27" s="1"/>
  <c r="D7" i="28" s="1"/>
  <c r="B15" i="23"/>
  <c r="F6" i="22"/>
  <c r="F20" i="16"/>
  <c r="F22" i="16" s="1"/>
  <c r="C9" i="16"/>
  <c r="C11" i="16" s="1"/>
  <c r="C49" i="17"/>
  <c r="C52" i="17" s="1"/>
  <c r="D34" i="11"/>
  <c r="I34" i="11"/>
  <c r="C34" i="11"/>
  <c r="J34" i="11"/>
  <c r="F34" i="11"/>
  <c r="G34" i="11"/>
  <c r="H34" i="11"/>
  <c r="D26" i="9"/>
  <c r="C8" i="33"/>
  <c r="G7" i="33"/>
  <c r="G6" i="19" s="1"/>
  <c r="G5" i="33"/>
  <c r="F64" i="37"/>
  <c r="E64" i="37" s="1"/>
  <c r="K73" i="37"/>
  <c r="K72" i="37"/>
  <c r="H8" i="1"/>
  <c r="G8" i="1"/>
  <c r="C10" i="35"/>
  <c r="D50" i="39"/>
  <c r="C21" i="39" s="1"/>
  <c r="B53" i="39"/>
  <c r="D53" i="39" s="1"/>
  <c r="F53" i="39" s="1"/>
  <c r="L53" i="39" s="1"/>
  <c r="F40" i="39"/>
  <c r="G40" i="39" s="1"/>
  <c r="F52" i="39"/>
  <c r="F44" i="39"/>
  <c r="G44" i="39" s="1"/>
  <c r="B35" i="39"/>
  <c r="F35" i="39" s="1"/>
  <c r="B34" i="39"/>
  <c r="F34" i="39"/>
  <c r="B33" i="39"/>
  <c r="F33" i="39" s="1"/>
  <c r="B12" i="39"/>
  <c r="F12" i="39" s="1"/>
  <c r="G12" i="39" s="1"/>
  <c r="I56" i="39"/>
  <c r="B63" i="39" s="1"/>
  <c r="F49" i="39"/>
  <c r="L49" i="39" s="1"/>
  <c r="F46" i="39"/>
  <c r="L46" i="39" s="1"/>
  <c r="M43" i="39"/>
  <c r="F43" i="39"/>
  <c r="F42" i="39"/>
  <c r="M42" i="39"/>
  <c r="F36" i="39"/>
  <c r="F32" i="39"/>
  <c r="F29" i="39"/>
  <c r="L29" i="39" s="1"/>
  <c r="F27" i="39"/>
  <c r="N27" i="39" s="1"/>
  <c r="B83" i="39" s="1"/>
  <c r="D46" i="34" s="1"/>
  <c r="Q26" i="39"/>
  <c r="P26" i="39"/>
  <c r="R25" i="39"/>
  <c r="C25" i="39"/>
  <c r="R24" i="39"/>
  <c r="R23" i="39"/>
  <c r="R22" i="39"/>
  <c r="R21" i="39"/>
  <c r="R26" i="39" s="1"/>
  <c r="D16" i="39"/>
  <c r="F14" i="39"/>
  <c r="F11" i="39"/>
  <c r="J11" i="39" s="1"/>
  <c r="F47" i="39"/>
  <c r="L47" i="39" s="1"/>
  <c r="F28" i="39"/>
  <c r="J28" i="39" s="1"/>
  <c r="D51" i="39"/>
  <c r="F41" i="39"/>
  <c r="H41" i="39" s="1"/>
  <c r="H56" i="39" s="1"/>
  <c r="B62" i="39" s="1"/>
  <c r="D12" i="34" s="1"/>
  <c r="B37" i="39"/>
  <c r="C12" i="27"/>
  <c r="C15" i="23"/>
  <c r="C12" i="24"/>
  <c r="C14" i="28"/>
  <c r="C15" i="28" s="1"/>
  <c r="C16" i="28" s="1"/>
  <c r="C10" i="25"/>
  <c r="C9" i="25" s="1"/>
  <c r="C8" i="25"/>
  <c r="C7" i="25" s="1"/>
  <c r="C13" i="27"/>
  <c r="C11" i="24"/>
  <c r="B18" i="39"/>
  <c r="F18" i="39" s="1"/>
  <c r="B25" i="39"/>
  <c r="B20" i="39"/>
  <c r="F20" i="39" s="1"/>
  <c r="B31" i="39"/>
  <c r="F31" i="39" s="1"/>
  <c r="N31" i="39" s="1"/>
  <c r="B17" i="39"/>
  <c r="F17" i="39" s="1"/>
  <c r="M17" i="39" s="1"/>
  <c r="B15" i="39"/>
  <c r="F15" i="39" s="1"/>
  <c r="M15" i="39" s="1"/>
  <c r="B72" i="39" s="1"/>
  <c r="B16" i="39"/>
  <c r="C26" i="35"/>
  <c r="D8" i="22"/>
  <c r="E14" i="33"/>
  <c r="E15" i="33"/>
  <c r="D23" i="23"/>
  <c r="C33" i="16"/>
  <c r="C36" i="16" s="1"/>
  <c r="E12" i="13"/>
  <c r="C12" i="13"/>
  <c r="C34" i="9"/>
  <c r="C36" i="9"/>
  <c r="B35" i="9"/>
  <c r="B34" i="9"/>
  <c r="D28" i="9"/>
  <c r="D69" i="7"/>
  <c r="D71" i="7" s="1"/>
  <c r="D14" i="37"/>
  <c r="H14" i="37"/>
  <c r="E97" i="37"/>
  <c r="D93" i="37"/>
  <c r="K60" i="37"/>
  <c r="G60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1" i="37"/>
  <c r="K70" i="37"/>
  <c r="K69" i="37"/>
  <c r="K68" i="37"/>
  <c r="K67" i="37"/>
  <c r="K66" i="37"/>
  <c r="K65" i="37"/>
  <c r="K64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20" i="37"/>
  <c r="B24" i="39"/>
  <c r="B21" i="39"/>
  <c r="C11" i="28"/>
  <c r="F11" i="13"/>
  <c r="B9" i="39"/>
  <c r="D90" i="39" s="1"/>
  <c r="D20" i="34"/>
  <c r="C9" i="27"/>
  <c r="C8" i="27"/>
  <c r="C10" i="23"/>
  <c r="D11" i="22"/>
  <c r="F11" i="22"/>
  <c r="F12" i="22" s="1"/>
  <c r="F10" i="22"/>
  <c r="E10" i="22" s="1"/>
  <c r="D12" i="13"/>
  <c r="F20" i="37"/>
  <c r="F21" i="37" s="1"/>
  <c r="I26" i="35"/>
  <c r="I25" i="35" s="1"/>
  <c r="J25" i="35" s="1"/>
  <c r="H26" i="35"/>
  <c r="H24" i="35" s="1"/>
  <c r="G26" i="35"/>
  <c r="F26" i="35"/>
  <c r="I10" i="35"/>
  <c r="H10" i="35"/>
  <c r="F10" i="35"/>
  <c r="G10" i="35"/>
  <c r="E10" i="35"/>
  <c r="E26" i="35"/>
  <c r="D26" i="35"/>
  <c r="D24" i="35" s="1"/>
  <c r="D10" i="35"/>
  <c r="C14" i="23"/>
  <c r="C12" i="23"/>
  <c r="C13" i="23"/>
  <c r="C22" i="23"/>
  <c r="C11" i="23"/>
  <c r="B48" i="39"/>
  <c r="D48" i="39" s="1"/>
  <c r="F48" i="39" s="1"/>
  <c r="L48" i="39" s="1"/>
  <c r="C9" i="24"/>
  <c r="F9" i="24" s="1"/>
  <c r="B30" i="39"/>
  <c r="C13" i="24"/>
  <c r="D113" i="2"/>
  <c r="D20" i="14"/>
  <c r="D14" i="9"/>
  <c r="D16" i="9" s="1"/>
  <c r="D58" i="9"/>
  <c r="C26" i="9"/>
  <c r="C28" i="9" s="1"/>
  <c r="D59" i="9"/>
  <c r="B27" i="9"/>
  <c r="B44" i="9"/>
  <c r="B13" i="13"/>
  <c r="J60" i="37"/>
  <c r="F60" i="37"/>
  <c r="C21" i="23"/>
  <c r="C20" i="23"/>
  <c r="C16" i="18"/>
  <c r="C14" i="9"/>
  <c r="F93" i="37"/>
  <c r="B26" i="9"/>
  <c r="B12" i="13" s="1"/>
  <c r="C43" i="9"/>
  <c r="E11" i="22"/>
  <c r="D95" i="37"/>
  <c r="D97" i="37" s="1"/>
  <c r="D96" i="37"/>
  <c r="D98" i="37" s="1"/>
  <c r="F8" i="15"/>
  <c r="F9" i="15"/>
  <c r="F10" i="15"/>
  <c r="F11" i="15"/>
  <c r="C12" i="15"/>
  <c r="E12" i="15"/>
  <c r="D12" i="15"/>
  <c r="F7" i="15"/>
  <c r="F12" i="15"/>
  <c r="B43" i="9"/>
  <c r="K34" i="11"/>
  <c r="M25" i="11" s="1"/>
  <c r="F10" i="39"/>
  <c r="L10" i="39" s="1"/>
  <c r="J26" i="35" l="1"/>
  <c r="C20" i="35"/>
  <c r="J20" i="35" s="1"/>
  <c r="F65" i="37"/>
  <c r="E65" i="37" s="1"/>
  <c r="F51" i="39"/>
  <c r="N51" i="39" s="1"/>
  <c r="C24" i="39"/>
  <c r="F24" i="39" s="1"/>
  <c r="N24" i="39" s="1"/>
  <c r="B82" i="39" s="1"/>
  <c r="D45" i="34" s="1"/>
  <c r="C16" i="23"/>
  <c r="C23" i="23"/>
  <c r="C25" i="23" s="1"/>
  <c r="D26" i="23"/>
  <c r="B19" i="39"/>
  <c r="F19" i="39" s="1"/>
  <c r="M19" i="39" s="1"/>
  <c r="B71" i="39" s="1"/>
  <c r="D35" i="34" s="1"/>
  <c r="E14" i="35"/>
  <c r="J56" i="39"/>
  <c r="B66" i="39" s="1"/>
  <c r="D26" i="34" s="1"/>
  <c r="F30" i="39"/>
  <c r="N30" i="39" s="1"/>
  <c r="B84" i="39" s="1"/>
  <c r="D44" i="34" s="1"/>
  <c r="F16" i="39"/>
  <c r="M16" i="39" s="1"/>
  <c r="C58" i="9"/>
  <c r="C16" i="9"/>
  <c r="F66" i="37"/>
  <c r="F22" i="37"/>
  <c r="G20" i="37"/>
  <c r="E99" i="37"/>
  <c r="E101" i="37" s="1"/>
  <c r="B54" i="39"/>
  <c r="D54" i="39" s="1"/>
  <c r="D56" i="39" s="1"/>
  <c r="C10" i="27"/>
  <c r="F50" i="39"/>
  <c r="L50" i="39" s="1"/>
  <c r="F21" i="39"/>
  <c r="M21" i="39" s="1"/>
  <c r="C14" i="27"/>
  <c r="C11" i="25"/>
  <c r="C13" i="25" s="1"/>
  <c r="I29" i="35"/>
  <c r="I31" i="35" s="1"/>
  <c r="J10" i="35"/>
  <c r="D29" i="35"/>
  <c r="D31" i="35" s="1"/>
  <c r="F25" i="39"/>
  <c r="G25" i="39" s="1"/>
  <c r="G56" i="39" s="1"/>
  <c r="B61" i="39" s="1"/>
  <c r="D10" i="34" s="1"/>
  <c r="F15" i="22"/>
  <c r="H29" i="35"/>
  <c r="H31" i="35" s="1"/>
  <c r="E12" i="22"/>
  <c r="G24" i="35"/>
  <c r="G16" i="35" s="1"/>
  <c r="J16" i="35" s="1"/>
  <c r="E29" i="35"/>
  <c r="E31" i="35" s="1"/>
  <c r="J14" i="35"/>
  <c r="J8" i="35"/>
  <c r="F29" i="35"/>
  <c r="F31" i="35" s="1"/>
  <c r="F45" i="39"/>
  <c r="K45" i="39" s="1"/>
  <c r="K56" i="39" s="1"/>
  <c r="B64" i="39" s="1"/>
  <c r="D11" i="34" s="1"/>
  <c r="D12" i="22"/>
  <c r="C31" i="35"/>
  <c r="F26" i="39"/>
  <c r="L26" i="39" s="1"/>
  <c r="B38" i="39"/>
  <c r="F38" i="39" s="1"/>
  <c r="F9" i="39"/>
  <c r="O9" i="39" s="1"/>
  <c r="D19" i="23"/>
  <c r="C8" i="23"/>
  <c r="F12" i="13"/>
  <c r="F15" i="13" s="1"/>
  <c r="M26" i="11"/>
  <c r="B13" i="15"/>
  <c r="B40" i="17" s="1"/>
  <c r="B18" i="14"/>
  <c r="B17" i="14"/>
  <c r="B12" i="15" s="1"/>
  <c r="B39" i="17" s="1"/>
  <c r="D8" i="14"/>
  <c r="C26" i="23" l="1"/>
  <c r="B70" i="39"/>
  <c r="C78" i="39" s="1"/>
  <c r="M56" i="39"/>
  <c r="C37" i="39"/>
  <c r="F37" i="39" s="1"/>
  <c r="B57" i="39"/>
  <c r="G66" i="37"/>
  <c r="F67" i="37"/>
  <c r="F23" i="37"/>
  <c r="F54" i="39"/>
  <c r="L54" i="39" s="1"/>
  <c r="C15" i="27"/>
  <c r="C16" i="27" s="1"/>
  <c r="G29" i="35"/>
  <c r="G31" i="35" s="1"/>
  <c r="J24" i="35"/>
  <c r="J32" i="35"/>
  <c r="K29" i="35"/>
  <c r="N56" i="39"/>
  <c r="D15" i="34"/>
  <c r="C86" i="39"/>
  <c r="D49" i="34"/>
  <c r="D36" i="34"/>
  <c r="C19" i="23"/>
  <c r="C8" i="24"/>
  <c r="C6" i="25" s="1"/>
  <c r="C6" i="27" s="1"/>
  <c r="C7" i="28" s="1"/>
  <c r="B50" i="17"/>
  <c r="B14" i="18"/>
  <c r="B10" i="16" s="1"/>
  <c r="B23" i="19" s="1"/>
  <c r="B13" i="18"/>
  <c r="B9" i="16" s="1"/>
  <c r="B20" i="16" s="1"/>
  <c r="B33" i="16" s="1"/>
  <c r="B49" i="17"/>
  <c r="J29" i="35" l="1"/>
  <c r="J31" i="35" s="1"/>
  <c r="C56" i="39"/>
  <c r="F56" i="39" s="1"/>
  <c r="D78" i="39"/>
  <c r="D32" i="34"/>
  <c r="D40" i="34" s="1"/>
  <c r="F68" i="37"/>
  <c r="G67" i="37"/>
  <c r="G23" i="37"/>
  <c r="F24" i="37"/>
  <c r="B13" i="22"/>
  <c r="B21" i="16"/>
  <c r="B34" i="16" s="1"/>
  <c r="B44" i="16" s="1"/>
  <c r="B43" i="16"/>
  <c r="B22" i="19"/>
  <c r="D57" i="39" l="1"/>
  <c r="F69" i="37"/>
  <c r="G68" i="37"/>
  <c r="F25" i="37"/>
  <c r="B26" i="21"/>
  <c r="B12" i="22"/>
  <c r="F70" i="37" l="1"/>
  <c r="E70" i="37" s="1"/>
  <c r="F26" i="37"/>
  <c r="G25" i="37"/>
  <c r="F71" i="37" l="1"/>
  <c r="F72" i="37" s="1"/>
  <c r="F73" i="37" s="1"/>
  <c r="F27" i="37"/>
  <c r="G26" i="37"/>
  <c r="G71" i="37" l="1"/>
  <c r="F74" i="37"/>
  <c r="F28" i="37"/>
  <c r="E28" i="37" s="1"/>
  <c r="G27" i="37"/>
  <c r="F75" i="37" l="1"/>
  <c r="G74" i="37"/>
  <c r="G72" i="37"/>
  <c r="G73" i="37"/>
  <c r="F29" i="37"/>
  <c r="F76" i="37" l="1"/>
  <c r="G75" i="37"/>
  <c r="F30" i="37"/>
  <c r="G29" i="37"/>
  <c r="F77" i="37" l="1"/>
  <c r="G76" i="37"/>
  <c r="F31" i="37"/>
  <c r="G30" i="37"/>
  <c r="G77" i="37" l="1"/>
  <c r="F78" i="37"/>
  <c r="F32" i="37"/>
  <c r="E32" i="37" s="1"/>
  <c r="G31" i="37"/>
  <c r="F79" i="37" l="1"/>
  <c r="G78" i="37"/>
  <c r="F33" i="37"/>
  <c r="F80" i="37" l="1"/>
  <c r="G79" i="37"/>
  <c r="F34" i="37"/>
  <c r="G33" i="37"/>
  <c r="F81" i="37" l="1"/>
  <c r="G80" i="37"/>
  <c r="F35" i="37"/>
  <c r="G34" i="37"/>
  <c r="G81" i="37" l="1"/>
  <c r="F82" i="37"/>
  <c r="F36" i="37"/>
  <c r="G35" i="37"/>
  <c r="G82" i="37" l="1"/>
  <c r="F83" i="37"/>
  <c r="G36" i="37"/>
  <c r="F37" i="37"/>
  <c r="F84" i="37" l="1"/>
  <c r="G83" i="37"/>
  <c r="F38" i="37"/>
  <c r="E38" i="37" s="1"/>
  <c r="G37" i="37"/>
  <c r="F85" i="37" l="1"/>
  <c r="G84" i="37"/>
  <c r="F39" i="37"/>
  <c r="G85" i="37" l="1"/>
  <c r="F86" i="37"/>
  <c r="F40" i="37"/>
  <c r="G39" i="37"/>
  <c r="F87" i="37" l="1"/>
  <c r="G86" i="37"/>
  <c r="G40" i="37"/>
  <c r="F41" i="37"/>
  <c r="G87" i="37" l="1"/>
  <c r="F88" i="37"/>
  <c r="E88" i="37" s="1"/>
  <c r="F42" i="37"/>
  <c r="G41" i="37"/>
  <c r="G42" i="37" l="1"/>
  <c r="F43" i="37"/>
  <c r="F44" i="37" l="1"/>
  <c r="G43" i="37"/>
  <c r="F45" i="37" l="1"/>
  <c r="G44" i="37"/>
  <c r="F46" i="37" l="1"/>
  <c r="G45" i="37"/>
  <c r="G46" i="37" l="1"/>
  <c r="F47" i="37"/>
  <c r="G47" i="37" l="1"/>
  <c r="F48" i="37"/>
  <c r="G48" i="37" l="1"/>
  <c r="F49" i="37"/>
  <c r="G49" i="37" l="1"/>
  <c r="F50" i="37"/>
  <c r="F51" i="37" l="1"/>
  <c r="G50" i="37"/>
  <c r="F52" i="37" l="1"/>
  <c r="G51" i="37"/>
  <c r="F53" i="37" l="1"/>
  <c r="G52" i="37"/>
  <c r="G53" i="37" l="1"/>
  <c r="F54" i="37"/>
  <c r="G54" i="37" l="1"/>
  <c r="F55" i="37"/>
  <c r="F56" i="37" l="1"/>
  <c r="G55" i="37"/>
  <c r="G56" i="37" l="1"/>
  <c r="F57" i="37"/>
  <c r="G57" i="37" s="1"/>
  <c r="G22" i="37"/>
  <c r="D21" i="11"/>
  <c r="A34" i="11"/>
  <c r="C21" i="11"/>
  <c r="D31" i="1"/>
  <c r="C45" i="9"/>
  <c r="D39" i="1" l="1"/>
  <c r="D80" i="1" s="1"/>
  <c r="B13" i="39"/>
  <c r="C59" i="9"/>
  <c r="B22" i="39" l="1"/>
  <c r="B23" i="39" s="1"/>
  <c r="F13" i="39"/>
  <c r="L13" i="39" s="1"/>
  <c r="L56" i="39" s="1"/>
  <c r="B65" i="39" l="1"/>
  <c r="O56" i="39"/>
  <c r="B39" i="39"/>
  <c r="F23" i="39"/>
  <c r="D88" i="39" l="1"/>
  <c r="O57" i="39"/>
  <c r="D22" i="34"/>
  <c r="D24" i="34" s="1"/>
  <c r="D53" i="34" s="1"/>
  <c r="C68" i="39"/>
  <c r="C88" i="39" l="1"/>
  <c r="C90" i="39" s="1"/>
  <c r="E90" i="39" s="1"/>
  <c r="D28" i="34"/>
  <c r="D55" i="34"/>
  <c r="E88" i="39" l="1"/>
  <c r="D58" i="34"/>
  <c r="D5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00000000-0006-0000-06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La Casa de Bolsa brinda servicios de INTERMEDIACION 
</t>
        </r>
        <r>
          <rPr>
            <sz val="10"/>
            <color indexed="8"/>
            <rFont val="Tahoma"/>
            <family val="2"/>
          </rPr>
          <t xml:space="preserve">Por ello los ingresos netos:
</t>
        </r>
        <r>
          <rPr>
            <sz val="10"/>
            <color indexed="8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00000000-0006-0000-0600-000002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sharedStrings.xml><?xml version="1.0" encoding="utf-8"?>
<sst xmlns="http://schemas.openxmlformats.org/spreadsheetml/2006/main" count="1854" uniqueCount="1040">
  <si>
    <t>INVESTOR CASA DE BOLSA S.A.</t>
  </si>
  <si>
    <t>Fecha Presentación:</t>
  </si>
  <si>
    <t>INDICE</t>
  </si>
  <si>
    <t>REF.</t>
  </si>
  <si>
    <t>Balance General</t>
  </si>
  <si>
    <t>Cuadro de Resultados</t>
  </si>
  <si>
    <t>Flujo de Efectivo</t>
  </si>
  <si>
    <t>Calculo de IRACIS</t>
  </si>
  <si>
    <t>Balance del Sistema</t>
  </si>
  <si>
    <t>Informe del Sindico</t>
  </si>
  <si>
    <t>Informe del Auditor Externo</t>
  </si>
  <si>
    <t>Memoria del Directorio</t>
  </si>
  <si>
    <t>Nota 1- Consideraciones de EEFF</t>
  </si>
  <si>
    <t>e. Inversiones</t>
  </si>
  <si>
    <t>i. Bienes Intangibles</t>
  </si>
  <si>
    <t>j. Otros Activos</t>
  </si>
  <si>
    <t>n. Administración de Carteras</t>
  </si>
  <si>
    <t>s. Resultados con Relacionadas</t>
  </si>
  <si>
    <t>u. Previsiones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</si>
  <si>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</si>
  <si>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</si>
  <si>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</si>
  <si>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</si>
  <si>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</si>
  <si>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</si>
  <si>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</si>
  <si>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</si>
  <si>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</si>
  <si>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</si>
  <si>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</si>
  <si>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</si>
  <si>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</si>
  <si>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</si>
  <si>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</si>
  <si>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</si>
  <si>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ACTIVO CORRIENTE Nota 5 a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</si>
  <si>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</si>
  <si>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</si>
  <si>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</si>
  <si>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</si>
  <si>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</si>
  <si>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</si>
  <si>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</si>
  <si>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Obligaciones por Administracion de Carteras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</si>
  <si>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</si>
  <si>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</si>
  <si>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</si>
  <si>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</si>
  <si>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</si>
  <si>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</si>
  <si>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</si>
  <si>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</si>
  <si>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</si>
  <si>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</si>
  <si>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</si>
  <si>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</si>
  <si>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</si>
  <si>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</si>
  <si>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</si>
  <si>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</si>
  <si>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</si>
  <si>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</si>
  <si>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</si>
  <si>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</si>
  <si>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</si>
  <si>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</si>
  <si>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</si>
  <si>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</si>
  <si>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</si>
  <si>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</si>
  <si>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</si>
  <si>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</si>
  <si>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</si>
  <si>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</si>
  <si>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1 01 15 03</t>
  </si>
  <si>
    <t>Dividendos a Pagar</t>
  </si>
  <si>
    <t>2 01 15 03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</si>
  <si>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</si>
  <si>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</si>
  <si>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</si>
  <si>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</si>
  <si>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</si>
  <si>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</si>
  <si>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</si>
  <si>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</si>
  <si>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</si>
  <si>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</si>
  <si>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</si>
  <si>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</si>
  <si>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</si>
  <si>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</si>
  <si>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</si>
  <si>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</si>
  <si>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</si>
  <si>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</si>
  <si>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</si>
  <si>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</si>
  <si>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</si>
  <si>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</si>
  <si>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</si>
  <si>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</si>
  <si>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</si>
  <si>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</si>
  <si>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Total  Pasivo no Corriente</t>
  </si>
  <si>
    <t>1 02 02 02</t>
  </si>
  <si>
    <t>Total Pasivo</t>
  </si>
  <si>
    <t>1 02 02 03</t>
  </si>
  <si>
    <t>PATRIMONIO NETO  Nota 5 t</t>
  </si>
  <si>
    <t>Capital realizado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</si>
  <si>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</si>
  <si>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</si>
  <si>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</si>
  <si>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</si>
  <si>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</si>
  <si>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</si>
  <si>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</si>
  <si>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</si>
  <si>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</si>
  <si>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</si>
  <si>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</si>
  <si>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</si>
  <si>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</si>
  <si>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</si>
  <si>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</si>
  <si>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</si>
  <si>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</si>
  <si>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Total Patrimonio Neto</t>
  </si>
  <si>
    <t>1 02 10 02</t>
  </si>
  <si>
    <t>Total Pasivo y Patrimonio Neto</t>
  </si>
  <si>
    <t>1 02 20</t>
  </si>
  <si>
    <t>Gastos de Constitución</t>
  </si>
  <si>
    <t>1 02 20 01</t>
  </si>
  <si>
    <t>Seguros Pagados por Adelantado</t>
  </si>
  <si>
    <t>1 02 20 02</t>
  </si>
  <si>
    <t>1 02 20 03</t>
  </si>
  <si>
    <t>Total Activo no Corriente</t>
  </si>
  <si>
    <t>1 02 20 04</t>
  </si>
  <si>
    <t>Total de Activos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</si>
  <si>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</si>
  <si>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</si>
  <si>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</si>
  <si>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</si>
  <si>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</si>
  <si>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</si>
  <si>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</si>
  <si>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</si>
  <si>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</si>
  <si>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</si>
  <si>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</si>
  <si>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</si>
  <si>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</si>
  <si>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</si>
  <si>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</si>
  <si>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</si>
  <si>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</si>
  <si>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</si>
  <si>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</si>
  <si>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</si>
  <si>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</si>
  <si>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</si>
  <si>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</si>
  <si>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</si>
  <si>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</si>
  <si>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</si>
  <si>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</si>
  <si>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</si>
  <si>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</si>
  <si>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</si>
  <si>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</si>
  <si>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</si>
  <si>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</si>
  <si>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</si>
  <si>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</si>
  <si>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</si>
  <si>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</si>
  <si>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</si>
  <si>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</si>
  <si>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</si>
  <si>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</si>
  <si>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</si>
  <si>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</si>
  <si>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</si>
  <si>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</si>
  <si>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</si>
  <si>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</si>
  <si>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</si>
  <si>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</si>
  <si>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</si>
  <si>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</si>
  <si>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</si>
  <si>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</si>
  <si>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</si>
  <si>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</si>
  <si>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</si>
  <si>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</si>
  <si>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</si>
  <si>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</si>
  <si>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</si>
  <si>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</si>
  <si>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</si>
  <si>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</si>
  <si>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</si>
  <si>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</si>
  <si>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</si>
  <si>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</si>
  <si>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</si>
  <si>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</si>
  <si>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</si>
  <si>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</si>
  <si>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</si>
  <si>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</si>
  <si>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</si>
  <si>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</si>
  <si>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</si>
  <si>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</si>
  <si>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</si>
  <si>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</si>
  <si>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</si>
  <si>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</si>
  <si>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</si>
  <si>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</si>
  <si>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</si>
  <si>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</si>
  <si>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</si>
  <si>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</si>
  <si>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</si>
  <si>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</si>
  <si>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</si>
  <si>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</si>
  <si>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</si>
  <si>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</si>
  <si>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</si>
  <si>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</si>
  <si>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</si>
  <si>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</si>
  <si>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</si>
  <si>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</si>
  <si>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</si>
  <si>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</si>
  <si>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</si>
  <si>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</si>
  <si>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</si>
  <si>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</si>
  <si>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</si>
  <si>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</si>
  <si>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</si>
  <si>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</si>
  <si>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</si>
  <si>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</si>
  <si>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</si>
  <si>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</si>
  <si>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</si>
  <si>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</si>
  <si>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</si>
  <si>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</si>
  <si>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</si>
  <si>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</si>
  <si>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</si>
  <si>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</si>
  <si>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</si>
  <si>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</si>
  <si>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</si>
  <si>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</si>
  <si>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</si>
  <si>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</si>
  <si>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</si>
  <si>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</si>
  <si>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</si>
  <si>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</si>
  <si>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</si>
  <si>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</si>
  <si>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</si>
  <si>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</si>
  <si>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</si>
  <si>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</si>
  <si>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</si>
  <si>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</si>
  <si>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</si>
  <si>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</si>
  <si>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</si>
  <si>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</si>
  <si>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</si>
  <si>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</si>
  <si>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</si>
  <si>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</si>
  <si>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</si>
  <si>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</si>
  <si>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</si>
  <si>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</si>
  <si>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</si>
  <si>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</si>
  <si>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</si>
  <si>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</si>
  <si>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</si>
  <si>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</si>
  <si>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</si>
  <si>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</si>
  <si>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</si>
  <si>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</si>
  <si>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</si>
  <si>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</si>
  <si>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</si>
  <si>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</si>
  <si>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</si>
  <si>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</si>
  <si>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</si>
  <si>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</si>
  <si>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</si>
  <si>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</si>
  <si>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</si>
  <si>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</si>
  <si>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</si>
  <si>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</si>
  <si>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</si>
  <si>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</si>
  <si>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</si>
  <si>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</si>
  <si>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</si>
  <si>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</si>
  <si>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</si>
  <si>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</si>
  <si>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</si>
  <si>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</si>
  <si>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</si>
  <si>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</si>
  <si>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</si>
  <si>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</si>
  <si>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</si>
  <si>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</si>
  <si>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</si>
  <si>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</si>
  <si>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</si>
  <si>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</si>
  <si>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</si>
  <si>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</si>
  <si>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</si>
  <si>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</si>
  <si>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</si>
  <si>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</si>
  <si>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</si>
  <si>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</si>
  <si>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</si>
  <si>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</si>
  <si>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</si>
  <si>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</si>
  <si>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</si>
  <si>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</si>
  <si>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</si>
  <si>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</si>
  <si>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>Banco Familiar 22-02962092 Gs.</t>
  </si>
  <si>
    <t>Banco Familiar Comp. Usd</t>
  </si>
  <si>
    <t>Banco Gnb Gs 1-219468-002</t>
  </si>
  <si>
    <t>Banco Gnb Usd 1-219468-003</t>
  </si>
  <si>
    <t>Bancop Gs 0410022837</t>
  </si>
  <si>
    <t>Bancop Usd 0310024650</t>
  </si>
  <si>
    <t>Broker Interactive U$S</t>
  </si>
  <si>
    <t>Crisol Y Encarnacion Financiera (Cefisa) U$S</t>
  </si>
  <si>
    <t>Crisol Y Encarnacion Financiera (Cefisa)Gs</t>
  </si>
  <si>
    <t>Fic De Finanzas Gs. 0131000778</t>
  </si>
  <si>
    <t>Fic De Finanzas U$D 0131000849</t>
  </si>
  <si>
    <t>Financiera Rio 100165400-0</t>
  </si>
  <si>
    <t>Finexpar Gs 155000841</t>
  </si>
  <si>
    <t>Finexpar Usd 0192356</t>
  </si>
  <si>
    <t>Interfisa Banco Gs 874</t>
  </si>
  <si>
    <t>Interfisa Banco U$D 10208646</t>
  </si>
  <si>
    <t>Itau Cta. Cte. Gs 741</t>
  </si>
  <si>
    <t>Itau Cta. Cte. U$S -75080051-6</t>
  </si>
  <si>
    <t>Itau Cta.Cte. Gs Nº 734</t>
  </si>
  <si>
    <t>Itau Cta.Cte. U$S Nº 75080052-3</t>
  </si>
  <si>
    <t>Itau Internacional Usd 75080363-6</t>
  </si>
  <si>
    <t>Sudameris Cta. Cte. Gs 1862952</t>
  </si>
  <si>
    <t>Sudameris Cta.Cte.U$S-186295/2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</si>
  <si>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</si>
  <si>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</si>
  <si>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</si>
  <si>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</si>
  <si>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</si>
  <si>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</si>
  <si>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</si>
  <si>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</si>
  <si>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</si>
  <si>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</si>
  <si>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</si>
  <si>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</si>
  <si>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</si>
  <si>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</si>
  <si>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</si>
  <si>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</si>
  <si>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</si>
  <si>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</si>
  <si>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</si>
  <si>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</si>
  <si>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</si>
  <si>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</si>
  <si>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</si>
  <si>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Deudores empresas relacionadas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</si>
  <si>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</si>
  <si>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</si>
  <si>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</si>
  <si>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</si>
  <si>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</si>
  <si>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</si>
  <si>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</si>
  <si>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</si>
  <si>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</si>
  <si>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</si>
  <si>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</si>
  <si>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</si>
  <si>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</si>
  <si>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</si>
  <si>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</si>
  <si>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</si>
  <si>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</si>
  <si>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</si>
  <si>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</si>
  <si>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</si>
  <si>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</si>
  <si>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</si>
  <si>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</si>
  <si>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</si>
  <si>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</si>
  <si>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</si>
  <si>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</si>
  <si>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</si>
  <si>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</si>
  <si>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</si>
  <si>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</si>
  <si>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</si>
  <si>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</si>
  <si>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</si>
  <si>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</si>
  <si>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</si>
  <si>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</si>
  <si>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</si>
  <si>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</si>
  <si>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</si>
  <si>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</si>
  <si>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</si>
  <si>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</si>
  <si>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</si>
  <si>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</si>
  <si>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</si>
  <si>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</si>
  <si>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</si>
  <si>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</si>
  <si>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</si>
  <si>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</si>
  <si>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</si>
  <si>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</si>
  <si>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</si>
  <si>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</si>
  <si>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</si>
  <si>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Director y Accionista</t>
  </si>
  <si>
    <t>Funcionaria</t>
  </si>
  <si>
    <t>ANTIGÜEDAD DE LA DEUDA</t>
  </si>
  <si>
    <t>PERSONA O EMPRESA RELACIONADA</t>
  </si>
  <si>
    <t>Total Ingresos</t>
  </si>
  <si>
    <t>Total Egresos</t>
  </si>
  <si>
    <t>Edge S.A.</t>
  </si>
  <si>
    <t>Codesarrollos S.A.</t>
  </si>
  <si>
    <t>Investor AFPI SA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</si>
  <si>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</si>
  <si>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</si>
  <si>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</si>
  <si>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</si>
  <si>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</si>
  <si>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</si>
  <si>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</si>
  <si>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</si>
  <si>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</si>
  <si>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</si>
  <si>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</si>
  <si>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</si>
  <si>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</si>
  <si>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</si>
  <si>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</si>
  <si>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</si>
  <si>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</si>
  <si>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</si>
  <si>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</si>
  <si>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</si>
  <si>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</si>
  <si>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</si>
  <si>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</si>
  <si>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</si>
  <si>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</si>
  <si>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</si>
  <si>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</si>
  <si>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</si>
  <si>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</si>
  <si>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</si>
  <si>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</si>
  <si>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</si>
  <si>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</si>
  <si>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</si>
  <si>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</si>
  <si>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</si>
  <si>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Rolando Natalizia</t>
  </si>
  <si>
    <t>Anibal Acosta</t>
  </si>
  <si>
    <t>Ingresos por Operaciones y Servicios Extrabursatiles</t>
  </si>
  <si>
    <t>BALANCE GENERAL</t>
  </si>
  <si>
    <t>REVALORIZAC</t>
  </si>
  <si>
    <t>Investor no ha reconocido en este Ejercicio los resultados de sus subsidiarias en sus Estados de Resultado Individual.</t>
  </si>
  <si>
    <t>Banco Nacional de Fomento U$S</t>
  </si>
  <si>
    <t>Itau Cta Cte. Gs  571</t>
  </si>
  <si>
    <t>Market Data SA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</si>
  <si>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</si>
  <si>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</si>
  <si>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</si>
  <si>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</si>
  <si>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Balance Final </t>
  </si>
  <si>
    <r>
      <t>a)</t>
    </r>
    <r>
      <rPr>
        <b/>
        <sz val="9"/>
        <color indexed="8"/>
        <rFont val="Calibri"/>
        <family val="2"/>
      </rPr>
      <t>      Valuación en moneda extranjera</t>
    </r>
  </si>
  <si>
    <r>
      <t>b)</t>
    </r>
    <r>
      <rPr>
        <b/>
        <sz val="9"/>
        <color indexed="8"/>
        <rFont val="Calibri"/>
        <family val="2"/>
      </rPr>
      <t>       Posición en moneda extranjera</t>
    </r>
  </si>
  <si>
    <r>
      <t>C)</t>
    </r>
    <r>
      <rPr>
        <b/>
        <sz val="9"/>
        <color indexed="8"/>
        <rFont val="Calibri"/>
        <family val="2"/>
      </rPr>
      <t>      Diferencia de cambio en moneda extranjera.</t>
    </r>
  </si>
  <si>
    <r>
      <t>j)</t>
    </r>
    <r>
      <rPr>
        <b/>
        <sz val="9"/>
        <color indexed="8"/>
        <rFont val="Calibri"/>
        <family val="2"/>
      </rPr>
      <t>       Otros Activos Corrientes y No Corrientes</t>
    </r>
  </si>
  <si>
    <r>
      <t>k)</t>
    </r>
    <r>
      <rPr>
        <b/>
        <sz val="9"/>
        <color indexed="8"/>
        <rFont val="Calibri"/>
        <family val="2"/>
      </rPr>
      <t>       Préstamos Financieros a corto y a largo plazo.</t>
    </r>
  </si>
  <si>
    <r>
      <t>l)</t>
    </r>
    <r>
      <rPr>
        <b/>
        <sz val="9"/>
        <color indexed="8"/>
        <rFont val="Calibri"/>
        <family val="2"/>
      </rPr>
      <t>       Documentos y cuentas por pagar (Corto y largo plazo)</t>
    </r>
  </si>
  <si>
    <r>
      <t>n)</t>
    </r>
    <r>
      <rPr>
        <b/>
        <sz val="9"/>
        <color indexed="8"/>
        <rFont val="Calibri"/>
        <family val="2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</si>
  <si>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</si>
  <si>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</si>
  <si>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</rPr>
      <t>       Otros Pasivos Corrientes y No Corrientes</t>
    </r>
  </si>
  <si>
    <r>
      <t>u)</t>
    </r>
    <r>
      <rPr>
        <b/>
        <sz val="9"/>
        <color indexed="8"/>
        <rFont val="Calibri"/>
        <family val="2"/>
      </rPr>
      <t xml:space="preserve">       Previsiones </t>
    </r>
  </si>
  <si>
    <t>Basa 139-5 Usd</t>
  </si>
  <si>
    <t>Obligaciones  por Contratos de Underwriting</t>
  </si>
  <si>
    <t>INVERSIONES TEMPORARIAS</t>
  </si>
  <si>
    <t>Ingresos por Administracion de Carteras</t>
  </si>
  <si>
    <t>Ingresos por Custodia de Valores</t>
  </si>
  <si>
    <t>Acciones</t>
  </si>
  <si>
    <r>
      <t>2.1</t>
    </r>
    <r>
      <rPr>
        <b/>
        <sz val="9"/>
        <color indexed="8"/>
        <rFont val="Calibri"/>
        <family val="2"/>
      </rPr>
      <t>              Naturaleza jurídica de las actividades de la sociedad</t>
    </r>
  </si>
  <si>
    <r>
      <t>INVESTOR CASA DE BOLSA S.A</t>
    </r>
    <r>
      <rPr>
        <sz val="9"/>
        <color indexed="8"/>
        <rFont val="Calibri"/>
        <family val="2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</si>
  <si>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r>
      <t>2.2</t>
    </r>
    <r>
      <rPr>
        <b/>
        <sz val="9"/>
        <color indexed="8"/>
        <rFont val="Calibri"/>
        <family val="2"/>
      </rPr>
      <t>   Participación en empresas vinculadas</t>
    </r>
  </si>
  <si>
    <r>
      <t>3.4.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Depreciación de bienes de uso</t>
    </r>
  </si>
  <si>
    <t xml:space="preserve"> -   </t>
  </si>
  <si>
    <t>Procampo</t>
  </si>
  <si>
    <t>Acreedores por Intermediación. Nota 5 m</t>
  </si>
  <si>
    <t>Cuentas por Pagar a Personas y Emp. Relacionadas. Nota o</t>
  </si>
  <si>
    <t>PROVISIONES. Nota q</t>
  </si>
  <si>
    <t>Provisiones varias</t>
  </si>
  <si>
    <t>Investor Afpisa</t>
  </si>
  <si>
    <t>Incubate Sa</t>
  </si>
  <si>
    <t>Albaro Acosta</t>
  </si>
  <si>
    <t>Investor Real Estate S.A</t>
  </si>
  <si>
    <t>Federico Sebastian Oporto</t>
  </si>
  <si>
    <t>Fabio Zarza</t>
  </si>
  <si>
    <t>Adrian Aponte</t>
  </si>
  <si>
    <t>Federico Callizo Pecci</t>
  </si>
  <si>
    <t xml:space="preserve">Market Data </t>
  </si>
  <si>
    <r>
      <t>a)</t>
    </r>
    <r>
      <rPr>
        <b/>
        <sz val="9"/>
        <color indexed="8"/>
        <rFont val="Calibri"/>
        <family val="2"/>
      </rPr>
      <t>        Compromisos Directos</t>
    </r>
  </si>
  <si>
    <r>
      <t>b)</t>
    </r>
    <r>
      <rPr>
        <b/>
        <sz val="9"/>
        <color indexed="8"/>
        <rFont val="Calibri"/>
        <family val="2"/>
      </rPr>
      <t>        Contingencias Legales</t>
    </r>
  </si>
  <si>
    <r>
      <t>c)</t>
    </r>
    <r>
      <rPr>
        <b/>
        <sz val="9"/>
        <color indexed="8"/>
        <rFont val="Calibri"/>
        <family val="2"/>
      </rPr>
      <t>        Garantías Constituidas</t>
    </r>
  </si>
  <si>
    <t>Identificación</t>
  </si>
  <si>
    <t>INVESTOR CASA DE BOLSA S.A., R.U.C.: 80060213-7</t>
  </si>
  <si>
    <t>E-mail: aacosta@investor.com.py</t>
  </si>
  <si>
    <t>Antecedentes de la Constitución de la Sociedad y Reformas Estatutarias</t>
  </si>
  <si>
    <t>Administración</t>
  </si>
  <si>
    <t>Auditor Externo Independiente</t>
  </si>
  <si>
    <t>Personas Vinculadas</t>
  </si>
  <si>
    <t>Nombres y Apellidos</t>
  </si>
  <si>
    <t>Cargo</t>
  </si>
  <si>
    <t>Federico Sebastián Oporto Leiva</t>
  </si>
  <si>
    <t>Accionista/Presidente</t>
  </si>
  <si>
    <t>Accionista/Vice -Presidente</t>
  </si>
  <si>
    <t>Albaro José Acosta Ferreira</t>
  </si>
  <si>
    <t>Accionista/Director Titular</t>
  </si>
  <si>
    <t>Ana Cristina Neffa Persano</t>
  </si>
  <si>
    <t>Director Titular</t>
  </si>
  <si>
    <t>Fabio Daniel Zarza</t>
  </si>
  <si>
    <t>Juan José Talavera Saguier</t>
  </si>
  <si>
    <t>Síndico titular</t>
  </si>
  <si>
    <t>Oficial de cumplimiento</t>
  </si>
  <si>
    <t>Operador</t>
  </si>
  <si>
    <t>Auditor Interno</t>
  </si>
  <si>
    <t>Acciones en Empresas</t>
  </si>
  <si>
    <t>% Participación</t>
  </si>
  <si>
    <t>Investor AFPISA</t>
  </si>
  <si>
    <t>Market Data</t>
  </si>
  <si>
    <t>Capital y Propiedad:</t>
  </si>
  <si>
    <t xml:space="preserve">Codesarrollos 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</si>
  <si>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</si>
  <si>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</si>
  <si>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</si>
  <si>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</si>
  <si>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</si>
  <si>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</si>
  <si>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Albaro Acosta - Director</t>
  </si>
  <si>
    <t>Federico Sebastián Oporto Leiva Espínola - Director</t>
  </si>
  <si>
    <t>Federico Callizo-Director</t>
  </si>
  <si>
    <t>Procampo SA</t>
  </si>
  <si>
    <t>Fabio Zarza Director</t>
  </si>
  <si>
    <t>Ana Neffa - Director</t>
  </si>
  <si>
    <t>Ingresos por intereses de Cartera propia - Empresas y Personas Relacionadas</t>
  </si>
  <si>
    <t>Nro.</t>
  </si>
  <si>
    <t>Accionista</t>
  </si>
  <si>
    <t>Serie</t>
  </si>
  <si>
    <t>Del Número</t>
  </si>
  <si>
    <t>Al Número</t>
  </si>
  <si>
    <t>Cantidad de Acciones</t>
  </si>
  <si>
    <t>Clase</t>
  </si>
  <si>
    <t>Votos</t>
  </si>
  <si>
    <t>Monto</t>
  </si>
  <si>
    <t>Albaro Jose Acosta Ferreira</t>
  </si>
  <si>
    <t>Ordinaria Nominativa</t>
  </si>
  <si>
    <t>Anibal David Acosta Ferreira</t>
  </si>
  <si>
    <t>Rolando Jose Natalizia Nasser</t>
  </si>
  <si>
    <t>Federico Sebastian Oporto Leiva Espinola</t>
  </si>
  <si>
    <t>Voto</t>
  </si>
  <si>
    <t>La composición de los fondos disponibles en Bancos, es como sigue:</t>
  </si>
  <si>
    <t xml:space="preserve">Otros Activos </t>
  </si>
  <si>
    <t xml:space="preserve">Investor Casa de Bolsa. S.A. posee Acciones de la Empresa Market Data S.A., constituida en Asunción-Paraguay, por valor de Gs. 499.000.000 que representan el 99,80 % del Capital Social. </t>
  </si>
  <si>
    <t>Investor Casa de Bolsa. S.A. ha adquirido Acciones de la Empresa Codesarrollos S.A., constituida en Asunción-Paraguay, por precio pagado de Gs. 5.498.595.000 que representan una participación del 70% del Capital Social.  Valor Nominal de las Acciones adquiridas Gs. 1.050.000.000-</t>
  </si>
  <si>
    <t>Domicilio</t>
  </si>
  <si>
    <t>Actividad</t>
  </si>
  <si>
    <t>Brasilia 764-Asunción</t>
  </si>
  <si>
    <t>Comunicaciones</t>
  </si>
  <si>
    <t>Admin de Fondos</t>
  </si>
  <si>
    <t>Admin. Estab. Ganad</t>
  </si>
  <si>
    <t>Cuadro del Capital Suscripto</t>
  </si>
  <si>
    <t>DOCUMENTOS Y CUENTAS A PAGAR</t>
  </si>
  <si>
    <t>INVERSIONES TEMPORARIAS  NOTA 5 E</t>
  </si>
  <si>
    <t xml:space="preserve">RESULTADOS   </t>
  </si>
  <si>
    <t>Valor Llave Compra Acciones en Emp.</t>
  </si>
  <si>
    <t>Dividendos  Cobrados</t>
  </si>
  <si>
    <t>CAMBIO CIERRE PERIODO ACTUAL GUARANIES</t>
  </si>
  <si>
    <t>CAMBIO CIERRE PERIODO ANTERIOR GUARANIES</t>
  </si>
  <si>
    <t xml:space="preserve">CAMBIO CIERRE PERIODO ACTUAL </t>
  </si>
  <si>
    <t xml:space="preserve">CAMBIO CIERRE PERIODO ANTERIOR </t>
  </si>
  <si>
    <t>TOTAL BANCOS</t>
  </si>
  <si>
    <t xml:space="preserve">BANCOS </t>
  </si>
  <si>
    <t xml:space="preserve">Caja </t>
  </si>
  <si>
    <t>Fondo Fijo</t>
  </si>
  <si>
    <t>Banco Regional Cta Comp. Usd 369</t>
  </si>
  <si>
    <t>Vision Banco Cta.Cte Usd 123</t>
  </si>
  <si>
    <t>Continental Cta.Cte.U$S 306</t>
  </si>
  <si>
    <t>Atlas Cta Comp Usd 950</t>
  </si>
  <si>
    <t>Financiera Rio Saeca U$S 009</t>
  </si>
  <si>
    <t>Solar S.A. De Ahorro Y Prestamo U$D 353</t>
  </si>
  <si>
    <t>Financiera Paraguaya Japonesa U$S 065</t>
  </si>
  <si>
    <t>Bco. Familiar Comp. Gs-761</t>
  </si>
  <si>
    <t>Vision Banco Cta.Cte.Gs 116</t>
  </si>
  <si>
    <t>Continental Cta.Cte.Gs 205</t>
  </si>
  <si>
    <t>Atlas Gs. 256</t>
  </si>
  <si>
    <t>Basa Gs 599</t>
  </si>
  <si>
    <t>Banco Nacional de Fomento Gs 626</t>
  </si>
  <si>
    <t>Solar S.A. De Ahorro Y Prestamo Gs. 352</t>
  </si>
  <si>
    <t>Financiera Paraguaya Japonesa Gs. 064</t>
  </si>
  <si>
    <t>La composición de los fondos disponibles en Caja y Recaudaciones a Depositar, es como sigue:</t>
  </si>
  <si>
    <t>TOTAL CAJA/RECAUDACIONES A DEPOSITAR</t>
  </si>
  <si>
    <r>
      <t>d)</t>
    </r>
    <r>
      <rPr>
        <b/>
        <sz val="12"/>
        <color indexed="8"/>
        <rFont val="Calibri"/>
        <family val="2"/>
      </rPr>
      <t>       Disponibilidades</t>
    </r>
  </si>
  <si>
    <t>Accion</t>
  </si>
  <si>
    <t>VALOR DE MERCADO</t>
  </si>
  <si>
    <t>TITULOS DE RENTA VARIABLE</t>
  </si>
  <si>
    <t>Acciones en  Market Data SA</t>
  </si>
  <si>
    <t>Acciones en AFPISA</t>
  </si>
  <si>
    <t>Acciones en Procampo Gerenciamientos SA</t>
  </si>
  <si>
    <t>Acciones en  Codesarrollos SA</t>
  </si>
  <si>
    <t>Accion en BVPASA</t>
  </si>
  <si>
    <t xml:space="preserve"> UNITARIO</t>
  </si>
  <si>
    <t>VALOR DE</t>
  </si>
  <si>
    <t xml:space="preserve"> COTIZACION</t>
  </si>
  <si>
    <t xml:space="preserve">VALOR NOMINAL </t>
  </si>
  <si>
    <t xml:space="preserve">VALOR </t>
  </si>
  <si>
    <t>DE COTIZACION</t>
  </si>
  <si>
    <t>DOCUMENTOS Y  CUENTAS A COBRAR</t>
  </si>
  <si>
    <t>CUENTAS POR COBRAR A PERSONAS Y EMP. RELACIONADAS</t>
  </si>
  <si>
    <t>f)       Créditos</t>
  </si>
  <si>
    <t>Balance Gral. Resol. 6'!A1</t>
  </si>
  <si>
    <t>Balance Gral. Resol. 30'!A1</t>
  </si>
  <si>
    <t xml:space="preserve">Intereses a Vencer -  </t>
  </si>
  <si>
    <t>GASTOS NO DEVENGADOS - Nota 5 h</t>
  </si>
  <si>
    <t xml:space="preserve">Seguros a Vencer </t>
  </si>
  <si>
    <t xml:space="preserve">Garantía de Alquiler  </t>
  </si>
  <si>
    <t>GASTOS NO DEVENGADOS  - Nota 5 j</t>
  </si>
  <si>
    <r>
      <t>h)</t>
    </r>
    <r>
      <rPr>
        <b/>
        <sz val="12"/>
        <color indexed="8"/>
        <rFont val="Calibri"/>
        <family val="2"/>
      </rPr>
      <t>       Cargos Diferidos</t>
    </r>
  </si>
  <si>
    <t>Se componen de la siguiente manera;</t>
  </si>
  <si>
    <t>Cuentas a cobrar a Directores y Accionistas</t>
  </si>
  <si>
    <t>DEUDORES VARIOS</t>
  </si>
  <si>
    <t>Garantia de Alquiler - Estacionamiento</t>
  </si>
  <si>
    <r>
      <t>g)</t>
    </r>
    <r>
      <rPr>
        <b/>
        <sz val="12"/>
        <color indexed="8"/>
        <rFont val="Calibri"/>
        <family val="2"/>
      </rPr>
      <t>      Bienes de Uso</t>
    </r>
  </si>
  <si>
    <t>Los saldos de la cuentas estan compuestas como siguen;</t>
  </si>
  <si>
    <t>i)   Intangibles</t>
  </si>
  <si>
    <t>Las cuentas que la componen son las siguientes;</t>
  </si>
  <si>
    <t>Valor llave por compra Acciones Codesa</t>
  </si>
  <si>
    <t>Diferencia entre el Precio de Venta y el Valor nominal</t>
  </si>
  <si>
    <t>Licencia de windows</t>
  </si>
  <si>
    <t>Prestamos Bancarios</t>
  </si>
  <si>
    <t>IPS a pagar</t>
  </si>
  <si>
    <t>S/Vcto</t>
  </si>
  <si>
    <t>Cattle SA</t>
  </si>
  <si>
    <t>Be Live SA</t>
  </si>
  <si>
    <r>
      <t>v)</t>
    </r>
    <r>
      <rPr>
        <b/>
        <sz val="12"/>
        <color indexed="8"/>
        <rFont val="Calibri"/>
        <family val="2"/>
      </rPr>
      <t>       Ingresos Operativos</t>
    </r>
  </si>
  <si>
    <t>Estado de Resultado Resol. 30'!A1</t>
  </si>
  <si>
    <t>Ingresos Operativos - Nota v</t>
  </si>
  <si>
    <t>Gastos de Comercialización -Nota w</t>
  </si>
  <si>
    <t>Gastos Operativos - Nota W</t>
  </si>
  <si>
    <r>
      <t>x)</t>
    </r>
    <r>
      <rPr>
        <b/>
        <sz val="12"/>
        <color indexed="8"/>
        <rFont val="Calibri"/>
        <family val="2"/>
      </rPr>
      <t>       Otros Ingresos y Egresos</t>
    </r>
  </si>
  <si>
    <t>Resultados financieros Nota y</t>
  </si>
  <si>
    <t>Otros ingresos y Egresos - Nota x</t>
  </si>
  <si>
    <r>
      <t>y)</t>
    </r>
    <r>
      <rPr>
        <b/>
        <sz val="12"/>
        <color indexed="8"/>
        <rFont val="Calibri"/>
        <family val="2"/>
      </rPr>
      <t>       Resultados Financieros</t>
    </r>
  </si>
  <si>
    <r>
      <t xml:space="preserve">z)  </t>
    </r>
    <r>
      <rPr>
        <b/>
        <sz val="12"/>
        <color indexed="8"/>
        <rFont val="Calibri"/>
        <family val="2"/>
      </rPr>
      <t xml:space="preserve">Resultados Extraordinarios </t>
    </r>
  </si>
  <si>
    <t>Resultados  extraordinarias -Nota z</t>
  </si>
  <si>
    <r>
      <t>S)</t>
    </r>
    <r>
      <rPr>
        <b/>
        <sz val="12"/>
        <color indexed="8"/>
        <rFont val="Calibri"/>
        <family val="2"/>
      </rPr>
      <t>       Resultados con Personas y Empresas Vinculadas</t>
    </r>
  </si>
  <si>
    <t>Intereses Diferidos M/L</t>
  </si>
  <si>
    <t>OTROS PASIVOS - Nota q</t>
  </si>
  <si>
    <t>Las 25 notas que se acompañan forman parte integrante de los Estados Financieros</t>
  </si>
  <si>
    <t>N/A</t>
  </si>
  <si>
    <t>Constructora</t>
  </si>
  <si>
    <t>N.º de Documento</t>
  </si>
  <si>
    <t>Estado de Variación Patrimonial</t>
  </si>
  <si>
    <t>Nota 2 - Información de la Empresa</t>
  </si>
  <si>
    <t>Nota 3 - Principales Políticas y Practicas Contables</t>
  </si>
  <si>
    <t>Nota 4 - Cambio de Políticas y Proceda. Contables</t>
  </si>
  <si>
    <t>Nota 5 - Criterios Específicos de Valuación</t>
  </si>
  <si>
    <t>a. Valuación Moneda Extranjera</t>
  </si>
  <si>
    <t>posición Moneda Extranjera</t>
  </si>
  <si>
    <t>diferencia de cambio</t>
  </si>
  <si>
    <t>d. Disponibilidades</t>
  </si>
  <si>
    <t>créditos</t>
  </si>
  <si>
    <t>g. Bienes de Cambio</t>
  </si>
  <si>
    <t>cargos Diferidos</t>
  </si>
  <si>
    <t xml:space="preserve">préstamos </t>
  </si>
  <si>
    <t>documentos y Ctas a Cobrar</t>
  </si>
  <si>
    <t>acreedores por Intermediación</t>
  </si>
  <si>
    <t>o. Cuentas a Pagar - Relacionadas -</t>
  </si>
  <si>
    <t>obligaciones Contrato de Underwriting</t>
  </si>
  <si>
    <t>otros Pasivos</t>
  </si>
  <si>
    <t>r. Saldos y Transacciones - Relacionadas -</t>
  </si>
  <si>
    <t>patrimonio</t>
  </si>
  <si>
    <t>ingresos Operativos</t>
  </si>
  <si>
    <t>w. Otros Gastos Operativos</t>
  </si>
  <si>
    <t>contingencias Legales</t>
  </si>
  <si>
    <t>garantías Constituidas</t>
  </si>
  <si>
    <t>ANEXO F DE LA RESOLUCION N.º 30/21</t>
  </si>
  <si>
    <t>Información Gral de la Empresa</t>
  </si>
  <si>
    <t>Nota A Los Estados Contables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</si>
  <si>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</si>
  <si>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</si>
  <si>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</si>
  <si>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</si>
  <si>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</si>
  <si>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</si>
  <si>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</si>
  <si>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</si>
  <si>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</si>
  <si>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</si>
  <si>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</si>
  <si>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</si>
  <si>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</si>
  <si>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</si>
  <si>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</si>
  <si>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</si>
  <si>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</si>
  <si>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</si>
  <si>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</si>
  <si>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</si>
  <si>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t xml:space="preserve">Calculo De Iracis </t>
  </si>
  <si>
    <t>I-Información General De Investor Casa De Bolsa Sa</t>
  </si>
  <si>
    <t>II-Estados Financieros Basicos</t>
  </si>
  <si>
    <t>III Notas a los Estados Contables</t>
  </si>
  <si>
    <t>Rendimientos de Inversiones</t>
  </si>
  <si>
    <t>Otros Prestamos</t>
  </si>
  <si>
    <t>Valuación Inversiones Permanentes</t>
  </si>
  <si>
    <t>Otros Pasivos</t>
  </si>
  <si>
    <t>APORTES DE CAPITAL A CUENTA</t>
  </si>
  <si>
    <t>Aporte a Cuenta de Futuras Capitalizaciones</t>
  </si>
  <si>
    <t>Prima de Emision Suscriptas</t>
  </si>
  <si>
    <t>Sueldos Y Otras Remuneraciones Al Person</t>
  </si>
  <si>
    <t>Sueldos Y Jornales</t>
  </si>
  <si>
    <t>Otros Beneficios Al Personal</t>
  </si>
  <si>
    <t>Capacitacion Al Personal</t>
  </si>
  <si>
    <t>Bonificación Familiar</t>
  </si>
  <si>
    <t>Gastos De Representación</t>
  </si>
  <si>
    <t>Servicios Prestados Por Terceros</t>
  </si>
  <si>
    <t>Honorarios Profesionales</t>
  </si>
  <si>
    <t>Servicios Contratados Ire</t>
  </si>
  <si>
    <t>Servicios Personales Irp</t>
  </si>
  <si>
    <t>Agua, Luz, Teléfono E Internet</t>
  </si>
  <si>
    <t>Movilidad Y Viaticos</t>
  </si>
  <si>
    <t>Combustibles Y Lubricantes</t>
  </si>
  <si>
    <t>Reparaciones Y Mantenimientos</t>
  </si>
  <si>
    <t>Seguros Devengados</t>
  </si>
  <si>
    <t>Refrigerio Y Cafeteria</t>
  </si>
  <si>
    <t>Comunicaciones Y Propagandas</t>
  </si>
  <si>
    <t>Papeleria E Impresos</t>
  </si>
  <si>
    <t>Gastos No Deducibles</t>
  </si>
  <si>
    <t>Dominios Y Suscripciones</t>
  </si>
  <si>
    <t>Gastos de encomiendas y envíos</t>
  </si>
  <si>
    <t>Gastos Informaticos</t>
  </si>
  <si>
    <t>Gastos De Impuestos</t>
  </si>
  <si>
    <t>Iva Gnd</t>
  </si>
  <si>
    <t>Impuestos, Patentes, Tasas Y Otras Contr</t>
  </si>
  <si>
    <t>Otros Beneficios Al Personal de Ventas</t>
  </si>
  <si>
    <t>Comisiones Pagadas por Ventas</t>
  </si>
  <si>
    <t>Publicidad Y Propaganda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</si>
  <si>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</si>
  <si>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</si>
  <si>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</si>
  <si>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</si>
  <si>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</si>
  <si>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</si>
  <si>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</si>
  <si>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</si>
  <si>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</si>
  <si>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</si>
  <si>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</si>
  <si>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</si>
  <si>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</si>
  <si>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</si>
  <si>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</si>
  <si>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</si>
  <si>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</si>
  <si>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</si>
  <si>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</si>
  <si>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</si>
  <si>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</si>
  <si>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</si>
  <si>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</si>
  <si>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</si>
  <si>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</si>
  <si>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</si>
  <si>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</si>
  <si>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</si>
  <si>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</si>
  <si>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</si>
  <si>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</si>
  <si>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</si>
  <si>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</si>
  <si>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</si>
  <si>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</si>
  <si>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</si>
  <si>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</si>
  <si>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</si>
  <si>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</si>
  <si>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</si>
  <si>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</si>
  <si>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</si>
  <si>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>GASTOS DIFERIDOS O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</si>
  <si>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</si>
  <si>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</si>
  <si>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</si>
  <si>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</si>
  <si>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</si>
  <si>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DIVIDENDOS A DISTRIBUIR</t>
  </si>
  <si>
    <t>IMPUESTO A LA RENTA A PAGAR</t>
  </si>
  <si>
    <t>SUELDOS A PAGAR Y EMPRESAS RELACIONADAS</t>
  </si>
  <si>
    <t>CAPITAL INTEGRADO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</si>
  <si>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</si>
  <si>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</si>
  <si>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</si>
  <si>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</si>
  <si>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</si>
  <si>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</si>
  <si>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TOTAL PASIVO Y PATRIMONIO NETO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</si>
  <si>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</si>
  <si>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</si>
  <si>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</si>
  <si>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</si>
  <si>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</si>
  <si>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</si>
  <si>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</si>
  <si>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GASTOS DE VENTAS</t>
  </si>
  <si>
    <t>GASTOS GENERALES</t>
  </si>
  <si>
    <t>DEPRECIACIÓN Y AMORTIZACION DEL EJERCICIO</t>
  </si>
  <si>
    <t>SEGUROS</t>
  </si>
  <si>
    <t>INTERESES PAGADOS Y DEVENGADOS PRESTAMOS</t>
  </si>
  <si>
    <t xml:space="preserve">IMPUESTO A LA RENTA  </t>
  </si>
  <si>
    <t>RESULTADO DEL EJERCICIO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</si>
  <si>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</si>
  <si>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</si>
  <si>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</si>
  <si>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</si>
  <si>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</si>
  <si>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</si>
  <si>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</si>
  <si>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</si>
  <si>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</si>
  <si>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</si>
  <si>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</si>
  <si>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</si>
  <si>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</si>
  <si>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</si>
  <si>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</si>
  <si>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</si>
  <si>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</si>
  <si>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APORTE A FUTURA CAPITALIZACION(EFECTIVO) -PRIMA DE EMISION</t>
  </si>
  <si>
    <t>Pagos a proveedores y otras obligaciones comerciales</t>
  </si>
  <si>
    <t>Otros Intereses a pagar Repos</t>
  </si>
  <si>
    <t>Prestamos Repos</t>
  </si>
  <si>
    <t xml:space="preserve">Menos Amortizacion Repos con Cupones </t>
  </si>
  <si>
    <t>Presentacion</t>
  </si>
  <si>
    <t>Periodo Actual</t>
  </si>
  <si>
    <t>Resultados</t>
  </si>
  <si>
    <t>Itau Cta. Cte. Usd 3485 - Administrativa</t>
  </si>
  <si>
    <t>Itau Cta. Cte. Administrativa 338</t>
  </si>
  <si>
    <t>Bono Financiero</t>
  </si>
  <si>
    <t>Bono</t>
  </si>
  <si>
    <t>BANCO RIO S.A.E.C.A.</t>
  </si>
  <si>
    <t>Total al 31/12/2021</t>
  </si>
  <si>
    <t>Acciones en  Caja de Valores del Py SA</t>
  </si>
  <si>
    <t>Clientes Locales M/L</t>
  </si>
  <si>
    <t>Clientes Locales M/E</t>
  </si>
  <si>
    <t>Documentos a Cobrar por Operaciones Propias M/L</t>
  </si>
  <si>
    <t>Anticipos de Impuesto IRE</t>
  </si>
  <si>
    <t>Retenciones De Iva</t>
  </si>
  <si>
    <t>Retenciones IDU</t>
  </si>
  <si>
    <t xml:space="preserve">IVA - Crédito a favor - DDJJ </t>
  </si>
  <si>
    <t>Anticipos A Proveedores Locales. M/L</t>
  </si>
  <si>
    <t>Anticipos al Personal M/L</t>
  </si>
  <si>
    <t>MUEBLES Y UTILES DE OFICINA</t>
  </si>
  <si>
    <t>RODADOS</t>
  </si>
  <si>
    <t>EQUIPOS DE INFORMATICA</t>
  </si>
  <si>
    <t>EQUIPOS DE OFICINA</t>
  </si>
  <si>
    <t>INSTALACIONES</t>
  </si>
  <si>
    <t>UTILES Y ENSERES</t>
  </si>
  <si>
    <t>INMUEBLES-TERRENOS</t>
  </si>
  <si>
    <t>CONSTRUCCIONES EN CURSO</t>
  </si>
  <si>
    <t>(-) Amortizaciones de Intangibles</t>
  </si>
  <si>
    <t>CONTINENTAL</t>
  </si>
  <si>
    <t>GNB FUSION</t>
  </si>
  <si>
    <t>FONDO DE GARANTÍAS DEL PARAGUAY (FOGAPY)</t>
  </si>
  <si>
    <t>BANCO ITAU</t>
  </si>
  <si>
    <t>Intereses a Pagar  a Bancos M/L</t>
  </si>
  <si>
    <t>Intereses a Pagar  a Bancos M/E</t>
  </si>
  <si>
    <t>Intereses sobre REPOS a Pagar - M/L</t>
  </si>
  <si>
    <t>Intereses sobre REPOS a Pagar - M/E</t>
  </si>
  <si>
    <t>Proveedores Locales M/L</t>
  </si>
  <si>
    <t>Proveedores Locales M/E</t>
  </si>
  <si>
    <t>Tarjeta de Crédito- AA</t>
  </si>
  <si>
    <t>Tarjeta de Crédito- FC</t>
  </si>
  <si>
    <t>Tarjeta de Crédito- SO</t>
  </si>
  <si>
    <t>Tarjeta de Crédito- AN</t>
  </si>
  <si>
    <t>Cuentas a pagar</t>
  </si>
  <si>
    <t>Juan Jose Talavera</t>
  </si>
  <si>
    <t>Edge SA</t>
  </si>
  <si>
    <t>In Positiva</t>
  </si>
  <si>
    <t>Incubate</t>
  </si>
  <si>
    <t>Metis</t>
  </si>
  <si>
    <t>Infi SA</t>
  </si>
  <si>
    <t>Totales Resultados Financieros</t>
  </si>
  <si>
    <t>Otros Ingresos Extraordinarios</t>
  </si>
  <si>
    <t>Amortizaciones y Depreciaciones</t>
  </si>
  <si>
    <t>De acuerdo a lo previsto en el artículo 111 de la Ley 5810/17, la entidad tiene constituida como garantía la suma de U$S 100.000- , representados por 2 Certificados de Depositos de Ahorro, de U$$ 50.000 cada uno, emitidos por BANCO RIO SAECA, corresponden a la serie del titulo UH N° 0210/211 respectivamente.</t>
  </si>
  <si>
    <t>En fecha 25/11/ 2021, se constituyo prenda de certificado de deposito de ahorro - 1 CDA- a favor de BANCO ITAU  SA, en garantia de los prestamos obtenidos  con dicho banco, de USD 1.627.000. El valor del CDA en Garantia es de Gs. 18.588.866.686 . CDA ITAU SERIE BB 5846</t>
  </si>
  <si>
    <r>
      <t>NOTA 8.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LIMITACION A LA LIBRE DISPONIBILIDAD DE LOS ACTIVOS O DEL PATRIMONIO Y DE CUALQUIER RESTRICCION AL DERECHO DE PROPIEDAD.</t>
    </r>
  </si>
  <si>
    <t xml:space="preserve">Totales Creditos </t>
  </si>
  <si>
    <t>PERIODO ANTERIOR   31/12/ 2021</t>
  </si>
  <si>
    <t xml:space="preserve">Los estados Contables han sido preparados de acuerdo a la Resolución Nro. 30/21 de la Comisión Nacional de Valores, Capitulo 9 del reglamento general del Mercado de Valores. </t>
  </si>
  <si>
    <t>Son aplicados los criterios de valuación y exposición estipulados en la reglamentación general del Mercado de Valores, atendiendo el Capitulo 9, de la Resolución 30/21 de la CNV.</t>
  </si>
  <si>
    <t>GNB en Proceso de Fusion Cta.Cte. Gs 493</t>
  </si>
  <si>
    <t>GNB en Proceso de Fusion Cta.Cte. U$S-11-1705507</t>
  </si>
  <si>
    <t>Bco Regional Comp 368</t>
  </si>
  <si>
    <t>Financiera UENO SAECA Caja De Ahorros Gs</t>
  </si>
  <si>
    <t>Financiera UENO SAECA U$D 95704003</t>
  </si>
  <si>
    <t xml:space="preserve">Tu Financiera 5688382 </t>
  </si>
  <si>
    <t>Tu Financiera 9429269 USD</t>
  </si>
  <si>
    <r>
      <t>e)</t>
    </r>
    <r>
      <rPr>
        <b/>
        <sz val="9"/>
        <color indexed="8"/>
        <rFont val="Calibri"/>
        <family val="2"/>
      </rPr>
      <t>   Inversiones  Temporales y Permanentes</t>
    </r>
  </si>
  <si>
    <t>BANCO FAMILIAR S.A.E.C.A.</t>
  </si>
  <si>
    <t>NUCLEO S.A.</t>
  </si>
  <si>
    <t>BANCO ITAÚ PARAGUAY S.A.</t>
  </si>
  <si>
    <t>MINISTERIO DE HACIENDA</t>
  </si>
  <si>
    <t xml:space="preserve">BANCO ATLAS S.A. </t>
  </si>
  <si>
    <t>RENDIMIENTOS E  INTERESES A VENCER</t>
  </si>
  <si>
    <t xml:space="preserve">LC RISK MANAGEMENT S.A.E.C.A. </t>
  </si>
  <si>
    <t>COMPAÑIA ADMINISTRADORA DE RIESGOS SA</t>
  </si>
  <si>
    <t>VISION BANCO S.A.E.C.A.</t>
  </si>
  <si>
    <t>Acciones en IN FI SA</t>
  </si>
  <si>
    <t>Corresponde a cuentas por cobrar a diversos clientes. Su composición actual comparado con el ejercicio anterior, es como sigue:</t>
  </si>
  <si>
    <t>Funcionario</t>
  </si>
  <si>
    <t>Camila Montserrat Camila Venialdo</t>
  </si>
  <si>
    <t>Ivan Casamayouret</t>
  </si>
  <si>
    <t>Maria Jose Araújo Vazquez</t>
  </si>
  <si>
    <t>Gastos De Administración</t>
  </si>
  <si>
    <t>Remuneración por Servicios Personales</t>
  </si>
  <si>
    <t xml:space="preserve">Servicios Personales Independientes </t>
  </si>
  <si>
    <t>Útiles De Oficina</t>
  </si>
  <si>
    <t>Insumos y Artículos de Limpieza</t>
  </si>
  <si>
    <t xml:space="preserve">Anticipos a Clientes por Intermediacón </t>
  </si>
  <si>
    <t>Amortización con Cupones</t>
  </si>
  <si>
    <t>Anticipos de Clientes por Compra de Acciones ML</t>
  </si>
  <si>
    <t>Anticipo de Cliente para Operaciones ME</t>
  </si>
  <si>
    <t>Anticipos a Devengar a Empleados</t>
  </si>
  <si>
    <t>Ingresos por intereses y dividendos de Cartera propia</t>
  </si>
  <si>
    <r>
      <t>I.</t>
    </r>
    <r>
      <rPr>
        <sz val="7"/>
        <color rgb="FF2F5496"/>
        <rFont val="Calibri"/>
        <family val="2"/>
        <scheme val="minor"/>
      </rPr>
      <t xml:space="preserve">               </t>
    </r>
    <r>
      <rPr>
        <sz val="16"/>
        <color rgb="FF2F5496"/>
        <rFont val="Calibri"/>
        <family val="2"/>
        <scheme val="minor"/>
      </rPr>
      <t>INFORMACION GENERAL DE LA ENTIDAD</t>
    </r>
  </si>
  <si>
    <r>
      <t>Actividad Principal:</t>
    </r>
    <r>
      <rPr>
        <sz val="9"/>
        <color theme="1"/>
        <rFont val="Calibri"/>
        <family val="2"/>
        <scheme val="minor"/>
      </rPr>
      <t xml:space="preserve"> (Compra y Venta de Valores - Asesoría en Materia de Valores)</t>
    </r>
  </si>
  <si>
    <r>
      <t xml:space="preserve">Registro CNV: </t>
    </r>
    <r>
      <rPr>
        <sz val="9"/>
        <color theme="1"/>
        <rFont val="Calibri"/>
        <family val="2"/>
        <scheme val="minor"/>
      </rPr>
      <t>según resolución Nro.1275/10 de fecha 19 de mayo 2010</t>
    </r>
  </si>
  <si>
    <r>
      <t>Código de Bolsa:</t>
    </r>
    <r>
      <rPr>
        <sz val="9"/>
        <color theme="1"/>
        <rFont val="Calibri"/>
        <family val="2"/>
        <scheme val="minor"/>
      </rPr>
      <t xml:space="preserve"> 021 según resolución 915/10 de fecha 31 de mayo 2010</t>
    </r>
  </si>
  <si>
    <r>
      <t>Dirección Oficina Principal:</t>
    </r>
    <r>
      <rPr>
        <sz val="9"/>
        <color theme="1"/>
        <rFont val="Calibri"/>
        <family val="2"/>
        <scheme val="minor"/>
      </rPr>
      <t xml:space="preserve"> Avenida Brasilia N° 764</t>
    </r>
  </si>
  <si>
    <r>
      <t xml:space="preserve">Teléfono/Fax:  </t>
    </r>
    <r>
      <rPr>
        <sz val="9"/>
        <color theme="1"/>
        <rFont val="Calibri"/>
        <family val="2"/>
        <scheme val="minor"/>
      </rPr>
      <t>+595981- 666670</t>
    </r>
  </si>
  <si>
    <r>
      <t xml:space="preserve">Página Web: </t>
    </r>
    <r>
      <rPr>
        <sz val="9"/>
        <color theme="1"/>
        <rFont val="Calibri"/>
        <family val="2"/>
        <scheme val="minor"/>
      </rPr>
      <t>www.investor.com.py</t>
    </r>
  </si>
  <si>
    <r>
      <t>Domicilio Legal:</t>
    </r>
    <r>
      <rPr>
        <sz val="9"/>
        <color theme="1"/>
        <rFont val="Calibri"/>
        <family val="2"/>
        <scheme val="minor"/>
      </rPr>
      <t xml:space="preserve">  Asunción- Paraguay</t>
    </r>
  </si>
  <si>
    <r>
      <t>Escritura modificada Nro.:</t>
    </r>
    <r>
      <rPr>
        <sz val="9"/>
        <color theme="1"/>
        <rFont val="Calibri"/>
        <family val="2"/>
        <scheme val="minor"/>
      </rPr>
      <t xml:space="preserve"> 18 de fecha 25 de marzo de 2022</t>
    </r>
  </si>
  <si>
    <r>
      <t>Inscripción en el Registro Público</t>
    </r>
    <r>
      <rPr>
        <sz val="9"/>
        <color theme="1"/>
        <rFont val="Calibri"/>
        <family val="2"/>
        <scheme val="minor"/>
      </rPr>
      <t>: En proceso de inscripcion.</t>
    </r>
  </si>
  <si>
    <r>
      <t>Reforma de Estatuto:</t>
    </r>
    <r>
      <rPr>
        <sz val="9"/>
        <color theme="1"/>
        <rFont val="Calibri"/>
        <family val="2"/>
        <scheme val="minor"/>
      </rPr>
      <t xml:space="preserve"> Modificación del Art. N° 6 donde se fija el Capital Social de la Sociedad a Gs. 100.000.000.000 (Guaraníes Cien mil millones)</t>
    </r>
  </si>
  <si>
    <r>
      <t xml:space="preserve">Presidente: </t>
    </r>
    <r>
      <rPr>
        <sz val="9"/>
        <color theme="1"/>
        <rFont val="Calibri"/>
        <family val="2"/>
        <scheme val="minor"/>
      </rPr>
      <t>Federico Sebastian Oporto</t>
    </r>
  </si>
  <si>
    <r>
      <t>Vice-Presidente:</t>
    </r>
    <r>
      <rPr>
        <sz val="9"/>
        <color theme="1"/>
        <rFont val="Calibri"/>
        <family val="2"/>
        <scheme val="minor"/>
      </rPr>
      <t xml:space="preserve"> Federico Callizo Pecci</t>
    </r>
  </si>
  <si>
    <r>
      <t>Director Titular:</t>
    </r>
    <r>
      <rPr>
        <sz val="9"/>
        <color theme="1"/>
        <rFont val="Calibri"/>
        <family val="2"/>
        <scheme val="minor"/>
      </rPr>
      <t xml:space="preserve"> Albaro Jose Acosta </t>
    </r>
  </si>
  <si>
    <r>
      <t>Director Titular</t>
    </r>
    <r>
      <rPr>
        <sz val="9"/>
        <color theme="1"/>
        <rFont val="Calibri"/>
        <family val="2"/>
        <scheme val="minor"/>
      </rPr>
      <t>: Ana Cristina Neffa</t>
    </r>
  </si>
  <si>
    <r>
      <t>Director Titular:</t>
    </r>
    <r>
      <rPr>
        <sz val="9"/>
        <color rgb="FF000000"/>
        <rFont val="Calibri"/>
        <family val="2"/>
        <scheme val="minor"/>
      </rPr>
      <t xml:space="preserve"> Fabio Daniel Zarza</t>
    </r>
    <r>
      <rPr>
        <sz val="9"/>
        <color theme="1"/>
        <rFont val="Calibri"/>
        <family val="2"/>
        <scheme val="minor"/>
      </rPr>
      <t xml:space="preserve"> </t>
    </r>
  </si>
  <si>
    <r>
      <t>Síndico:</t>
    </r>
    <r>
      <rPr>
        <sz val="9"/>
        <color theme="1"/>
        <rFont val="Calibri"/>
        <family val="2"/>
        <scheme val="minor"/>
      </rPr>
      <t xml:space="preserve"> Juan José Talavera Saguier</t>
    </r>
  </si>
  <si>
    <r>
      <t>Auditor Externo Independiente Asignado:</t>
    </r>
    <r>
      <rPr>
        <sz val="9"/>
        <color theme="1"/>
        <rFont val="Calibri"/>
        <family val="2"/>
        <scheme val="minor"/>
      </rPr>
      <t xml:space="preserve"> MARTI &amp; ASOCIADOS</t>
    </r>
    <r>
      <rPr>
        <b/>
        <sz val="9"/>
        <color theme="1"/>
        <rFont val="Calibri"/>
        <family val="2"/>
        <scheme val="minor"/>
      </rPr>
      <t xml:space="preserve"> </t>
    </r>
  </si>
  <si>
    <r>
      <t>Número de Inscripción en el Registro de la CNV:</t>
    </r>
    <r>
      <rPr>
        <sz val="9"/>
        <color theme="1"/>
        <rFont val="Calibri"/>
        <family val="2"/>
        <scheme val="minor"/>
      </rPr>
      <t xml:space="preserve"> Código AE-042</t>
    </r>
  </si>
  <si>
    <t>IN FI SA</t>
  </si>
  <si>
    <t>Asesoramiento</t>
  </si>
  <si>
    <r>
      <t xml:space="preserve">Capital Social de acuerdo al Artículo 6to. Del Estatuto Social es de Gs. 100.000.000.000.- (Guaraníes Cien mil millones). Representado por 100.000.- (cien mil) acciones nominativas ordinarias de </t>
    </r>
    <r>
      <rPr>
        <b/>
        <sz val="9"/>
        <color theme="1"/>
        <rFont val="Calibri"/>
        <family val="2"/>
        <scheme val="minor"/>
      </rPr>
      <t>valor nominal Gs. 1.000.000.- (Un millón) cada una.</t>
    </r>
  </si>
  <si>
    <r>
      <t>Capital Emitido: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</si>
  <si>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Suscripto: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</si>
  <si>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Integrado: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</si>
  <si>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Valor Nominal de las Acciones:</t>
    </r>
    <r>
      <rPr>
        <sz val="9"/>
        <color theme="1"/>
        <rFont val="Calibri"/>
        <family val="2"/>
        <scheme val="minor"/>
      </rPr>
      <t xml:space="preserve"> Gs. 1.000.000.- (guaraníes un millón). -</t>
    </r>
  </si>
  <si>
    <t>CUADRO DE CAPITAL INTEGRADO</t>
  </si>
  <si>
    <t>% De Participacion del Capital Integrado</t>
  </si>
  <si>
    <t>Marvin Elder Figueredo Gonzalez</t>
  </si>
  <si>
    <t>CORRESPONDIENTE AL 30 DE JUNIO DE 2022 PRESENTADO EN FORMA COMPARATIVA CON EL EJERCICIO ECONOMICO ANTERIOR  AL  31 DE DICIEMBRE DE  2021.</t>
  </si>
  <si>
    <t>PERIODO ACTUAL 30/06/ 2022</t>
  </si>
  <si>
    <t>Aguinaldos</t>
  </si>
  <si>
    <t>CORRESPONDIENTE AL 30 DE JUNIO DE 2022 PRESENTADO EN FORMA COMPARATIVA CON EL 30 DE JUNIO DE 2021</t>
  </si>
  <si>
    <t>CORRESPONDIENTE AL 30 DE JUNIO DE 2022 PRESENTADO EN FORMA COMPARATIVA CON EL  30 DE JUNIO DE 2021</t>
  </si>
  <si>
    <t>SALDO AL 30/06/2022</t>
  </si>
  <si>
    <t>SALDO AL 30/06/2021</t>
  </si>
  <si>
    <t>Bono Subordinado</t>
  </si>
  <si>
    <t>BANCO ITAU PARAGUAY SA</t>
  </si>
  <si>
    <t>BANCO RIO SA</t>
  </si>
  <si>
    <t>BANCO CONTINENTAL S.A.E.C.A.</t>
  </si>
  <si>
    <t>Total al 30/06/2022</t>
  </si>
  <si>
    <t>Totales de Inversiones Temporales</t>
  </si>
  <si>
    <t>Sobregiros Bancarios</t>
  </si>
  <si>
    <t>Deudas Financieras</t>
  </si>
  <si>
    <r>
      <t>m)</t>
    </r>
    <r>
      <rPr>
        <b/>
        <sz val="9"/>
        <color indexed="8"/>
        <rFont val="Calibri"/>
        <family val="2"/>
      </rPr>
      <t>       Acreedores por Intermediación Corto y Largo Plazo. No aplicable.</t>
    </r>
  </si>
  <si>
    <t>Saldo en Cta de Clientes Pendientes de Liquidación  Por Intermediacion De Valores M/L</t>
  </si>
  <si>
    <t>Saldo en Cta de Clientes Pendientes de Liquidación  Por Intermediacion De Valores M/E</t>
  </si>
  <si>
    <t>EDGE SA</t>
  </si>
  <si>
    <t>EMPRESA VINCUDA POR ACCIONISTA</t>
  </si>
  <si>
    <t xml:space="preserve">FACTURA DE SERVICIOS </t>
  </si>
  <si>
    <t>30 DIAS</t>
  </si>
  <si>
    <t>Intereses a cobrar por Cupones de Bonos - En Repos</t>
  </si>
  <si>
    <t>Total al 30/06/2021</t>
  </si>
  <si>
    <t>Investor Casa de Bolsa. S.A. posee Acciones de la Empresa Investor Administradora de Fondos Patrimoniales de Inversión S.A., constituida en Asunción-Paraguay, por valor de Gs.4.080.000.000 que representan el 85% del Capital Social. –Ademas realizo un Aporte a Cuenta de Futuras Integraciones de Gs.1.275.000.000-</t>
  </si>
  <si>
    <t xml:space="preserve">Investor Casa de Bolsa. S.A. posee Acciones de la Empresa Procampo S.A., constituida en Asunción-Paraguay, por valor de Gs. 3.467.000.000 que representan el 70 % del Capital Social. </t>
  </si>
  <si>
    <t xml:space="preserve">Investor Casa de Bolsa. S.A. posee Acciones de la Empresa In Fi S.A., constituida en Asunción-Paraguay, por valor de Gs. 23.746.500.000 que representan el 66,40 % del Capital Social. </t>
  </si>
  <si>
    <t>*Sobregiros Bancarios Itau</t>
  </si>
  <si>
    <t xml:space="preserve"> INFORMACION SOBRE EL EMISOR </t>
  </si>
  <si>
    <r>
      <t xml:space="preserve">Los Estados Contables (Balance General, Estado de Resultados, Estado de Flujo de Efectivo y Estado de Variación del Patrimonio Neto) correspondientes </t>
    </r>
    <r>
      <rPr>
        <b/>
        <sz val="9"/>
        <rFont val="Calibri"/>
        <family val="2"/>
      </rPr>
      <t>al 30 de junio de 2022</t>
    </r>
    <r>
      <rPr>
        <sz val="9"/>
        <rFont val="Calibri"/>
        <family val="2"/>
      </rPr>
      <t xml:space="preserve"> han sido considerados y aprobados según </t>
    </r>
    <r>
      <rPr>
        <b/>
        <sz val="9"/>
        <rFont val="Calibri"/>
        <family val="2"/>
      </rPr>
      <t>Acta de Directorio N° 221/2022, de fecha 12/08/2022</t>
    </r>
    <r>
      <rPr>
        <sz val="9"/>
        <rFont val="Calibri"/>
        <family val="2"/>
      </rPr>
      <t xml:space="preserve"> 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</si>
</sst>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(* #,##0.00_);_(* \(#,##0.00\);_(* \-??_);_(@_)"/>
    <numFmt numFmtId="176" formatCode="_(* #,##0_);_(* \(#,##0\);_(* \-_);_(@_)"/>
    <numFmt numFmtId="177" formatCode="#,##0_ ;\-#,##0\ "/>
    <numFmt numFmtId="178" formatCode="* #,##0.00\ ;* \-#,##0.00\ ;* \-#\ ;@\ "/>
    <numFmt numFmtId="179" formatCode="_-* #,##0.00\ _p_t_a_-;\-* #,##0.00\ _p_t_a_-;_-* &quot;-&quot;??\ _p_t_a_-;_-@_-"/>
    <numFmt numFmtId="180" formatCode="General_)"/>
    <numFmt numFmtId="181" formatCode="_ [$€]\ * #,##0.00_ ;_ [$€]\ * \-#,##0.00_ ;_ [$€]\ * &quot;-&quot;??_ ;_ @_ "/>
    <numFmt numFmtId="182" formatCode="_-* #,##0\ _P_t_a_-;\-* #,##0\ _P_t_a_-;_-* &quot;-&quot;\ _P_t_a_-;_-@_-"/>
    <numFmt numFmtId="183" formatCode="_-* #,##0.00\ _P_t_s_-;\-* #,##0.00\ _P_t_s_-;_-* &quot;-&quot;??\ _P_t_s_-;_-@_-"/>
    <numFmt numFmtId="184" formatCode="_ &quot;Gs&quot;\ * #,##0.0_ ;_ &quot;Gs&quot;\ * \-#,##0.0_ ;_ &quot;Gs&quot;\ * &quot;-&quot;??_ ;_ @_ "/>
    <numFmt numFmtId="185" formatCode="0%_);\(0%\)"/>
    <numFmt numFmtId="186" formatCode="_-* #,##0\ _€_-;\-* #,##0\ _€_-;_-* &quot;-&quot;\ _€_-;_-@_-"/>
    <numFmt numFmtId="187" formatCode="_ * #,##0.00_-\ _G_s_._ ;_ * #,##0.00\-\ _G_s_._ ;_ * &quot;-&quot;??_-\ _G_s_._ ;_ @_ "/>
    <numFmt numFmtId="188" formatCode="#,##0;\(#,##0\)"/>
    <numFmt numFmtId="189" formatCode="_-* #,##0_-;\-* #,##0_-;_-* &quot;-&quot;??_-;_-@_-"/>
  </numFmts>
  <fonts count="1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Verdana"/>
      <family val="2"/>
    </font>
    <font>
      <sz val="8"/>
      <name val="Verdana"/>
      <family val="2"/>
    </font>
    <font>
      <sz val="12"/>
      <name val="SWISS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1"/>
      <name val="Book Antiqua"/>
      <family val="1"/>
    </font>
    <font>
      <sz val="12"/>
      <name val="Courier"/>
    </font>
    <font>
      <u/>
      <sz val="7.5"/>
      <color indexed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9C0006"/>
      <name val="Calibri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16"/>
      <color rgb="FF2F549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9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i/>
      <sz val="8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ED7D3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2F5496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i/>
      <u val="double"/>
      <sz val="9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u val="double"/>
      <sz val="9"/>
      <color rgb="FFFF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4">
    <xf numFmtId="0" fontId="0" fillId="0" borderId="0"/>
    <xf numFmtId="18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61" fillId="43" borderId="0" applyNumberFormat="0" applyBorder="0" applyAlignment="0" applyProtection="0"/>
    <xf numFmtId="0" fontId="23" fillId="13" borderId="1" applyNumberFormat="0" applyAlignment="0" applyProtection="0"/>
    <xf numFmtId="0" fontId="62" fillId="44" borderId="99" applyNumberFormat="0" applyAlignment="0" applyProtection="0"/>
    <xf numFmtId="0" fontId="63" fillId="45" borderId="100" applyNumberFormat="0" applyAlignment="0" applyProtection="0"/>
    <xf numFmtId="0" fontId="64" fillId="0" borderId="101" applyNumberFormat="0" applyFill="0" applyAlignment="0" applyProtection="0"/>
    <xf numFmtId="0" fontId="24" fillId="23" borderId="2" applyNumberFormat="0" applyAlignment="0" applyProtection="0"/>
    <xf numFmtId="175" fontId="1" fillId="0" borderId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ill="0" applyBorder="0" applyAlignment="0" applyProtection="0"/>
    <xf numFmtId="0" fontId="65" fillId="0" borderId="102" applyNumberFormat="0" applyFill="0" applyAlignment="0" applyProtection="0"/>
    <xf numFmtId="0" fontId="66" fillId="0" borderId="0" applyNumberFormat="0" applyFill="0" applyBorder="0" applyAlignment="0" applyProtection="0"/>
    <xf numFmtId="0" fontId="67" fillId="46" borderId="0" applyNumberFormat="0" applyBorder="0" applyAlignment="0" applyProtection="0"/>
    <xf numFmtId="0" fontId="60" fillId="46" borderId="0" applyNumberFormat="0" applyBorder="0" applyAlignment="0" applyProtection="0"/>
    <xf numFmtId="0" fontId="67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7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8" fillId="52" borderId="99" applyNumberFormat="0" applyAlignment="0" applyProtection="0"/>
    <xf numFmtId="0" fontId="69" fillId="0" borderId="0"/>
    <xf numFmtId="0" fontId="16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14" fontId="11" fillId="24" borderId="5">
      <alignment horizontal="center" vertical="center" wrapText="1"/>
    </xf>
    <xf numFmtId="0" fontId="27" fillId="0" borderId="4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4" fontId="11" fillId="24" borderId="5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2" fillId="53" borderId="0" applyNumberFormat="0" applyBorder="0" applyAlignment="0" applyProtection="0"/>
    <xf numFmtId="0" fontId="30" fillId="7" borderId="1" applyNumberFormat="0" applyAlignment="0" applyProtection="0"/>
    <xf numFmtId="0" fontId="31" fillId="0" borderId="3" applyNumberFormat="0" applyFill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38" fillId="0" borderId="0" applyFont="0" applyFill="0" applyBorder="0" applyAlignment="0" applyProtection="0"/>
    <xf numFmtId="176" fontId="1" fillId="0" borderId="0" applyFill="0" applyBorder="0" applyAlignment="0" applyProtection="0"/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/>
    <xf numFmtId="177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6" fontId="58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ill="0" applyBorder="0" applyAlignment="0" applyProtection="0"/>
    <xf numFmtId="41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5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74" fillId="54" borderId="0" applyNumberFormat="0" applyBorder="0" applyAlignment="0" applyProtection="0"/>
    <xf numFmtId="0" fontId="32" fillId="14" borderId="0" applyNumberFormat="0" applyBorder="0" applyAlignment="0" applyProtection="0"/>
    <xf numFmtId="0" fontId="74" fillId="54" borderId="0" applyNumberFormat="0" applyBorder="0" applyAlignment="0" applyProtection="0"/>
    <xf numFmtId="0" fontId="20" fillId="0" borderId="0"/>
    <xf numFmtId="0" fontId="59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1" fillId="0" borderId="0"/>
    <xf numFmtId="0" fontId="1" fillId="0" borderId="0"/>
    <xf numFmtId="0" fontId="10" fillId="0" borderId="0"/>
    <xf numFmtId="181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3" fillId="0" borderId="0"/>
    <xf numFmtId="0" fontId="1" fillId="0" borderId="0"/>
    <xf numFmtId="0" fontId="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0" fillId="0" borderId="0"/>
    <xf numFmtId="0" fontId="6" fillId="0" borderId="0"/>
    <xf numFmtId="0" fontId="1" fillId="0" borderId="0"/>
    <xf numFmtId="0" fontId="58" fillId="0" borderId="0"/>
    <xf numFmtId="37" fontId="1" fillId="0" borderId="0"/>
    <xf numFmtId="180" fontId="38" fillId="0" borderId="0"/>
    <xf numFmtId="0" fontId="17" fillId="0" borderId="0"/>
    <xf numFmtId="0" fontId="58" fillId="0" borderId="0"/>
    <xf numFmtId="0" fontId="73" fillId="0" borderId="0"/>
    <xf numFmtId="0" fontId="1" fillId="0" borderId="0"/>
    <xf numFmtId="37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5" fillId="0" borderId="0"/>
    <xf numFmtId="180" fontId="40" fillId="0" borderId="0"/>
    <xf numFmtId="0" fontId="15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59" fillId="55" borderId="103" applyNumberFormat="0" applyFont="0" applyAlignment="0" applyProtection="0"/>
    <xf numFmtId="0" fontId="1" fillId="8" borderId="8" applyNumberFormat="0" applyFont="0" applyAlignment="0" applyProtection="0"/>
    <xf numFmtId="0" fontId="33" fillId="13" borderId="9" applyNumberFormat="0" applyAlignment="0" applyProtection="0"/>
    <xf numFmtId="185" fontId="1" fillId="0" borderId="0" applyFont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4" borderId="104" applyNumberFormat="0" applyAlignment="0" applyProtection="0"/>
    <xf numFmtId="0" fontId="79" fillId="0" borderId="0" applyNumberFormat="0" applyFill="0" applyBorder="0" applyAlignment="0" applyProtection="0"/>
    <xf numFmtId="0" fontId="69" fillId="0" borderId="0"/>
    <xf numFmtId="0" fontId="80" fillId="0" borderId="0" applyNumberFormat="0" applyFill="0" applyBorder="0" applyAlignment="0" applyProtection="0"/>
    <xf numFmtId="0" fontId="34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81" fillId="0" borderId="105" applyNumberFormat="0" applyFill="0" applyAlignment="0" applyProtection="0"/>
    <xf numFmtId="0" fontId="66" fillId="0" borderId="106" applyNumberFormat="0" applyFill="0" applyAlignment="0" applyProtection="0"/>
    <xf numFmtId="0" fontId="82" fillId="0" borderId="0" applyNumberFormat="0" applyFill="0" applyBorder="0" applyAlignment="0" applyProtection="0"/>
    <xf numFmtId="0" fontId="84" fillId="0" borderId="107" applyNumberFormat="0" applyFill="0" applyAlignment="0" applyProtection="0"/>
    <xf numFmtId="0" fontId="36" fillId="0" borderId="10" applyNumberFormat="0" applyFill="0" applyAlignment="0" applyProtection="0"/>
    <xf numFmtId="0" fontId="84" fillId="0" borderId="107" applyNumberFormat="0" applyFill="0" applyAlignment="0" applyProtection="0"/>
    <xf numFmtId="0" fontId="3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135" fillId="0" borderId="0"/>
  </cellStyleXfs>
  <cellXfs count="790">
    <xf numFmtId="0" fontId="0" fillId="0" borderId="0" xfId="0"/>
    <xf numFmtId="41" fontId="85" fillId="0" borderId="11" xfId="114" applyFont="1" applyFill="1" applyBorder="1"/>
    <xf numFmtId="0" fontId="86" fillId="0" borderId="12" xfId="0" quotePrefix="1" applyFont="1" applyFill="1" applyBorder="1" applyAlignment="1">
      <alignment horizontal="left"/>
    </xf>
    <xf numFmtId="0" fontId="87" fillId="0" borderId="12" xfId="107" quotePrefix="1" applyFont="1" applyBorder="1" applyAlignment="1">
      <alignment horizontal="left"/>
    </xf>
    <xf numFmtId="0" fontId="86" fillId="0" borderId="12" xfId="0" applyFont="1" applyFill="1" applyBorder="1" applyAlignment="1">
      <alignment horizontal="left"/>
    </xf>
    <xf numFmtId="0" fontId="86" fillId="0" borderId="0" xfId="0" applyFont="1"/>
    <xf numFmtId="0" fontId="86" fillId="0" borderId="0" xfId="0" applyFont="1" applyAlignment="1">
      <alignment horizontal="left"/>
    </xf>
    <xf numFmtId="0" fontId="86" fillId="56" borderId="0" xfId="0" applyFont="1" applyFill="1"/>
    <xf numFmtId="0" fontId="86" fillId="56" borderId="0" xfId="0" applyFont="1" applyFill="1" applyAlignment="1">
      <alignment horizontal="left"/>
    </xf>
    <xf numFmtId="0" fontId="88" fillId="0" borderId="0" xfId="0" applyFont="1" applyAlignment="1">
      <alignment horizontal="center" vertical="center"/>
    </xf>
    <xf numFmtId="0" fontId="89" fillId="57" borderId="13" xfId="0" applyFont="1" applyFill="1" applyBorder="1" applyAlignment="1">
      <alignment vertical="center"/>
    </xf>
    <xf numFmtId="0" fontId="89" fillId="57" borderId="0" xfId="0" applyFont="1" applyFill="1" applyBorder="1" applyAlignment="1">
      <alignment horizontal="center" vertical="center"/>
    </xf>
    <xf numFmtId="0" fontId="86" fillId="0" borderId="13" xfId="0" applyFont="1" applyBorder="1"/>
    <xf numFmtId="0" fontId="90" fillId="0" borderId="12" xfId="0" applyFont="1" applyBorder="1" applyAlignment="1">
      <alignment horizontal="left" vertical="center"/>
    </xf>
    <xf numFmtId="0" fontId="89" fillId="57" borderId="0" xfId="0" applyFont="1" applyFill="1" applyAlignment="1">
      <alignment vertical="center"/>
    </xf>
    <xf numFmtId="0" fontId="70" fillId="0" borderId="12" xfId="107" quotePrefix="1" applyFont="1" applyBorder="1" applyAlignment="1">
      <alignment horizontal="left"/>
    </xf>
    <xf numFmtId="0" fontId="70" fillId="0" borderId="12" xfId="107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91" fillId="0" borderId="0" xfId="0" applyFont="1"/>
    <xf numFmtId="0" fontId="86" fillId="0" borderId="14" xfId="0" applyFont="1" applyBorder="1"/>
    <xf numFmtId="0" fontId="86" fillId="0" borderId="15" xfId="0" applyFont="1" applyBorder="1"/>
    <xf numFmtId="0" fontId="70" fillId="0" borderId="16" xfId="107" applyFont="1" applyBorder="1" applyAlignment="1">
      <alignment horizontal="left" vertical="center"/>
    </xf>
    <xf numFmtId="0" fontId="90" fillId="0" borderId="0" xfId="0" applyFont="1" applyAlignment="1">
      <alignment horizontal="center"/>
    </xf>
    <xf numFmtId="0" fontId="87" fillId="0" borderId="0" xfId="107" quotePrefix="1" applyFont="1" applyBorder="1" applyAlignment="1">
      <alignment horizontal="left"/>
    </xf>
    <xf numFmtId="0" fontId="92" fillId="0" borderId="0" xfId="107" quotePrefix="1" applyFont="1"/>
    <xf numFmtId="0" fontId="93" fillId="0" borderId="0" xfId="0" applyFont="1"/>
    <xf numFmtId="0" fontId="85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85" fillId="0" borderId="11" xfId="0" applyFont="1" applyBorder="1" applyAlignment="1">
      <alignment horizontal="center" vertical="center"/>
    </xf>
    <xf numFmtId="171" fontId="85" fillId="0" borderId="11" xfId="0" applyNumberFormat="1" applyFont="1" applyBorder="1" applyAlignment="1">
      <alignment horizontal="center" vertical="center"/>
    </xf>
    <xf numFmtId="0" fontId="93" fillId="0" borderId="11" xfId="0" applyFont="1" applyBorder="1" applyAlignment="1">
      <alignment horizontal="justify" vertical="center"/>
    </xf>
    <xf numFmtId="167" fontId="93" fillId="0" borderId="11" xfId="0" applyNumberFormat="1" applyFont="1" applyBorder="1"/>
    <xf numFmtId="0" fontId="93" fillId="0" borderId="11" xfId="0" applyFont="1" applyBorder="1"/>
    <xf numFmtId="0" fontId="94" fillId="0" borderId="0" xfId="0" applyFont="1" applyAlignment="1">
      <alignment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4" fontId="93" fillId="0" borderId="11" xfId="0" applyNumberFormat="1" applyFont="1" applyBorder="1" applyAlignment="1">
      <alignment horizontal="center" vertical="center"/>
    </xf>
    <xf numFmtId="41" fontId="93" fillId="0" borderId="0" xfId="114" applyFont="1"/>
    <xf numFmtId="3" fontId="93" fillId="0" borderId="11" xfId="0" applyNumberFormat="1" applyFont="1" applyBorder="1" applyAlignment="1">
      <alignment vertical="center"/>
    </xf>
    <xf numFmtId="172" fontId="93" fillId="0" borderId="11" xfId="114" applyNumberFormat="1" applyFont="1" applyBorder="1" applyAlignment="1">
      <alignment horizontal="center" vertical="center"/>
    </xf>
    <xf numFmtId="167" fontId="93" fillId="0" borderId="11" xfId="113" applyNumberFormat="1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vertical="center"/>
    </xf>
    <xf numFmtId="0" fontId="96" fillId="0" borderId="11" xfId="0" applyFont="1" applyBorder="1" applyAlignment="1">
      <alignment vertical="center"/>
    </xf>
    <xf numFmtId="3" fontId="96" fillId="0" borderId="11" xfId="0" applyNumberFormat="1" applyFont="1" applyBorder="1" applyAlignment="1">
      <alignment vertical="center"/>
    </xf>
    <xf numFmtId="3" fontId="85" fillId="0" borderId="11" xfId="0" applyNumberFormat="1" applyFont="1" applyBorder="1" applyAlignment="1">
      <alignment horizontal="center" vertical="center"/>
    </xf>
    <xf numFmtId="43" fontId="93" fillId="0" borderId="11" xfId="113" applyFont="1" applyBorder="1" applyAlignment="1">
      <alignment horizontal="center" vertical="center"/>
    </xf>
    <xf numFmtId="0" fontId="85" fillId="0" borderId="11" xfId="0" applyFont="1" applyBorder="1"/>
    <xf numFmtId="0" fontId="85" fillId="0" borderId="17" xfId="0" applyFont="1" applyBorder="1" applyAlignment="1">
      <alignment horizontal="center" wrapText="1"/>
    </xf>
    <xf numFmtId="0" fontId="93" fillId="0" borderId="11" xfId="0" applyFont="1" applyBorder="1" applyAlignment="1">
      <alignment wrapText="1"/>
    </xf>
    <xf numFmtId="167" fontId="93" fillId="0" borderId="11" xfId="0" applyNumberFormat="1" applyFont="1" applyBorder="1" applyAlignment="1">
      <alignment horizontal="center" vertical="center"/>
    </xf>
    <xf numFmtId="41" fontId="93" fillId="0" borderId="11" xfId="114" applyFont="1" applyBorder="1" applyAlignment="1">
      <alignment horizontal="right"/>
    </xf>
    <xf numFmtId="167" fontId="93" fillId="0" borderId="11" xfId="113" applyNumberFormat="1" applyFont="1" applyBorder="1" applyAlignment="1">
      <alignment horizontal="right"/>
    </xf>
    <xf numFmtId="41" fontId="93" fillId="0" borderId="0" xfId="0" applyNumberFormat="1" applyFont="1"/>
    <xf numFmtId="3" fontId="85" fillId="0" borderId="11" xfId="0" applyNumberFormat="1" applyFont="1" applyBorder="1" applyAlignment="1">
      <alignment horizontal="right"/>
    </xf>
    <xf numFmtId="41" fontId="93" fillId="0" borderId="0" xfId="114" applyFont="1" applyAlignment="1">
      <alignment horizontal="right"/>
    </xf>
    <xf numFmtId="41" fontId="93" fillId="0" borderId="0" xfId="114" applyFont="1" applyBorder="1"/>
    <xf numFmtId="0" fontId="93" fillId="0" borderId="0" xfId="0" applyFont="1" applyBorder="1"/>
    <xf numFmtId="0" fontId="97" fillId="0" borderId="11" xfId="0" applyFont="1" applyBorder="1" applyAlignment="1">
      <alignment horizontal="center"/>
    </xf>
    <xf numFmtId="171" fontId="97" fillId="0" borderId="11" xfId="114" applyNumberFormat="1" applyFont="1" applyBorder="1" applyAlignment="1">
      <alignment horizontal="center" vertical="center" wrapText="1"/>
    </xf>
    <xf numFmtId="171" fontId="97" fillId="0" borderId="11" xfId="114" applyNumberFormat="1" applyFont="1" applyBorder="1" applyAlignment="1">
      <alignment horizontal="center" wrapText="1"/>
    </xf>
    <xf numFmtId="0" fontId="97" fillId="0" borderId="11" xfId="0" applyFont="1" applyBorder="1"/>
    <xf numFmtId="41" fontId="88" fillId="0" borderId="11" xfId="114" applyFont="1" applyBorder="1" applyAlignment="1">
      <alignment horizontal="right" vertical="center"/>
    </xf>
    <xf numFmtId="41" fontId="88" fillId="0" borderId="11" xfId="114" applyFont="1" applyBorder="1" applyAlignment="1">
      <alignment horizontal="right"/>
    </xf>
    <xf numFmtId="41" fontId="98" fillId="0" borderId="11" xfId="114" applyFont="1" applyBorder="1" applyAlignment="1"/>
    <xf numFmtId="41" fontId="98" fillId="0" borderId="11" xfId="114" applyFont="1" applyBorder="1" applyAlignment="1">
      <alignment horizontal="right"/>
    </xf>
    <xf numFmtId="41" fontId="98" fillId="0" borderId="11" xfId="114" applyFont="1" applyFill="1" applyBorder="1" applyAlignment="1">
      <alignment horizontal="right"/>
    </xf>
    <xf numFmtId="41" fontId="98" fillId="0" borderId="0" xfId="114" applyFont="1" applyBorder="1" applyAlignment="1"/>
    <xf numFmtId="0" fontId="99" fillId="0" borderId="0" xfId="0" applyFont="1" applyBorder="1"/>
    <xf numFmtId="41" fontId="97" fillId="0" borderId="11" xfId="114" applyFont="1" applyBorder="1" applyAlignment="1">
      <alignment horizontal="right" vertical="center"/>
    </xf>
    <xf numFmtId="173" fontId="93" fillId="0" borderId="0" xfId="113" applyNumberFormat="1" applyFont="1"/>
    <xf numFmtId="0" fontId="100" fillId="0" borderId="11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173" fontId="101" fillId="0" borderId="17" xfId="113" applyNumberFormat="1" applyFont="1" applyBorder="1" applyAlignment="1">
      <alignment horizontal="center" vertical="center"/>
    </xf>
    <xf numFmtId="173" fontId="100" fillId="0" borderId="17" xfId="113" applyNumberFormat="1" applyFont="1" applyBorder="1" applyAlignment="1">
      <alignment horizontal="center" vertical="center"/>
    </xf>
    <xf numFmtId="170" fontId="93" fillId="0" borderId="0" xfId="0" applyNumberFormat="1" applyFont="1"/>
    <xf numFmtId="0" fontId="101" fillId="0" borderId="11" xfId="0" applyFont="1" applyBorder="1" applyAlignment="1">
      <alignment vertical="center"/>
    </xf>
    <xf numFmtId="0" fontId="101" fillId="0" borderId="0" xfId="0" applyFont="1" applyAlignment="1">
      <alignment vertical="center"/>
    </xf>
    <xf numFmtId="170" fontId="101" fillId="0" borderId="0" xfId="0" applyNumberFormat="1" applyFont="1" applyAlignment="1">
      <alignment vertical="center"/>
    </xf>
    <xf numFmtId="173" fontId="101" fillId="0" borderId="0" xfId="113" applyNumberFormat="1" applyFont="1" applyAlignment="1">
      <alignment vertical="center"/>
    </xf>
    <xf numFmtId="173" fontId="101" fillId="0" borderId="0" xfId="113" applyNumberFormat="1" applyFont="1" applyBorder="1" applyAlignment="1">
      <alignment horizontal="right" vertical="center"/>
    </xf>
    <xf numFmtId="173" fontId="100" fillId="0" borderId="0" xfId="113" applyNumberFormat="1" applyFont="1" applyBorder="1" applyAlignment="1">
      <alignment vertical="center"/>
    </xf>
    <xf numFmtId="0" fontId="93" fillId="0" borderId="0" xfId="0" applyFont="1" applyAlignment="1">
      <alignment vertical="center"/>
    </xf>
    <xf numFmtId="170" fontId="93" fillId="0" borderId="0" xfId="0" applyNumberFormat="1" applyFont="1" applyAlignment="1">
      <alignment vertical="center"/>
    </xf>
    <xf numFmtId="173" fontId="93" fillId="0" borderId="0" xfId="113" applyNumberFormat="1" applyFont="1" applyAlignment="1">
      <alignment vertical="center"/>
    </xf>
    <xf numFmtId="0" fontId="101" fillId="0" borderId="16" xfId="0" applyFont="1" applyBorder="1" applyAlignment="1">
      <alignment vertical="center"/>
    </xf>
    <xf numFmtId="0" fontId="101" fillId="0" borderId="11" xfId="0" applyFont="1" applyBorder="1" applyAlignment="1">
      <alignment horizontal="center" vertical="center" wrapText="1"/>
    </xf>
    <xf numFmtId="173" fontId="100" fillId="0" borderId="11" xfId="113" applyNumberFormat="1" applyFont="1" applyBorder="1" applyAlignment="1">
      <alignment horizontal="right" vertical="center"/>
    </xf>
    <xf numFmtId="173" fontId="101" fillId="0" borderId="0" xfId="113" applyNumberFormat="1" applyFont="1" applyBorder="1" applyAlignment="1">
      <alignment horizontal="right"/>
    </xf>
    <xf numFmtId="0" fontId="93" fillId="0" borderId="11" xfId="0" applyFont="1" applyBorder="1" applyAlignment="1">
      <alignment horizontal="left" vertical="center"/>
    </xf>
    <xf numFmtId="41" fontId="93" fillId="0" borderId="0" xfId="114" applyFont="1" applyFill="1" applyAlignment="1">
      <alignment horizontal="right"/>
    </xf>
    <xf numFmtId="0" fontId="93" fillId="0" borderId="0" xfId="0" applyFont="1" applyFill="1"/>
    <xf numFmtId="0" fontId="93" fillId="0" borderId="0" xfId="0" applyFont="1" applyFill="1" applyAlignment="1">
      <alignment horizontal="justify" vertical="center"/>
    </xf>
    <xf numFmtId="0" fontId="93" fillId="0" borderId="0" xfId="0" applyFont="1" applyFill="1" applyAlignment="1">
      <alignment horizontal="center" wrapText="1"/>
    </xf>
    <xf numFmtId="0" fontId="96" fillId="0" borderId="11" xfId="0" applyFont="1" applyFill="1" applyBorder="1" applyAlignment="1">
      <alignment horizontal="left"/>
    </xf>
    <xf numFmtId="41" fontId="93" fillId="0" borderId="11" xfId="114" applyFont="1" applyFill="1" applyBorder="1" applyAlignment="1">
      <alignment horizontal="right"/>
    </xf>
    <xf numFmtId="0" fontId="101" fillId="0" borderId="11" xfId="0" applyFont="1" applyFill="1" applyBorder="1"/>
    <xf numFmtId="41" fontId="85" fillId="0" borderId="11" xfId="114" applyFont="1" applyFill="1" applyBorder="1" applyAlignment="1">
      <alignment horizontal="right"/>
    </xf>
    <xf numFmtId="170" fontId="93" fillId="0" borderId="0" xfId="113" applyNumberFormat="1" applyFont="1" applyFill="1"/>
    <xf numFmtId="3" fontId="93" fillId="0" borderId="0" xfId="0" applyNumberFormat="1" applyFont="1" applyFill="1"/>
    <xf numFmtId="0" fontId="85" fillId="0" borderId="0" xfId="0" applyFont="1" applyFill="1" applyAlignment="1">
      <alignment horizontal="left"/>
    </xf>
    <xf numFmtId="41" fontId="85" fillId="0" borderId="0" xfId="114" applyFont="1" applyFill="1" applyAlignment="1">
      <alignment horizontal="right"/>
    </xf>
    <xf numFmtId="41" fontId="93" fillId="0" borderId="0" xfId="114" applyFont="1" applyFill="1"/>
    <xf numFmtId="0" fontId="93" fillId="0" borderId="0" xfId="0" applyFont="1" applyFill="1" applyAlignment="1">
      <alignment horizontal="left"/>
    </xf>
    <xf numFmtId="0" fontId="93" fillId="0" borderId="11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85" fillId="0" borderId="0" xfId="0" applyFont="1" applyAlignment="1">
      <alignment horizontal="left" vertical="center" indent="3"/>
    </xf>
    <xf numFmtId="0" fontId="93" fillId="0" borderId="0" xfId="0" applyFont="1" applyAlignment="1">
      <alignment horizontal="right" vertical="center"/>
    </xf>
    <xf numFmtId="0" fontId="85" fillId="0" borderId="18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16" xfId="0" applyFont="1" applyBorder="1" applyAlignment="1">
      <alignment horizontal="left"/>
    </xf>
    <xf numFmtId="3" fontId="93" fillId="0" borderId="0" xfId="0" applyNumberFormat="1" applyFont="1" applyAlignment="1">
      <alignment horizontal="right"/>
    </xf>
    <xf numFmtId="3" fontId="93" fillId="0" borderId="0" xfId="0" applyNumberFormat="1" applyFont="1"/>
    <xf numFmtId="0" fontId="93" fillId="0" borderId="11" xfId="0" applyFont="1" applyBorder="1" applyAlignment="1">
      <alignment horizontal="left"/>
    </xf>
    <xf numFmtId="0" fontId="101" fillId="0" borderId="11" xfId="0" applyFont="1" applyBorder="1" applyAlignment="1">
      <alignment horizontal="left"/>
    </xf>
    <xf numFmtId="41" fontId="85" fillId="0" borderId="11" xfId="114" applyFont="1" applyBorder="1" applyAlignment="1">
      <alignment horizontal="right"/>
    </xf>
    <xf numFmtId="0" fontId="85" fillId="0" borderId="11" xfId="0" applyFont="1" applyBorder="1" applyAlignment="1">
      <alignment horizontal="center"/>
    </xf>
    <xf numFmtId="166" fontId="93" fillId="0" borderId="0" xfId="0" applyNumberFormat="1" applyFont="1"/>
    <xf numFmtId="0" fontId="101" fillId="0" borderId="11" xfId="0" applyFont="1" applyBorder="1"/>
    <xf numFmtId="0" fontId="85" fillId="0" borderId="11" xfId="0" applyFont="1" applyBorder="1" applyAlignment="1">
      <alignment horizontal="center" wrapText="1"/>
    </xf>
    <xf numFmtId="167" fontId="93" fillId="0" borderId="11" xfId="156" applyFont="1" applyFill="1" applyBorder="1" applyAlignment="1">
      <alignment horizontal="right"/>
    </xf>
    <xf numFmtId="3" fontId="93" fillId="0" borderId="11" xfId="0" applyNumberFormat="1" applyFont="1" applyBorder="1"/>
    <xf numFmtId="3" fontId="85" fillId="0" borderId="11" xfId="0" applyNumberFormat="1" applyFont="1" applyBorder="1"/>
    <xf numFmtId="41" fontId="93" fillId="0" borderId="11" xfId="114" applyFont="1" applyBorder="1" applyAlignment="1"/>
    <xf numFmtId="41" fontId="85" fillId="0" borderId="11" xfId="114" applyFont="1" applyBorder="1" applyAlignment="1"/>
    <xf numFmtId="167" fontId="93" fillId="0" borderId="0" xfId="0" applyNumberFormat="1" applyFont="1"/>
    <xf numFmtId="2" fontId="85" fillId="0" borderId="11" xfId="0" applyNumberFormat="1" applyFont="1" applyBorder="1" applyAlignment="1">
      <alignment horizontal="center" vertical="center" wrapText="1"/>
    </xf>
    <xf numFmtId="167" fontId="93" fillId="0" borderId="0" xfId="156" applyFont="1"/>
    <xf numFmtId="174" fontId="93" fillId="0" borderId="0" xfId="217" applyNumberFormat="1" applyFont="1"/>
    <xf numFmtId="0" fontId="93" fillId="0" borderId="0" xfId="0" applyFont="1" applyAlignment="1">
      <alignment wrapText="1"/>
    </xf>
    <xf numFmtId="0" fontId="85" fillId="0" borderId="0" xfId="0" applyFont="1" applyAlignment="1">
      <alignment horizontal="left" vertical="center" wrapText="1"/>
    </xf>
    <xf numFmtId="0" fontId="93" fillId="0" borderId="11" xfId="0" applyFont="1" applyBorder="1" applyAlignment="1">
      <alignment horizontal="left" wrapText="1"/>
    </xf>
    <xf numFmtId="170" fontId="93" fillId="0" borderId="11" xfId="0" applyNumberFormat="1" applyFont="1" applyBorder="1" applyAlignment="1">
      <alignment horizontal="right" wrapText="1"/>
    </xf>
    <xf numFmtId="167" fontId="93" fillId="0" borderId="11" xfId="156" applyFont="1" applyBorder="1" applyAlignment="1">
      <alignment horizontal="right" wrapText="1"/>
    </xf>
    <xf numFmtId="0" fontId="101" fillId="0" borderId="11" xfId="0" applyFont="1" applyBorder="1" applyAlignment="1">
      <alignment wrapText="1"/>
    </xf>
    <xf numFmtId="3" fontId="85" fillId="0" borderId="11" xfId="0" applyNumberFormat="1" applyFont="1" applyBorder="1" applyAlignment="1">
      <alignment horizontal="right" wrapText="1"/>
    </xf>
    <xf numFmtId="170" fontId="85" fillId="0" borderId="11" xfId="156" applyNumberFormat="1" applyFont="1" applyBorder="1" applyAlignment="1">
      <alignment horizontal="right" wrapText="1"/>
    </xf>
    <xf numFmtId="0" fontId="93" fillId="0" borderId="0" xfId="0" applyFont="1" applyAlignment="1">
      <alignment horizontal="left" vertical="center" wrapText="1"/>
    </xf>
    <xf numFmtId="0" fontId="101" fillId="0" borderId="0" xfId="0" applyFont="1" applyBorder="1" applyAlignment="1">
      <alignment wrapText="1"/>
    </xf>
    <xf numFmtId="170" fontId="85" fillId="0" borderId="0" xfId="156" applyNumberFormat="1" applyFont="1" applyBorder="1" applyAlignment="1">
      <alignment horizontal="right" wrapText="1"/>
    </xf>
    <xf numFmtId="167" fontId="93" fillId="0" borderId="0" xfId="156" applyFont="1" applyBorder="1" applyAlignment="1">
      <alignment horizontal="right" wrapText="1"/>
    </xf>
    <xf numFmtId="0" fontId="93" fillId="0" borderId="17" xfId="0" applyFont="1" applyBorder="1" applyAlignment="1">
      <alignment wrapText="1"/>
    </xf>
    <xf numFmtId="3" fontId="93" fillId="0" borderId="11" xfId="0" applyNumberFormat="1" applyFont="1" applyBorder="1" applyAlignment="1">
      <alignment horizontal="right" wrapText="1"/>
    </xf>
    <xf numFmtId="167" fontId="93" fillId="0" borderId="11" xfId="156" applyFont="1" applyFill="1" applyBorder="1" applyAlignment="1">
      <alignment horizontal="right" wrapText="1"/>
    </xf>
    <xf numFmtId="41" fontId="93" fillId="0" borderId="11" xfId="114" applyFont="1" applyBorder="1" applyAlignment="1">
      <alignment horizontal="right" wrapText="1"/>
    </xf>
    <xf numFmtId="41" fontId="93" fillId="0" borderId="11" xfId="114" applyFont="1" applyFill="1" applyBorder="1" applyAlignment="1">
      <alignment wrapText="1"/>
    </xf>
    <xf numFmtId="170" fontId="85" fillId="0" borderId="11" xfId="0" applyNumberFormat="1" applyFont="1" applyBorder="1" applyAlignment="1">
      <alignment horizontal="right" wrapText="1"/>
    </xf>
    <xf numFmtId="41" fontId="93" fillId="0" borderId="0" xfId="114" applyFont="1" applyFill="1" applyAlignment="1">
      <alignment wrapText="1"/>
    </xf>
    <xf numFmtId="41" fontId="93" fillId="0" borderId="0" xfId="114" applyFont="1" applyAlignment="1">
      <alignment wrapText="1"/>
    </xf>
    <xf numFmtId="0" fontId="93" fillId="0" borderId="19" xfId="0" applyFont="1" applyBorder="1" applyAlignment="1">
      <alignment wrapText="1"/>
    </xf>
    <xf numFmtId="0" fontId="85" fillId="0" borderId="20" xfId="0" applyFont="1" applyBorder="1" applyAlignment="1">
      <alignment wrapText="1"/>
    </xf>
    <xf numFmtId="0" fontId="85" fillId="0" borderId="21" xfId="0" applyFont="1" applyBorder="1" applyAlignment="1">
      <alignment wrapText="1"/>
    </xf>
    <xf numFmtId="0" fontId="85" fillId="0" borderId="1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left" vertical="center" wrapText="1"/>
    </xf>
    <xf numFmtId="41" fontId="96" fillId="57" borderId="11" xfId="114" applyFont="1" applyFill="1" applyBorder="1" applyAlignment="1">
      <alignment horizontal="left" wrapText="1"/>
    </xf>
    <xf numFmtId="49" fontId="93" fillId="0" borderId="11" xfId="0" applyNumberFormat="1" applyFont="1" applyBorder="1" applyAlignment="1">
      <alignment wrapText="1"/>
    </xf>
    <xf numFmtId="41" fontId="85" fillId="0" borderId="11" xfId="114" applyFont="1" applyFill="1" applyBorder="1" applyAlignment="1">
      <alignment horizontal="right" wrapText="1"/>
    </xf>
    <xf numFmtId="41" fontId="93" fillId="0" borderId="11" xfId="114" applyFont="1" applyFill="1" applyBorder="1" applyAlignment="1">
      <alignment horizontal="right" wrapText="1"/>
    </xf>
    <xf numFmtId="41" fontId="93" fillId="0" borderId="0" xfId="0" applyNumberFormat="1" applyFont="1" applyAlignment="1">
      <alignment wrapText="1"/>
    </xf>
    <xf numFmtId="41" fontId="101" fillId="0" borderId="11" xfId="114" applyFont="1" applyBorder="1" applyAlignment="1">
      <alignment horizontal="center" vertical="center" wrapText="1"/>
    </xf>
    <xf numFmtId="0" fontId="100" fillId="0" borderId="11" xfId="0" applyFont="1" applyBorder="1" applyAlignment="1">
      <alignment horizontal="left" vertical="center"/>
    </xf>
    <xf numFmtId="41" fontId="100" fillId="0" borderId="11" xfId="114" applyFont="1" applyFill="1" applyBorder="1" applyAlignment="1">
      <alignment horizontal="right" vertical="center"/>
    </xf>
    <xf numFmtId="41" fontId="100" fillId="0" borderId="11" xfId="114" applyFont="1" applyBorder="1" applyAlignment="1">
      <alignment horizontal="right" vertical="center"/>
    </xf>
    <xf numFmtId="170" fontId="101" fillId="0" borderId="11" xfId="156" applyNumberFormat="1" applyFont="1" applyBorder="1" applyAlignment="1">
      <alignment horizontal="right" vertical="center"/>
    </xf>
    <xf numFmtId="41" fontId="101" fillId="0" borderId="11" xfId="114" applyFont="1" applyBorder="1" applyAlignment="1">
      <alignment horizontal="right" vertical="center"/>
    </xf>
    <xf numFmtId="171" fontId="93" fillId="0" borderId="0" xfId="0" applyNumberFormat="1" applyFont="1"/>
    <xf numFmtId="170" fontId="93" fillId="0" borderId="0" xfId="156" applyNumberFormat="1" applyFont="1"/>
    <xf numFmtId="170" fontId="85" fillId="0" borderId="0" xfId="156" applyNumberFormat="1" applyFont="1"/>
    <xf numFmtId="41" fontId="93" fillId="0" borderId="11" xfId="114" applyFont="1" applyBorder="1" applyAlignment="1">
      <alignment horizontal="right" vertical="center"/>
    </xf>
    <xf numFmtId="41" fontId="93" fillId="0" borderId="11" xfId="114" applyFont="1" applyFill="1" applyBorder="1" applyAlignment="1">
      <alignment horizontal="right" vertical="center"/>
    </xf>
    <xf numFmtId="41" fontId="93" fillId="0" borderId="0" xfId="0" applyNumberFormat="1" applyFont="1" applyAlignment="1">
      <alignment vertical="center"/>
    </xf>
    <xf numFmtId="41" fontId="93" fillId="0" borderId="0" xfId="114" applyFont="1" applyFill="1" applyAlignment="1">
      <alignment vertical="center"/>
    </xf>
    <xf numFmtId="3" fontId="93" fillId="0" borderId="0" xfId="0" applyNumberFormat="1" applyFont="1" applyAlignment="1">
      <alignment vertical="center"/>
    </xf>
    <xf numFmtId="41" fontId="85" fillId="0" borderId="11" xfId="114" applyFont="1" applyBorder="1" applyAlignment="1">
      <alignment horizontal="right" vertical="center"/>
    </xf>
    <xf numFmtId="41" fontId="85" fillId="0" borderId="11" xfId="114" applyFont="1" applyFill="1" applyBorder="1" applyAlignment="1">
      <alignment horizontal="right" vertical="center"/>
    </xf>
    <xf numFmtId="41" fontId="93" fillId="0" borderId="0" xfId="114" applyFont="1" applyAlignment="1">
      <alignment vertical="center"/>
    </xf>
    <xf numFmtId="0" fontId="93" fillId="0" borderId="0" xfId="0" applyFont="1" applyAlignment="1">
      <alignment horizontal="left" vertical="center" indent="3"/>
    </xf>
    <xf numFmtId="41" fontId="93" fillId="0" borderId="11" xfId="114" applyFont="1" applyFill="1" applyBorder="1" applyAlignment="1"/>
    <xf numFmtId="0" fontId="102" fillId="0" borderId="0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41" fontId="93" fillId="0" borderId="11" xfId="114" applyFont="1" applyFill="1" applyBorder="1" applyAlignment="1">
      <alignment horizontal="center"/>
    </xf>
    <xf numFmtId="0" fontId="93" fillId="0" borderId="12" xfId="0" applyFont="1" applyBorder="1"/>
    <xf numFmtId="170" fontId="93" fillId="0" borderId="11" xfId="114" applyNumberFormat="1" applyFont="1" applyFill="1" applyBorder="1" applyAlignment="1"/>
    <xf numFmtId="41" fontId="85" fillId="0" borderId="11" xfId="114" applyFont="1" applyFill="1" applyBorder="1" applyAlignment="1">
      <alignment horizontal="center"/>
    </xf>
    <xf numFmtId="41" fontId="85" fillId="0" borderId="11" xfId="114" applyFont="1" applyBorder="1" applyAlignment="1">
      <alignment horizontal="center"/>
    </xf>
    <xf numFmtId="41" fontId="93" fillId="0" borderId="11" xfId="114" applyFont="1" applyBorder="1" applyAlignment="1">
      <alignment horizontal="center"/>
    </xf>
    <xf numFmtId="41" fontId="93" fillId="0" borderId="11" xfId="114" applyFont="1" applyBorder="1"/>
    <xf numFmtId="41" fontId="85" fillId="0" borderId="11" xfId="0" applyNumberFormat="1" applyFont="1" applyBorder="1"/>
    <xf numFmtId="41" fontId="93" fillId="0" borderId="11" xfId="114" applyNumberFormat="1" applyFont="1" applyBorder="1" applyAlignment="1">
      <alignment horizontal="center" vertical="center"/>
    </xf>
    <xf numFmtId="4" fontId="93" fillId="0" borderId="0" xfId="0" applyNumberFormat="1" applyFont="1" applyBorder="1"/>
    <xf numFmtId="0" fontId="85" fillId="0" borderId="11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41" fontId="85" fillId="0" borderId="11" xfId="114" applyFont="1" applyFill="1" applyBorder="1" applyAlignment="1">
      <alignment horizontal="right" vertical="center" wrapText="1"/>
    </xf>
    <xf numFmtId="0" fontId="0" fillId="0" borderId="0" xfId="0" quotePrefix="1" applyFill="1"/>
    <xf numFmtId="0" fontId="96" fillId="0" borderId="0" xfId="0" applyFont="1"/>
    <xf numFmtId="0" fontId="103" fillId="0" borderId="24" xfId="0" applyFont="1" applyBorder="1" applyAlignment="1">
      <alignment horizontal="left" wrapText="1"/>
    </xf>
    <xf numFmtId="0" fontId="96" fillId="0" borderId="0" xfId="0" applyFont="1" applyAlignment="1">
      <alignment wrapText="1"/>
    </xf>
    <xf numFmtId="1" fontId="103" fillId="0" borderId="0" xfId="0" applyNumberFormat="1" applyFont="1" applyAlignment="1">
      <alignment wrapText="1"/>
    </xf>
    <xf numFmtId="0" fontId="103" fillId="0" borderId="0" xfId="0" applyFont="1" applyAlignment="1">
      <alignment wrapText="1"/>
    </xf>
    <xf numFmtId="168" fontId="95" fillId="0" borderId="11" xfId="113" applyNumberFormat="1" applyFont="1" applyFill="1" applyBorder="1" applyAlignment="1">
      <alignment horizontal="center" vertical="center" wrapText="1"/>
    </xf>
    <xf numFmtId="0" fontId="104" fillId="0" borderId="12" xfId="0" applyFont="1" applyBorder="1"/>
    <xf numFmtId="173" fontId="104" fillId="0" borderId="25" xfId="113" applyNumberFormat="1" applyFont="1" applyFill="1" applyBorder="1" applyAlignment="1">
      <alignment horizontal="right"/>
    </xf>
    <xf numFmtId="173" fontId="95" fillId="0" borderId="12" xfId="113" applyNumberFormat="1" applyFont="1" applyFill="1" applyBorder="1" applyAlignment="1">
      <alignment horizontal="right"/>
    </xf>
    <xf numFmtId="0" fontId="104" fillId="0" borderId="25" xfId="0" applyFont="1" applyBorder="1"/>
    <xf numFmtId="173" fontId="103" fillId="0" borderId="12" xfId="113" applyNumberFormat="1" applyFont="1" applyFill="1" applyBorder="1" applyAlignment="1">
      <alignment horizontal="right"/>
    </xf>
    <xf numFmtId="173" fontId="96" fillId="0" borderId="12" xfId="113" applyNumberFormat="1" applyFont="1" applyFill="1" applyBorder="1" applyAlignment="1">
      <alignment horizontal="right"/>
    </xf>
    <xf numFmtId="173" fontId="103" fillId="0" borderId="25" xfId="113" applyNumberFormat="1" applyFont="1" applyFill="1" applyBorder="1" applyAlignment="1">
      <alignment horizontal="right"/>
    </xf>
    <xf numFmtId="0" fontId="103" fillId="0" borderId="12" xfId="0" applyFont="1" applyBorder="1" applyAlignment="1">
      <alignment horizontal="left"/>
    </xf>
    <xf numFmtId="0" fontId="103" fillId="0" borderId="25" xfId="0" applyFont="1" applyBorder="1" applyAlignment="1">
      <alignment horizontal="left"/>
    </xf>
    <xf numFmtId="173" fontId="96" fillId="0" borderId="25" xfId="113" applyNumberFormat="1" applyFont="1" applyFill="1" applyBorder="1" applyAlignment="1">
      <alignment horizontal="right"/>
    </xf>
    <xf numFmtId="0" fontId="103" fillId="0" borderId="12" xfId="0" applyFont="1" applyBorder="1"/>
    <xf numFmtId="173" fontId="104" fillId="0" borderId="26" xfId="113" applyNumberFormat="1" applyFont="1" applyFill="1" applyBorder="1" applyAlignment="1">
      <alignment horizontal="right"/>
    </xf>
    <xf numFmtId="0" fontId="105" fillId="0" borderId="12" xfId="0" applyFont="1" applyBorder="1"/>
    <xf numFmtId="173" fontId="96" fillId="0" borderId="27" xfId="113" applyNumberFormat="1" applyFont="1" applyFill="1" applyBorder="1" applyAlignment="1">
      <alignment horizontal="right"/>
    </xf>
    <xf numFmtId="173" fontId="104" fillId="0" borderId="28" xfId="113" applyNumberFormat="1" applyFont="1" applyFill="1" applyBorder="1" applyAlignment="1">
      <alignment horizontal="right"/>
    </xf>
    <xf numFmtId="0" fontId="103" fillId="0" borderId="25" xfId="0" applyFont="1" applyBorder="1"/>
    <xf numFmtId="173" fontId="104" fillId="0" borderId="29" xfId="113" applyNumberFormat="1" applyFont="1" applyFill="1" applyBorder="1" applyAlignment="1">
      <alignment horizontal="right"/>
    </xf>
    <xf numFmtId="41" fontId="96" fillId="0" borderId="0" xfId="114" applyFont="1" applyAlignment="1">
      <alignment wrapText="1"/>
    </xf>
    <xf numFmtId="41" fontId="96" fillId="0" borderId="0" xfId="0" applyNumberFormat="1" applyFont="1" applyAlignment="1">
      <alignment wrapText="1"/>
    </xf>
    <xf numFmtId="0" fontId="104" fillId="0" borderId="25" xfId="0" applyFont="1" applyBorder="1" applyAlignment="1">
      <alignment horizontal="left"/>
    </xf>
    <xf numFmtId="173" fontId="104" fillId="0" borderId="12" xfId="113" applyNumberFormat="1" applyFont="1" applyFill="1" applyBorder="1" applyAlignment="1">
      <alignment horizontal="right"/>
    </xf>
    <xf numFmtId="0" fontId="104" fillId="0" borderId="30" xfId="0" applyFont="1" applyBorder="1"/>
    <xf numFmtId="173" fontId="104" fillId="0" borderId="31" xfId="113" applyNumberFormat="1" applyFont="1" applyFill="1" applyBorder="1" applyAlignment="1">
      <alignment horizontal="right"/>
    </xf>
    <xf numFmtId="0" fontId="104" fillId="0" borderId="32" xfId="0" applyFont="1" applyBorder="1"/>
    <xf numFmtId="173" fontId="104" fillId="0" borderId="33" xfId="113" applyNumberFormat="1" applyFont="1" applyFill="1" applyBorder="1" applyAlignment="1">
      <alignment horizontal="right"/>
    </xf>
    <xf numFmtId="173" fontId="106" fillId="0" borderId="25" xfId="113" applyNumberFormat="1" applyFont="1" applyFill="1" applyBorder="1" applyAlignment="1">
      <alignment horizontal="right"/>
    </xf>
    <xf numFmtId="41" fontId="103" fillId="0" borderId="25" xfId="0" applyNumberFormat="1" applyFont="1" applyBorder="1"/>
    <xf numFmtId="49" fontId="103" fillId="0" borderId="0" xfId="0" applyNumberFormat="1" applyFont="1" applyAlignment="1">
      <alignment wrapText="1"/>
    </xf>
    <xf numFmtId="0" fontId="104" fillId="0" borderId="34" xfId="0" applyFont="1" applyBorder="1"/>
    <xf numFmtId="173" fontId="104" fillId="0" borderId="35" xfId="113" applyNumberFormat="1" applyFont="1" applyFill="1" applyBorder="1" applyAlignment="1">
      <alignment horizontal="right"/>
    </xf>
    <xf numFmtId="173" fontId="103" fillId="0" borderId="29" xfId="113" applyNumberFormat="1" applyFont="1" applyFill="1" applyBorder="1" applyAlignment="1">
      <alignment horizontal="right"/>
    </xf>
    <xf numFmtId="173" fontId="96" fillId="0" borderId="16" xfId="113" applyNumberFormat="1" applyFont="1" applyFill="1" applyBorder="1" applyAlignment="1">
      <alignment horizontal="right"/>
    </xf>
    <xf numFmtId="173" fontId="104" fillId="0" borderId="27" xfId="113" applyNumberFormat="1" applyFont="1" applyFill="1" applyBorder="1" applyAlignment="1">
      <alignment horizontal="right"/>
    </xf>
    <xf numFmtId="0" fontId="104" fillId="0" borderId="36" xfId="0" applyFont="1" applyBorder="1"/>
    <xf numFmtId="173" fontId="104" fillId="0" borderId="37" xfId="113" applyNumberFormat="1" applyFont="1" applyFill="1" applyBorder="1" applyAlignment="1">
      <alignment horizontal="right"/>
    </xf>
    <xf numFmtId="173" fontId="104" fillId="0" borderId="16" xfId="113" applyNumberFormat="1" applyFont="1" applyFill="1" applyBorder="1" applyAlignment="1">
      <alignment horizontal="right"/>
    </xf>
    <xf numFmtId="0" fontId="103" fillId="0" borderId="0" xfId="0" applyFont="1"/>
    <xf numFmtId="173" fontId="95" fillId="0" borderId="38" xfId="113" applyNumberFormat="1" applyFont="1" applyFill="1" applyBorder="1" applyAlignment="1">
      <alignment horizontal="right"/>
    </xf>
    <xf numFmtId="0" fontId="104" fillId="0" borderId="16" xfId="0" applyFont="1" applyBorder="1"/>
    <xf numFmtId="41" fontId="96" fillId="0" borderId="0" xfId="114" applyFont="1"/>
    <xf numFmtId="173" fontId="96" fillId="0" borderId="0" xfId="0" applyNumberFormat="1" applyFont="1"/>
    <xf numFmtId="0" fontId="103" fillId="0" borderId="24" xfId="0" applyFont="1" applyBorder="1" applyAlignment="1">
      <alignment horizontal="left"/>
    </xf>
    <xf numFmtId="0" fontId="103" fillId="0" borderId="0" xfId="0" applyFont="1" applyAlignment="1">
      <alignment horizontal="left"/>
    </xf>
    <xf numFmtId="0" fontId="104" fillId="0" borderId="0" xfId="0" applyFont="1"/>
    <xf numFmtId="168" fontId="104" fillId="0" borderId="0" xfId="113" applyNumberFormat="1" applyFont="1" applyFill="1"/>
    <xf numFmtId="168" fontId="96" fillId="0" borderId="0" xfId="0" applyNumberFormat="1" applyFont="1"/>
    <xf numFmtId="168" fontId="96" fillId="0" borderId="0" xfId="113" applyNumberFormat="1" applyFont="1" applyFill="1"/>
    <xf numFmtId="168" fontId="96" fillId="0" borderId="0" xfId="113" applyNumberFormat="1" applyFont="1" applyFill="1" applyProtection="1">
      <protection hidden="1"/>
    </xf>
    <xf numFmtId="3" fontId="96" fillId="0" borderId="0" xfId="0" applyNumberFormat="1" applyFont="1"/>
    <xf numFmtId="0" fontId="96" fillId="0" borderId="0" xfId="0" applyFont="1" applyAlignment="1">
      <alignment horizontal="justify" vertical="center"/>
    </xf>
    <xf numFmtId="0" fontId="93" fillId="0" borderId="0" xfId="0" applyFont="1" applyAlignment="1">
      <alignment horizontal="left" vertical="center" indent="5"/>
    </xf>
    <xf numFmtId="0" fontId="107" fillId="0" borderId="0" xfId="0" applyFont="1"/>
    <xf numFmtId="41" fontId="96" fillId="0" borderId="0" xfId="114" applyFont="1" applyFill="1"/>
    <xf numFmtId="3" fontId="95" fillId="0" borderId="0" xfId="0" applyNumberFormat="1" applyFont="1"/>
    <xf numFmtId="169" fontId="96" fillId="0" borderId="0" xfId="0" applyNumberFormat="1" applyFont="1"/>
    <xf numFmtId="169" fontId="96" fillId="0" borderId="0" xfId="113" applyNumberFormat="1" applyFont="1" applyFill="1"/>
    <xf numFmtId="0" fontId="93" fillId="0" borderId="0" xfId="0" applyFont="1" applyAlignment="1">
      <alignment horizontal="center" vertical="center" wrapText="1"/>
    </xf>
    <xf numFmtId="0" fontId="104" fillId="0" borderId="19" xfId="0" applyFont="1" applyBorder="1" applyAlignment="1">
      <alignment horizontal="center"/>
    </xf>
    <xf numFmtId="0" fontId="104" fillId="0" borderId="39" xfId="0" applyFont="1" applyBorder="1" applyAlignment="1">
      <alignment horizontal="center" wrapText="1"/>
    </xf>
    <xf numFmtId="0" fontId="104" fillId="0" borderId="40" xfId="0" applyFont="1" applyBorder="1" applyAlignment="1">
      <alignment horizontal="center"/>
    </xf>
    <xf numFmtId="0" fontId="104" fillId="0" borderId="39" xfId="0" applyFont="1" applyBorder="1" applyAlignment="1">
      <alignment horizontal="center"/>
    </xf>
    <xf numFmtId="0" fontId="104" fillId="0" borderId="41" xfId="0" applyFont="1" applyBorder="1" applyAlignment="1">
      <alignment horizontal="center"/>
    </xf>
    <xf numFmtId="0" fontId="104" fillId="0" borderId="40" xfId="0" applyFont="1" applyBorder="1" applyAlignment="1">
      <alignment horizontal="center" wrapText="1"/>
    </xf>
    <xf numFmtId="168" fontId="103" fillId="0" borderId="42" xfId="113" applyNumberFormat="1" applyFont="1" applyBorder="1"/>
    <xf numFmtId="41" fontId="103" fillId="0" borderId="43" xfId="114" applyFont="1" applyBorder="1" applyAlignment="1">
      <alignment horizontal="right"/>
    </xf>
    <xf numFmtId="41" fontId="103" fillId="0" borderId="44" xfId="114" applyFont="1" applyBorder="1" applyAlignment="1">
      <alignment horizontal="right"/>
    </xf>
    <xf numFmtId="41" fontId="103" fillId="0" borderId="45" xfId="114" applyFont="1" applyBorder="1" applyAlignment="1">
      <alignment horizontal="right"/>
    </xf>
    <xf numFmtId="41" fontId="103" fillId="0" borderId="46" xfId="114" applyFont="1" applyBorder="1" applyAlignment="1">
      <alignment horizontal="right"/>
    </xf>
    <xf numFmtId="41" fontId="104" fillId="0" borderId="43" xfId="114" applyFont="1" applyBorder="1" applyAlignment="1">
      <alignment horizontal="right"/>
    </xf>
    <xf numFmtId="41" fontId="104" fillId="0" borderId="44" xfId="114" applyFont="1" applyBorder="1" applyAlignment="1">
      <alignment horizontal="right"/>
    </xf>
    <xf numFmtId="168" fontId="108" fillId="0" borderId="42" xfId="113" applyNumberFormat="1" applyFont="1" applyBorder="1"/>
    <xf numFmtId="41" fontId="103" fillId="0" borderId="47" xfId="114" applyFont="1" applyBorder="1" applyAlignment="1">
      <alignment horizontal="right"/>
    </xf>
    <xf numFmtId="41" fontId="103" fillId="0" borderId="48" xfId="114" applyFont="1" applyBorder="1" applyAlignment="1">
      <alignment horizontal="right"/>
    </xf>
    <xf numFmtId="41" fontId="103" fillId="0" borderId="25" xfId="114" applyFont="1" applyBorder="1" applyAlignment="1">
      <alignment horizontal="right"/>
    </xf>
    <xf numFmtId="41" fontId="103" fillId="0" borderId="49" xfId="114" applyFont="1" applyBorder="1" applyAlignment="1">
      <alignment horizontal="right"/>
    </xf>
    <xf numFmtId="41" fontId="103" fillId="0" borderId="50" xfId="114" applyFont="1" applyBorder="1" applyAlignment="1">
      <alignment horizontal="right"/>
    </xf>
    <xf numFmtId="41" fontId="103" fillId="0" borderId="5" xfId="114" applyFont="1" applyBorder="1" applyAlignment="1">
      <alignment horizontal="right"/>
    </xf>
    <xf numFmtId="41" fontId="103" fillId="0" borderId="51" xfId="114" applyFont="1" applyBorder="1" applyAlignment="1">
      <alignment horizontal="right"/>
    </xf>
    <xf numFmtId="41" fontId="104" fillId="0" borderId="52" xfId="114" applyFont="1" applyBorder="1" applyAlignment="1">
      <alignment horizontal="right"/>
    </xf>
    <xf numFmtId="0" fontId="104" fillId="0" borderId="39" xfId="0" applyFont="1" applyBorder="1"/>
    <xf numFmtId="41" fontId="104" fillId="0" borderId="53" xfId="114" applyFont="1" applyBorder="1" applyAlignment="1">
      <alignment horizontal="right"/>
    </xf>
    <xf numFmtId="41" fontId="104" fillId="0" borderId="54" xfId="114" applyFont="1" applyBorder="1" applyAlignment="1">
      <alignment horizontal="right"/>
    </xf>
    <xf numFmtId="41" fontId="104" fillId="0" borderId="20" xfId="114" applyFont="1" applyBorder="1" applyAlignment="1">
      <alignment horizontal="right"/>
    </xf>
    <xf numFmtId="41" fontId="104" fillId="0" borderId="55" xfId="114" applyFont="1" applyBorder="1" applyAlignment="1">
      <alignment horizontal="right"/>
    </xf>
    <xf numFmtId="41" fontId="95" fillId="0" borderId="54" xfId="114" applyFont="1" applyBorder="1" applyAlignment="1">
      <alignment horizontal="right"/>
    </xf>
    <xf numFmtId="41" fontId="95" fillId="0" borderId="21" xfId="114" applyFont="1" applyBorder="1" applyAlignment="1">
      <alignment horizontal="right"/>
    </xf>
    <xf numFmtId="0" fontId="104" fillId="0" borderId="56" xfId="0" applyFont="1" applyBorder="1"/>
    <xf numFmtId="41" fontId="104" fillId="0" borderId="57" xfId="114" applyFont="1" applyBorder="1" applyAlignment="1">
      <alignment horizontal="right"/>
    </xf>
    <xf numFmtId="0" fontId="0" fillId="0" borderId="0" xfId="0" quotePrefix="1" applyFont="1" applyFill="1"/>
    <xf numFmtId="3" fontId="109" fillId="0" borderId="0" xfId="0" applyNumberFormat="1" applyFont="1"/>
    <xf numFmtId="3" fontId="110" fillId="0" borderId="0" xfId="0" applyNumberFormat="1" applyFont="1"/>
    <xf numFmtId="3" fontId="85" fillId="0" borderId="11" xfId="0" applyNumberFormat="1" applyFont="1" applyBorder="1" applyAlignment="1"/>
    <xf numFmtId="0" fontId="96" fillId="0" borderId="19" xfId="0" applyFont="1" applyBorder="1"/>
    <xf numFmtId="3" fontId="96" fillId="0" borderId="20" xfId="0" applyNumberFormat="1" applyFont="1" applyBorder="1"/>
    <xf numFmtId="14" fontId="95" fillId="0" borderId="54" xfId="114" applyNumberFormat="1" applyFont="1" applyFill="1" applyBorder="1" applyAlignment="1">
      <alignment horizontal="center" wrapText="1"/>
    </xf>
    <xf numFmtId="0" fontId="95" fillId="0" borderId="42" xfId="0" applyFont="1" applyBorder="1"/>
    <xf numFmtId="3" fontId="95" fillId="0" borderId="0" xfId="0" applyNumberFormat="1" applyFont="1" applyBorder="1"/>
    <xf numFmtId="0" fontId="96" fillId="0" borderId="0" xfId="0" applyFont="1" applyBorder="1"/>
    <xf numFmtId="173" fontId="96" fillId="0" borderId="48" xfId="113" applyNumberFormat="1" applyFont="1" applyFill="1" applyBorder="1" applyAlignment="1">
      <alignment horizontal="right"/>
    </xf>
    <xf numFmtId="173" fontId="95" fillId="0" borderId="0" xfId="113" applyNumberFormat="1" applyFont="1" applyFill="1" applyBorder="1" applyAlignment="1">
      <alignment horizontal="right"/>
    </xf>
    <xf numFmtId="41" fontId="95" fillId="0" borderId="48" xfId="114" applyFont="1" applyFill="1" applyBorder="1" applyAlignment="1">
      <alignment horizontal="right"/>
    </xf>
    <xf numFmtId="0" fontId="96" fillId="0" borderId="42" xfId="0" applyFont="1" applyBorder="1"/>
    <xf numFmtId="173" fontId="96" fillId="0" borderId="0" xfId="113" applyNumberFormat="1" applyFont="1" applyFill="1" applyBorder="1" applyAlignment="1">
      <alignment horizontal="right"/>
    </xf>
    <xf numFmtId="41" fontId="96" fillId="0" borderId="48" xfId="114" applyFont="1" applyFill="1" applyBorder="1" applyAlignment="1">
      <alignment horizontal="right"/>
    </xf>
    <xf numFmtId="49" fontId="96" fillId="0" borderId="42" xfId="0" applyNumberFormat="1" applyFont="1" applyBorder="1"/>
    <xf numFmtId="0" fontId="95" fillId="0" borderId="58" xfId="0" applyFont="1" applyBorder="1"/>
    <xf numFmtId="3" fontId="96" fillId="0" borderId="23" xfId="0" applyNumberFormat="1" applyFont="1" applyBorder="1"/>
    <xf numFmtId="49" fontId="95" fillId="0" borderId="42" xfId="0" applyNumberFormat="1" applyFont="1" applyBorder="1"/>
    <xf numFmtId="3" fontId="96" fillId="0" borderId="15" xfId="0" applyNumberFormat="1" applyFont="1" applyBorder="1"/>
    <xf numFmtId="3" fontId="96" fillId="0" borderId="0" xfId="0" applyNumberFormat="1" applyFont="1" applyBorder="1"/>
    <xf numFmtId="41" fontId="96" fillId="0" borderId="0" xfId="0" applyNumberFormat="1" applyFont="1"/>
    <xf numFmtId="0" fontId="103" fillId="0" borderId="17" xfId="0" applyFont="1" applyBorder="1"/>
    <xf numFmtId="41" fontId="103" fillId="0" borderId="59" xfId="114" applyFont="1" applyBorder="1" applyAlignment="1">
      <alignment horizontal="right"/>
    </xf>
    <xf numFmtId="41" fontId="103" fillId="0" borderId="60" xfId="114" applyFont="1" applyBorder="1" applyAlignment="1">
      <alignment horizontal="right"/>
    </xf>
    <xf numFmtId="41" fontId="103" fillId="0" borderId="12" xfId="114" applyFont="1" applyBorder="1" applyAlignment="1">
      <alignment horizontal="right"/>
    </xf>
    <xf numFmtId="0" fontId="95" fillId="0" borderId="12" xfId="0" applyFont="1" applyBorder="1"/>
    <xf numFmtId="41" fontId="96" fillId="0" borderId="12" xfId="114" applyFont="1" applyBorder="1" applyAlignment="1">
      <alignment horizontal="right"/>
    </xf>
    <xf numFmtId="41" fontId="95" fillId="0" borderId="26" xfId="114" applyFont="1" applyBorder="1" applyAlignment="1">
      <alignment horizontal="right"/>
    </xf>
    <xf numFmtId="0" fontId="96" fillId="0" borderId="12" xfId="0" applyFont="1" applyBorder="1"/>
    <xf numFmtId="41" fontId="95" fillId="0" borderId="12" xfId="114" applyFont="1" applyBorder="1" applyAlignment="1">
      <alignment horizontal="right"/>
    </xf>
    <xf numFmtId="0" fontId="111" fillId="0" borderId="12" xfId="0" applyFont="1" applyBorder="1"/>
    <xf numFmtId="41" fontId="111" fillId="0" borderId="12" xfId="114" applyFont="1" applyBorder="1" applyAlignment="1">
      <alignment horizontal="right"/>
    </xf>
    <xf numFmtId="0" fontId="103" fillId="0" borderId="16" xfId="0" applyFont="1" applyBorder="1"/>
    <xf numFmtId="41" fontId="104" fillId="0" borderId="61" xfId="114" applyFont="1" applyBorder="1" applyAlignment="1">
      <alignment horizontal="right"/>
    </xf>
    <xf numFmtId="3" fontId="112" fillId="0" borderId="0" xfId="0" applyNumberFormat="1" applyFont="1"/>
    <xf numFmtId="3" fontId="113" fillId="0" borderId="0" xfId="0" applyNumberFormat="1" applyFont="1"/>
    <xf numFmtId="3" fontId="0" fillId="0" borderId="0" xfId="0" applyNumberFormat="1" applyFont="1"/>
    <xf numFmtId="0" fontId="93" fillId="0" borderId="0" xfId="0" applyFont="1" applyAlignment="1"/>
    <xf numFmtId="0" fontId="114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5" fillId="0" borderId="62" xfId="0" applyFont="1" applyBorder="1"/>
    <xf numFmtId="173" fontId="95" fillId="0" borderId="48" xfId="113" applyNumberFormat="1" applyFont="1" applyFill="1" applyBorder="1" applyAlignment="1">
      <alignment horizontal="right"/>
    </xf>
    <xf numFmtId="0" fontId="95" fillId="0" borderId="63" xfId="0" applyFont="1" applyBorder="1"/>
    <xf numFmtId="41" fontId="95" fillId="0" borderId="23" xfId="114" applyFont="1" applyBorder="1"/>
    <xf numFmtId="3" fontId="96" fillId="0" borderId="64" xfId="0" applyNumberFormat="1" applyFont="1" applyBorder="1"/>
    <xf numFmtId="41" fontId="95" fillId="0" borderId="64" xfId="114" applyFont="1" applyBorder="1"/>
    <xf numFmtId="41" fontId="93" fillId="0" borderId="11" xfId="114" applyFont="1" applyFill="1" applyBorder="1"/>
    <xf numFmtId="41" fontId="6" fillId="0" borderId="26" xfId="114" applyFont="1" applyBorder="1" applyAlignment="1"/>
    <xf numFmtId="0" fontId="93" fillId="0" borderId="65" xfId="0" applyFont="1" applyBorder="1" applyAlignment="1">
      <alignment horizontal="left"/>
    </xf>
    <xf numFmtId="0" fontId="85" fillId="0" borderId="67" xfId="0" applyFont="1" applyBorder="1" applyAlignment="1">
      <alignment horizontal="left"/>
    </xf>
    <xf numFmtId="41" fontId="85" fillId="0" borderId="11" xfId="114" applyFont="1" applyBorder="1" applyAlignment="1">
      <alignment horizontal="right" wrapText="1"/>
    </xf>
    <xf numFmtId="0" fontId="101" fillId="0" borderId="11" xfId="0" applyFont="1" applyBorder="1" applyAlignment="1">
      <alignment horizontal="center" vertical="center"/>
    </xf>
    <xf numFmtId="173" fontId="101" fillId="0" borderId="11" xfId="113" applyNumberFormat="1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41" fontId="85" fillId="0" borderId="11" xfId="114" applyFont="1" applyFill="1" applyBorder="1" applyAlignment="1">
      <alignment horizontal="right" vertical="center" wrapText="1"/>
    </xf>
    <xf numFmtId="0" fontId="0" fillId="0" borderId="0" xfId="0" applyFill="1"/>
    <xf numFmtId="0" fontId="85" fillId="0" borderId="0" xfId="0" applyFont="1" applyAlignment="1">
      <alignment horizontal="center" vertical="center"/>
    </xf>
    <xf numFmtId="0" fontId="0" fillId="0" borderId="0" xfId="0" quotePrefix="1" applyFill="1"/>
    <xf numFmtId="14" fontId="104" fillId="0" borderId="39" xfId="0" applyNumberFormat="1" applyFont="1" applyBorder="1" applyAlignment="1">
      <alignment horizontal="center" wrapText="1"/>
    </xf>
    <xf numFmtId="14" fontId="104" fillId="0" borderId="40" xfId="0" applyNumberFormat="1" applyFont="1" applyBorder="1" applyAlignment="1">
      <alignment horizontal="center" wrapText="1"/>
    </xf>
    <xf numFmtId="0" fontId="100" fillId="0" borderId="13" xfId="0" applyFont="1" applyBorder="1" applyAlignment="1">
      <alignment horizontal="left" vertical="center"/>
    </xf>
    <xf numFmtId="0" fontId="100" fillId="0" borderId="12" xfId="0" applyFont="1" applyBorder="1" applyAlignment="1">
      <alignment horizontal="left" vertical="center"/>
    </xf>
    <xf numFmtId="0" fontId="101" fillId="0" borderId="22" xfId="0" applyFont="1" applyBorder="1" applyAlignment="1">
      <alignment horizontal="left" vertical="center"/>
    </xf>
    <xf numFmtId="0" fontId="101" fillId="0" borderId="11" xfId="0" applyFont="1" applyBorder="1" applyAlignment="1">
      <alignment horizontal="left" vertical="center"/>
    </xf>
    <xf numFmtId="0" fontId="101" fillId="0" borderId="18" xfId="0" applyFont="1" applyBorder="1" applyAlignment="1">
      <alignment horizontal="left" vertical="center"/>
    </xf>
    <xf numFmtId="3" fontId="100" fillId="0" borderId="25" xfId="0" applyNumberFormat="1" applyFont="1" applyBorder="1" applyAlignment="1">
      <alignment horizontal="left" vertical="center"/>
    </xf>
    <xf numFmtId="0" fontId="100" fillId="0" borderId="69" xfId="0" applyFont="1" applyBorder="1" applyAlignment="1">
      <alignment horizontal="left" vertical="center"/>
    </xf>
    <xf numFmtId="0" fontId="100" fillId="0" borderId="17" xfId="0" applyFont="1" applyBorder="1" applyAlignment="1">
      <alignment horizontal="left" vertical="center"/>
    </xf>
    <xf numFmtId="0" fontId="101" fillId="0" borderId="72" xfId="0" applyFont="1" applyBorder="1" applyAlignment="1">
      <alignment horizontal="left" vertical="center"/>
    </xf>
    <xf numFmtId="10" fontId="100" fillId="0" borderId="71" xfId="0" applyNumberFormat="1" applyFont="1" applyBorder="1" applyAlignment="1">
      <alignment horizontal="right" vertical="center"/>
    </xf>
    <xf numFmtId="10" fontId="100" fillId="0" borderId="48" xfId="0" applyNumberFormat="1" applyFont="1" applyBorder="1" applyAlignment="1">
      <alignment horizontal="right" vertical="center"/>
    </xf>
    <xf numFmtId="41" fontId="85" fillId="0" borderId="0" xfId="114" applyFont="1" applyAlignment="1"/>
    <xf numFmtId="41" fontId="93" fillId="0" borderId="0" xfId="114" applyFont="1" applyAlignment="1"/>
    <xf numFmtId="0" fontId="85" fillId="0" borderId="0" xfId="0" applyFont="1" applyAlignment="1">
      <alignment wrapText="1"/>
    </xf>
    <xf numFmtId="0" fontId="115" fillId="0" borderId="0" xfId="0" applyFont="1" applyAlignment="1">
      <alignment horizontal="center" vertical="center"/>
    </xf>
    <xf numFmtId="0" fontId="104" fillId="0" borderId="11" xfId="0" applyFont="1" applyBorder="1" applyAlignment="1">
      <alignment vertical="center"/>
    </xf>
    <xf numFmtId="3" fontId="95" fillId="0" borderId="65" xfId="0" applyNumberFormat="1" applyFont="1" applyBorder="1"/>
    <xf numFmtId="0" fontId="96" fillId="0" borderId="65" xfId="0" applyFont="1" applyBorder="1"/>
    <xf numFmtId="173" fontId="96" fillId="0" borderId="66" xfId="113" applyNumberFormat="1" applyFont="1" applyFill="1" applyBorder="1" applyAlignment="1">
      <alignment horizontal="right"/>
    </xf>
    <xf numFmtId="41" fontId="93" fillId="0" borderId="11" xfId="114" applyFont="1" applyBorder="1" applyAlignment="1">
      <alignment horizontal="center" vertical="center"/>
    </xf>
    <xf numFmtId="41" fontId="85" fillId="0" borderId="11" xfId="114" applyFont="1" applyBorder="1" applyAlignment="1">
      <alignment horizontal="center" vertical="center" wrapText="1"/>
    </xf>
    <xf numFmtId="41" fontId="93" fillId="0" borderId="11" xfId="114" applyFont="1" applyBorder="1" applyAlignment="1">
      <alignment vertical="center"/>
    </xf>
    <xf numFmtId="41" fontId="85" fillId="0" borderId="11" xfId="114" applyFont="1" applyBorder="1" applyAlignment="1">
      <alignment horizontal="center" vertical="center"/>
    </xf>
    <xf numFmtId="41" fontId="85" fillId="0" borderId="17" xfId="114" applyFont="1" applyBorder="1" applyAlignment="1">
      <alignment horizontal="center" wrapText="1"/>
    </xf>
    <xf numFmtId="41" fontId="85" fillId="0" borderId="16" xfId="114" applyFont="1" applyBorder="1" applyAlignment="1">
      <alignment horizontal="center" vertical="center" wrapText="1"/>
    </xf>
    <xf numFmtId="0" fontId="88" fillId="0" borderId="11" xfId="0" applyFont="1" applyBorder="1"/>
    <xf numFmtId="0" fontId="116" fillId="0" borderId="11" xfId="0" applyFont="1" applyBorder="1" applyAlignment="1">
      <alignment vertical="center"/>
    </xf>
    <xf numFmtId="0" fontId="101" fillId="0" borderId="21" xfId="0" applyFont="1" applyBorder="1" applyAlignment="1">
      <alignment horizontal="center" vertical="center" wrapText="1"/>
    </xf>
    <xf numFmtId="0" fontId="95" fillId="0" borderId="16" xfId="0" applyFont="1" applyBorder="1" applyAlignment="1">
      <alignment vertical="center"/>
    </xf>
    <xf numFmtId="41" fontId="96" fillId="0" borderId="16" xfId="114" applyFont="1" applyBorder="1" applyAlignment="1">
      <alignment vertical="center"/>
    </xf>
    <xf numFmtId="41" fontId="101" fillId="0" borderId="16" xfId="114" applyFont="1" applyBorder="1" applyAlignment="1">
      <alignment vertical="center"/>
    </xf>
    <xf numFmtId="0" fontId="101" fillId="0" borderId="0" xfId="0" applyFont="1" applyAlignment="1">
      <alignment horizontal="center" vertical="center" wrapText="1"/>
    </xf>
    <xf numFmtId="41" fontId="96" fillId="0" borderId="0" xfId="114" applyFont="1" applyFill="1" applyBorder="1" applyAlignment="1">
      <alignment horizontal="right" vertical="center"/>
    </xf>
    <xf numFmtId="0" fontId="111" fillId="0" borderId="11" xfId="0" applyFont="1" applyBorder="1" applyAlignment="1">
      <alignment vertical="center"/>
    </xf>
    <xf numFmtId="0" fontId="100" fillId="0" borderId="17" xfId="0" applyFont="1" applyBorder="1" applyAlignment="1">
      <alignment horizontal="center" vertical="center"/>
    </xf>
    <xf numFmtId="173" fontId="100" fillId="0" borderId="17" xfId="113" applyNumberFormat="1" applyFont="1" applyFill="1" applyBorder="1" applyAlignment="1">
      <alignment horizontal="center" vertical="center"/>
    </xf>
    <xf numFmtId="41" fontId="96" fillId="0" borderId="16" xfId="114" applyFont="1" applyBorder="1"/>
    <xf numFmtId="0" fontId="101" fillId="0" borderId="21" xfId="0" applyFont="1" applyBorder="1" applyAlignment="1">
      <alignment horizontal="center" vertical="center"/>
    </xf>
    <xf numFmtId="0" fontId="101" fillId="0" borderId="74" xfId="0" applyFont="1" applyBorder="1" applyAlignment="1">
      <alignment vertical="center"/>
    </xf>
    <xf numFmtId="0" fontId="101" fillId="0" borderId="75" xfId="0" applyFont="1" applyBorder="1" applyAlignment="1">
      <alignment vertical="center"/>
    </xf>
    <xf numFmtId="0" fontId="101" fillId="0" borderId="76" xfId="0" applyFont="1" applyBorder="1" applyAlignment="1">
      <alignment vertical="center"/>
    </xf>
    <xf numFmtId="41" fontId="101" fillId="0" borderId="76" xfId="114" applyFont="1" applyBorder="1" applyAlignment="1">
      <alignment vertical="center"/>
    </xf>
    <xf numFmtId="173" fontId="101" fillId="0" borderId="76" xfId="113" applyNumberFormat="1" applyFont="1" applyBorder="1" applyAlignment="1">
      <alignment horizontal="right"/>
    </xf>
    <xf numFmtId="173" fontId="101" fillId="0" borderId="77" xfId="113" applyNumberFormat="1" applyFont="1" applyBorder="1" applyAlignment="1">
      <alignment horizontal="right"/>
    </xf>
    <xf numFmtId="0" fontId="101" fillId="0" borderId="78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0" fillId="0" borderId="0" xfId="107" quotePrefix="1" applyFill="1"/>
    <xf numFmtId="0" fontId="70" fillId="0" borderId="15" xfId="107" quotePrefix="1" applyBorder="1" applyAlignment="1">
      <alignment horizontal="center" vertical="center"/>
    </xf>
    <xf numFmtId="0" fontId="70" fillId="0" borderId="0" xfId="107" quotePrefix="1" applyAlignment="1">
      <alignment horizontal="center" vertical="center"/>
    </xf>
    <xf numFmtId="0" fontId="70" fillId="0" borderId="12" xfId="107" applyBorder="1"/>
    <xf numFmtId="0" fontId="70" fillId="0" borderId="12" xfId="107" applyBorder="1" applyAlignment="1">
      <alignment horizontal="left"/>
    </xf>
    <xf numFmtId="0" fontId="96" fillId="0" borderId="22" xfId="0" applyFont="1" applyFill="1" applyBorder="1" applyAlignment="1">
      <alignment horizontal="left"/>
    </xf>
    <xf numFmtId="41" fontId="93" fillId="0" borderId="23" xfId="114" applyFont="1" applyFill="1" applyBorder="1" applyAlignment="1">
      <alignment horizontal="right"/>
    </xf>
    <xf numFmtId="41" fontId="93" fillId="0" borderId="18" xfId="114" applyFont="1" applyFill="1" applyBorder="1" applyAlignment="1">
      <alignment horizontal="right"/>
    </xf>
    <xf numFmtId="0" fontId="9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0" fillId="0" borderId="0" xfId="107" quotePrefix="1" applyAlignment="1">
      <alignment horizontal="left"/>
    </xf>
    <xf numFmtId="0" fontId="70" fillId="0" borderId="0" xfId="107" quotePrefix="1"/>
    <xf numFmtId="41" fontId="85" fillId="0" borderId="11" xfId="114" applyFont="1" applyFill="1" applyBorder="1" applyAlignment="1"/>
    <xf numFmtId="41" fontId="85" fillId="0" borderId="11" xfId="0" applyNumberFormat="1" applyFont="1" applyFill="1" applyBorder="1" applyAlignment="1">
      <alignment horizontal="center" vertical="center"/>
    </xf>
    <xf numFmtId="0" fontId="70" fillId="0" borderId="0" xfId="107" quotePrefix="1" applyAlignment="1">
      <alignment wrapText="1"/>
    </xf>
    <xf numFmtId="41" fontId="93" fillId="0" borderId="11" xfId="114" applyFont="1" applyBorder="1" applyAlignment="1">
      <alignment horizontal="left" wrapText="1"/>
    </xf>
    <xf numFmtId="41" fontId="101" fillId="0" borderId="11" xfId="114" applyFont="1" applyBorder="1" applyAlignment="1">
      <alignment wrapText="1"/>
    </xf>
    <xf numFmtId="0" fontId="70" fillId="0" borderId="25" xfId="107" applyBorder="1" applyAlignment="1">
      <alignment horizontal="left"/>
    </xf>
    <xf numFmtId="0" fontId="70" fillId="0" borderId="25" xfId="107" applyBorder="1"/>
    <xf numFmtId="14" fontId="93" fillId="0" borderId="0" xfId="0" applyNumberFormat="1" applyFont="1" applyAlignment="1">
      <alignment wrapText="1"/>
    </xf>
    <xf numFmtId="0" fontId="115" fillId="0" borderId="0" xfId="0" applyFont="1" applyAlignment="1">
      <alignment horizontal="center"/>
    </xf>
    <xf numFmtId="0" fontId="70" fillId="0" borderId="0" xfId="107" quotePrefix="1" applyAlignment="1">
      <alignment vertical="center"/>
    </xf>
    <xf numFmtId="0" fontId="70" fillId="0" borderId="67" xfId="107" applyBorder="1"/>
    <xf numFmtId="41" fontId="95" fillId="0" borderId="70" xfId="114" applyFont="1" applyBorder="1"/>
    <xf numFmtId="0" fontId="70" fillId="0" borderId="15" xfId="107" quotePrefix="1" applyBorder="1" applyAlignment="1">
      <alignment horizontal="center"/>
    </xf>
    <xf numFmtId="49" fontId="70" fillId="0" borderId="42" xfId="107" applyNumberFormat="1" applyBorder="1"/>
    <xf numFmtId="0" fontId="70" fillId="0" borderId="42" xfId="107" applyBorder="1"/>
    <xf numFmtId="0" fontId="115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 wrapText="1"/>
    </xf>
    <xf numFmtId="0" fontId="111" fillId="0" borderId="0" xfId="0" applyFont="1" applyAlignment="1">
      <alignment vertical="center" wrapText="1"/>
    </xf>
    <xf numFmtId="0" fontId="96" fillId="0" borderId="0" xfId="0" applyFont="1" applyAlignment="1"/>
    <xf numFmtId="173" fontId="101" fillId="0" borderId="0" xfId="113" applyNumberFormat="1" applyFont="1" applyFill="1" applyBorder="1" applyAlignment="1">
      <alignment horizontal="right" vertical="center"/>
    </xf>
    <xf numFmtId="173" fontId="100" fillId="0" borderId="11" xfId="113" applyNumberFormat="1" applyFont="1" applyBorder="1" applyAlignment="1">
      <alignment horizontal="center" vertical="center"/>
    </xf>
    <xf numFmtId="173" fontId="96" fillId="0" borderId="11" xfId="113" applyNumberFormat="1" applyFont="1" applyFill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14" fontId="85" fillId="0" borderId="11" xfId="0" applyNumberFormat="1" applyFont="1" applyBorder="1" applyAlignment="1">
      <alignment horizontal="center"/>
    </xf>
    <xf numFmtId="0" fontId="90" fillId="0" borderId="80" xfId="0" applyFont="1" applyBorder="1" applyAlignment="1">
      <alignment horizontal="center" vertical="center"/>
    </xf>
    <xf numFmtId="0" fontId="115" fillId="0" borderId="54" xfId="0" applyFont="1" applyBorder="1" applyAlignment="1">
      <alignment horizontal="center" wrapText="1"/>
    </xf>
    <xf numFmtId="0" fontId="0" fillId="0" borderId="0" xfId="0" quotePrefix="1" applyFill="1"/>
    <xf numFmtId="168" fontId="95" fillId="0" borderId="0" xfId="113" applyNumberFormat="1" applyFont="1" applyFill="1"/>
    <xf numFmtId="0" fontId="95" fillId="0" borderId="0" xfId="0" applyFont="1"/>
    <xf numFmtId="188" fontId="42" fillId="0" borderId="0" xfId="247" applyNumberFormat="1" applyFont="1"/>
    <xf numFmtId="188" fontId="1" fillId="0" borderId="0" xfId="247" applyNumberFormat="1"/>
    <xf numFmtId="0" fontId="1" fillId="0" borderId="0" xfId="247"/>
    <xf numFmtId="188" fontId="11" fillId="0" borderId="67" xfId="247" applyNumberFormat="1" applyFont="1" applyBorder="1"/>
    <xf numFmtId="188" fontId="11" fillId="0" borderId="81" xfId="247" applyNumberFormat="1" applyFont="1" applyBorder="1"/>
    <xf numFmtId="188" fontId="11" fillId="0" borderId="67" xfId="247" applyNumberFormat="1" applyFont="1" applyBorder="1" applyAlignment="1">
      <alignment horizontal="centerContinuous"/>
    </xf>
    <xf numFmtId="188" fontId="11" fillId="0" borderId="66" xfId="247" applyNumberFormat="1" applyFont="1" applyBorder="1" applyAlignment="1">
      <alignment horizontal="centerContinuous"/>
    </xf>
    <xf numFmtId="188" fontId="11" fillId="0" borderId="65" xfId="247" applyNumberFormat="1" applyFont="1" applyBorder="1"/>
    <xf numFmtId="188" fontId="43" fillId="0" borderId="81" xfId="247" applyNumberFormat="1" applyFont="1" applyBorder="1" applyAlignment="1">
      <alignment horizontal="center"/>
    </xf>
    <xf numFmtId="188" fontId="11" fillId="0" borderId="66" xfId="247" applyNumberFormat="1" applyFont="1" applyBorder="1"/>
    <xf numFmtId="188" fontId="11" fillId="0" borderId="42" xfId="247" applyNumberFormat="1" applyFont="1" applyBorder="1" applyAlignment="1">
      <alignment horizontal="center"/>
    </xf>
    <xf numFmtId="188" fontId="43" fillId="0" borderId="82" xfId="247" applyNumberFormat="1" applyFont="1" applyBorder="1" applyAlignment="1">
      <alignment horizontal="center"/>
    </xf>
    <xf numFmtId="188" fontId="43" fillId="0" borderId="68" xfId="247" applyNumberFormat="1" applyFont="1" applyBorder="1" applyAlignment="1">
      <alignment horizontal="centerContinuous"/>
    </xf>
    <xf numFmtId="188" fontId="11" fillId="0" borderId="73" xfId="247" applyNumberFormat="1" applyFont="1" applyBorder="1" applyAlignment="1">
      <alignment horizontal="centerContinuous"/>
    </xf>
    <xf numFmtId="188" fontId="11" fillId="0" borderId="42" xfId="247" applyNumberFormat="1" applyFont="1" applyBorder="1" applyAlignment="1">
      <alignment horizontal="centerContinuous"/>
    </xf>
    <xf numFmtId="188" fontId="11" fillId="0" borderId="0" xfId="247" applyNumberFormat="1" applyFont="1" applyAlignment="1">
      <alignment horizontal="centerContinuous"/>
    </xf>
    <xf numFmtId="188" fontId="6" fillId="0" borderId="82" xfId="247" applyNumberFormat="1" applyFont="1" applyBorder="1" applyAlignment="1">
      <alignment horizontal="center"/>
    </xf>
    <xf numFmtId="188" fontId="11" fillId="0" borderId="48" xfId="247" applyNumberFormat="1" applyFont="1" applyBorder="1" applyAlignment="1">
      <alignment horizontal="center"/>
    </xf>
    <xf numFmtId="188" fontId="11" fillId="0" borderId="42" xfId="247" applyNumberFormat="1" applyFont="1" applyBorder="1"/>
    <xf numFmtId="188" fontId="43" fillId="0" borderId="66" xfId="247" applyNumberFormat="1" applyFont="1" applyBorder="1" applyAlignment="1">
      <alignment horizontal="center"/>
    </xf>
    <xf numFmtId="188" fontId="43" fillId="0" borderId="67" xfId="247" applyNumberFormat="1" applyFont="1" applyBorder="1" applyAlignment="1">
      <alignment horizontal="center"/>
    </xf>
    <xf numFmtId="188" fontId="6" fillId="0" borderId="81" xfId="247" applyNumberFormat="1" applyFont="1" applyBorder="1" applyAlignment="1">
      <alignment horizontal="center"/>
    </xf>
    <xf numFmtId="188" fontId="6" fillId="0" borderId="66" xfId="247" applyNumberFormat="1" applyFont="1" applyBorder="1" applyAlignment="1">
      <alignment horizontal="center"/>
    </xf>
    <xf numFmtId="188" fontId="44" fillId="0" borderId="66" xfId="247" applyNumberFormat="1" applyFont="1" applyBorder="1" applyAlignment="1">
      <alignment horizontal="center"/>
    </xf>
    <xf numFmtId="188" fontId="11" fillId="0" borderId="68" xfId="247" applyNumberFormat="1" applyFont="1" applyBorder="1" applyAlignment="1">
      <alignment horizontal="center"/>
    </xf>
    <xf numFmtId="188" fontId="117" fillId="0" borderId="83" xfId="247" applyNumberFormat="1" applyFont="1" applyBorder="1" applyAlignment="1">
      <alignment horizontal="center"/>
    </xf>
    <xf numFmtId="188" fontId="43" fillId="0" borderId="83" xfId="247" applyNumberFormat="1" applyFont="1" applyBorder="1" applyAlignment="1">
      <alignment horizontal="center"/>
    </xf>
    <xf numFmtId="188" fontId="43" fillId="0" borderId="73" xfId="247" applyNumberFormat="1" applyFont="1" applyBorder="1" applyAlignment="1">
      <alignment horizontal="center"/>
    </xf>
    <xf numFmtId="188" fontId="43" fillId="0" borderId="68" xfId="247" applyNumberFormat="1" applyFont="1" applyBorder="1" applyAlignment="1">
      <alignment horizontal="center"/>
    </xf>
    <xf numFmtId="188" fontId="6" fillId="0" borderId="83" xfId="247" applyNumberFormat="1" applyFont="1" applyBorder="1" applyAlignment="1">
      <alignment horizontal="center"/>
    </xf>
    <xf numFmtId="188" fontId="6" fillId="0" borderId="73" xfId="247" applyNumberFormat="1" applyFont="1" applyBorder="1" applyAlignment="1">
      <alignment horizontal="center"/>
    </xf>
    <xf numFmtId="188" fontId="45" fillId="0" borderId="73" xfId="247" applyNumberFormat="1" applyFont="1" applyBorder="1" applyAlignment="1">
      <alignment horizontal="center"/>
    </xf>
    <xf numFmtId="188" fontId="11" fillId="0" borderId="73" xfId="247" applyNumberFormat="1" applyFont="1" applyBorder="1"/>
    <xf numFmtId="188" fontId="46" fillId="0" borderId="74" xfId="247" applyNumberFormat="1" applyFont="1" applyBorder="1"/>
    <xf numFmtId="188" fontId="1" fillId="0" borderId="75" xfId="247" applyNumberFormat="1" applyBorder="1"/>
    <xf numFmtId="188" fontId="1" fillId="0" borderId="75" xfId="247" applyNumberFormat="1" applyBorder="1" applyAlignment="1">
      <alignment horizontal="center"/>
    </xf>
    <xf numFmtId="188" fontId="1" fillId="0" borderId="84" xfId="247" applyNumberFormat="1" applyBorder="1"/>
    <xf numFmtId="188" fontId="34" fillId="0" borderId="85" xfId="247" applyNumberFormat="1" applyFont="1" applyBorder="1"/>
    <xf numFmtId="188" fontId="34" fillId="0" borderId="16" xfId="247" applyNumberFormat="1" applyFont="1" applyBorder="1"/>
    <xf numFmtId="188" fontId="34" fillId="0" borderId="16" xfId="247" applyNumberFormat="1" applyFont="1" applyBorder="1" applyAlignment="1">
      <alignment horizontal="center"/>
    </xf>
    <xf numFmtId="188" fontId="34" fillId="0" borderId="86" xfId="247" applyNumberFormat="1" applyFont="1" applyBorder="1"/>
    <xf numFmtId="170" fontId="118" fillId="0" borderId="0" xfId="157" applyNumberFormat="1" applyFont="1"/>
    <xf numFmtId="188" fontId="34" fillId="58" borderId="85" xfId="247" applyNumberFormat="1" applyFont="1" applyFill="1" applyBorder="1"/>
    <xf numFmtId="188" fontId="34" fillId="58" borderId="16" xfId="247" applyNumberFormat="1" applyFont="1" applyFill="1" applyBorder="1"/>
    <xf numFmtId="188" fontId="34" fillId="58" borderId="16" xfId="247" applyNumberFormat="1" applyFont="1" applyFill="1" applyBorder="1" applyAlignment="1">
      <alignment horizontal="center"/>
    </xf>
    <xf numFmtId="188" fontId="1" fillId="0" borderId="87" xfId="247" applyNumberFormat="1" applyBorder="1"/>
    <xf numFmtId="188" fontId="1" fillId="0" borderId="11" xfId="247" applyNumberFormat="1" applyBorder="1"/>
    <xf numFmtId="188" fontId="1" fillId="0" borderId="11" xfId="247" applyNumberFormat="1" applyBorder="1" applyAlignment="1">
      <alignment horizontal="center"/>
    </xf>
    <xf numFmtId="188" fontId="1" fillId="0" borderId="86" xfId="247" applyNumberFormat="1" applyBorder="1"/>
    <xf numFmtId="188" fontId="34" fillId="0" borderId="87" xfId="247" applyNumberFormat="1" applyFont="1" applyBorder="1"/>
    <xf numFmtId="188" fontId="34" fillId="0" borderId="11" xfId="247" applyNumberFormat="1" applyFont="1" applyBorder="1"/>
    <xf numFmtId="188" fontId="1" fillId="59" borderId="11" xfId="247" applyNumberFormat="1" applyFill="1" applyBorder="1"/>
    <xf numFmtId="188" fontId="1" fillId="59" borderId="86" xfId="247" applyNumberFormat="1" applyFill="1" applyBorder="1"/>
    <xf numFmtId="188" fontId="119" fillId="0" borderId="11" xfId="247" applyNumberFormat="1" applyFont="1" applyBorder="1"/>
    <xf numFmtId="188" fontId="34" fillId="60" borderId="87" xfId="247" applyNumberFormat="1" applyFont="1" applyFill="1" applyBorder="1"/>
    <xf numFmtId="188" fontId="34" fillId="60" borderId="11" xfId="247" applyNumberFormat="1" applyFont="1" applyFill="1" applyBorder="1"/>
    <xf numFmtId="188" fontId="119" fillId="60" borderId="11" xfId="247" applyNumberFormat="1" applyFont="1" applyFill="1" applyBorder="1"/>
    <xf numFmtId="188" fontId="34" fillId="60" borderId="16" xfId="247" applyNumberFormat="1" applyFont="1" applyFill="1" applyBorder="1"/>
    <xf numFmtId="188" fontId="1" fillId="58" borderId="11" xfId="247" applyNumberFormat="1" applyFill="1" applyBorder="1"/>
    <xf numFmtId="3" fontId="1" fillId="0" borderId="0" xfId="247" applyNumberFormat="1"/>
    <xf numFmtId="0" fontId="1" fillId="61" borderId="0" xfId="247" applyFill="1"/>
    <xf numFmtId="188" fontId="47" fillId="0" borderId="87" xfId="247" applyNumberFormat="1" applyFont="1" applyBorder="1" applyAlignment="1">
      <alignment horizontal="center"/>
    </xf>
    <xf numFmtId="188" fontId="11" fillId="0" borderId="88" xfId="247" applyNumberFormat="1" applyFont="1" applyBorder="1"/>
    <xf numFmtId="188" fontId="46" fillId="0" borderId="87" xfId="247" applyNumberFormat="1" applyFont="1" applyBorder="1"/>
    <xf numFmtId="3" fontId="120" fillId="0" borderId="0" xfId="247" applyNumberFormat="1" applyFont="1"/>
    <xf numFmtId="188" fontId="120" fillId="0" borderId="11" xfId="247" applyNumberFormat="1" applyFont="1" applyBorder="1"/>
    <xf numFmtId="188" fontId="120" fillId="0" borderId="16" xfId="247" applyNumberFormat="1" applyFont="1" applyBorder="1"/>
    <xf numFmtId="188" fontId="1" fillId="0" borderId="17" xfId="247" applyNumberFormat="1" applyBorder="1"/>
    <xf numFmtId="188" fontId="121" fillId="0" borderId="11" xfId="247" applyNumberFormat="1" applyFont="1" applyBorder="1"/>
    <xf numFmtId="188" fontId="1" fillId="60" borderId="87" xfId="247" applyNumberFormat="1" applyFill="1" applyBorder="1"/>
    <xf numFmtId="188" fontId="1" fillId="60" borderId="11" xfId="247" applyNumberFormat="1" applyFill="1" applyBorder="1"/>
    <xf numFmtId="188" fontId="121" fillId="60" borderId="11" xfId="247" applyNumberFormat="1" applyFont="1" applyFill="1" applyBorder="1"/>
    <xf numFmtId="188" fontId="34" fillId="60" borderId="17" xfId="247" applyNumberFormat="1" applyFont="1" applyFill="1" applyBorder="1"/>
    <xf numFmtId="0" fontId="1" fillId="59" borderId="0" xfId="247" applyFill="1"/>
    <xf numFmtId="188" fontId="34" fillId="60" borderId="76" xfId="247" applyNumberFormat="1" applyFont="1" applyFill="1" applyBorder="1"/>
    <xf numFmtId="188" fontId="120" fillId="60" borderId="11" xfId="247" applyNumberFormat="1" applyFont="1" applyFill="1" applyBorder="1"/>
    <xf numFmtId="188" fontId="46" fillId="0" borderId="87" xfId="247" applyNumberFormat="1" applyFont="1" applyBorder="1" applyAlignment="1">
      <alignment horizontal="center"/>
    </xf>
    <xf numFmtId="188" fontId="11" fillId="0" borderId="17" xfId="247" applyNumberFormat="1" applyFont="1" applyBorder="1"/>
    <xf numFmtId="188" fontId="122" fillId="0" borderId="11" xfId="247" applyNumberFormat="1" applyFont="1" applyBorder="1"/>
    <xf numFmtId="188" fontId="1" fillId="58" borderId="87" xfId="247" applyNumberFormat="1" applyFill="1" applyBorder="1"/>
    <xf numFmtId="188" fontId="1" fillId="58" borderId="17" xfId="247" applyNumberFormat="1" applyFill="1" applyBorder="1"/>
    <xf numFmtId="188" fontId="122" fillId="58" borderId="11" xfId="247" applyNumberFormat="1" applyFont="1" applyFill="1" applyBorder="1"/>
    <xf numFmtId="188" fontId="121" fillId="58" borderId="87" xfId="247" applyNumberFormat="1" applyFont="1" applyFill="1" applyBorder="1"/>
    <xf numFmtId="188" fontId="121" fillId="58" borderId="17" xfId="247" applyNumberFormat="1" applyFont="1" applyFill="1" applyBorder="1"/>
    <xf numFmtId="188" fontId="48" fillId="58" borderId="87" xfId="247" applyNumberFormat="1" applyFont="1" applyFill="1" applyBorder="1"/>
    <xf numFmtId="188" fontId="1" fillId="0" borderId="12" xfId="247" applyNumberFormat="1" applyBorder="1"/>
    <xf numFmtId="188" fontId="121" fillId="58" borderId="89" xfId="247" applyNumberFormat="1" applyFont="1" applyFill="1" applyBorder="1"/>
    <xf numFmtId="188" fontId="121" fillId="58" borderId="11" xfId="247" applyNumberFormat="1" applyFont="1" applyFill="1" applyBorder="1"/>
    <xf numFmtId="188" fontId="120" fillId="58" borderId="11" xfId="247" applyNumberFormat="1" applyFont="1" applyFill="1" applyBorder="1"/>
    <xf numFmtId="188" fontId="123" fillId="58" borderId="11" xfId="247" applyNumberFormat="1" applyFont="1" applyFill="1" applyBorder="1"/>
    <xf numFmtId="188" fontId="34" fillId="59" borderId="16" xfId="247" applyNumberFormat="1" applyFont="1" applyFill="1" applyBorder="1"/>
    <xf numFmtId="188" fontId="47" fillId="58" borderId="87" xfId="247" applyNumberFormat="1" applyFont="1" applyFill="1" applyBorder="1" applyAlignment="1">
      <alignment horizontal="centerContinuous"/>
    </xf>
    <xf numFmtId="188" fontId="11" fillId="58" borderId="11" xfId="247" applyNumberFormat="1" applyFont="1" applyFill="1" applyBorder="1"/>
    <xf numFmtId="188" fontId="34" fillId="0" borderId="46" xfId="247" applyNumberFormat="1" applyFont="1" applyBorder="1" applyAlignment="1">
      <alignment horizontal="left"/>
    </xf>
    <xf numFmtId="188" fontId="34" fillId="0" borderId="12" xfId="247" applyNumberFormat="1" applyFont="1" applyBorder="1"/>
    <xf numFmtId="188" fontId="1" fillId="0" borderId="90" xfId="247" applyNumberFormat="1" applyBorder="1"/>
    <xf numFmtId="188" fontId="1" fillId="0" borderId="91" xfId="247" applyNumberFormat="1" applyBorder="1"/>
    <xf numFmtId="188" fontId="49" fillId="59" borderId="90" xfId="247" applyNumberFormat="1" applyFont="1" applyFill="1" applyBorder="1"/>
    <xf numFmtId="188" fontId="34" fillId="0" borderId="90" xfId="247" applyNumberFormat="1" applyFont="1" applyBorder="1"/>
    <xf numFmtId="41" fontId="1" fillId="0" borderId="0" xfId="247" applyNumberFormat="1"/>
    <xf numFmtId="188" fontId="11" fillId="0" borderId="0" xfId="247" applyNumberFormat="1" applyFont="1"/>
    <xf numFmtId="188" fontId="50" fillId="59" borderId="0" xfId="247" applyNumberFormat="1" applyFont="1" applyFill="1" applyAlignment="1">
      <alignment horizontal="center"/>
    </xf>
    <xf numFmtId="0" fontId="51" fillId="0" borderId="0" xfId="247" applyFont="1" applyAlignment="1">
      <alignment horizontal="right"/>
    </xf>
    <xf numFmtId="0" fontId="52" fillId="59" borderId="0" xfId="247" applyFont="1" applyFill="1"/>
    <xf numFmtId="0" fontId="53" fillId="59" borderId="0" xfId="247" applyFont="1" applyFill="1" applyAlignment="1">
      <alignment horizontal="right"/>
    </xf>
    <xf numFmtId="0" fontId="10" fillId="59" borderId="0" xfId="247" applyFont="1" applyFill="1"/>
    <xf numFmtId="0" fontId="53" fillId="0" borderId="0" xfId="247" applyFont="1" applyAlignment="1">
      <alignment horizontal="right"/>
    </xf>
    <xf numFmtId="0" fontId="10" fillId="0" borderId="0" xfId="247" applyFont="1"/>
    <xf numFmtId="0" fontId="53" fillId="0" borderId="0" xfId="247" applyFont="1"/>
    <xf numFmtId="3" fontId="53" fillId="0" borderId="0" xfId="247" applyNumberFormat="1" applyFont="1"/>
    <xf numFmtId="3" fontId="53" fillId="0" borderId="0" xfId="247" applyNumberFormat="1" applyFont="1" applyAlignment="1">
      <alignment horizontal="right"/>
    </xf>
    <xf numFmtId="0" fontId="54" fillId="0" borderId="0" xfId="247" applyFont="1"/>
    <xf numFmtId="3" fontId="54" fillId="59" borderId="0" xfId="247" applyNumberFormat="1" applyFont="1" applyFill="1" applyAlignment="1">
      <alignment horizontal="right"/>
    </xf>
    <xf numFmtId="188" fontId="10" fillId="0" borderId="0" xfId="247" applyNumberFormat="1" applyFont="1"/>
    <xf numFmtId="3" fontId="55" fillId="0" borderId="0" xfId="247" applyNumberFormat="1" applyFont="1" applyAlignment="1">
      <alignment horizontal="center"/>
    </xf>
    <xf numFmtId="3" fontId="54" fillId="0" borderId="0" xfId="247" applyNumberFormat="1" applyFont="1" applyAlignment="1">
      <alignment horizontal="right"/>
    </xf>
    <xf numFmtId="3" fontId="10" fillId="0" borderId="0" xfId="247" applyNumberFormat="1" applyFont="1"/>
    <xf numFmtId="14" fontId="86" fillId="0" borderId="0" xfId="0" applyNumberFormat="1" applyFont="1"/>
    <xf numFmtId="0" fontId="67" fillId="46" borderId="0" xfId="87"/>
    <xf numFmtId="14" fontId="67" fillId="46" borderId="0" xfId="87" applyNumberFormat="1"/>
    <xf numFmtId="0" fontId="67" fillId="49" borderId="0" xfId="92"/>
    <xf numFmtId="14" fontId="67" fillId="49" borderId="0" xfId="92" applyNumberFormat="1"/>
    <xf numFmtId="41" fontId="124" fillId="0" borderId="11" xfId="114" applyFont="1" applyBorder="1" applyAlignment="1"/>
    <xf numFmtId="0" fontId="92" fillId="0" borderId="0" xfId="107" quotePrefix="1" applyFont="1" applyAlignment="1">
      <alignment horizontal="center" vertical="center" wrapText="1"/>
    </xf>
    <xf numFmtId="41" fontId="93" fillId="0" borderId="0" xfId="0" applyNumberFormat="1" applyFont="1" applyAlignment="1">
      <alignment horizontal="right"/>
    </xf>
    <xf numFmtId="41" fontId="93" fillId="0" borderId="17" xfId="114" applyFont="1" applyBorder="1"/>
    <xf numFmtId="14" fontId="85" fillId="0" borderId="16" xfId="114" applyNumberFormat="1" applyFont="1" applyFill="1" applyBorder="1" applyAlignment="1">
      <alignment horizontal="center" vertical="center" wrapText="1"/>
    </xf>
    <xf numFmtId="14" fontId="85" fillId="0" borderId="11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/>
    <xf numFmtId="3" fontId="116" fillId="0" borderId="0" xfId="0" applyNumberFormat="1" applyFont="1"/>
    <xf numFmtId="168" fontId="116" fillId="0" borderId="0" xfId="113" applyNumberFormat="1" applyFont="1" applyFill="1"/>
    <xf numFmtId="0" fontId="116" fillId="0" borderId="0" xfId="0" applyFont="1"/>
    <xf numFmtId="41" fontId="104" fillId="62" borderId="94" xfId="114" applyFont="1" applyFill="1" applyBorder="1" applyAlignment="1">
      <alignment horizontal="right"/>
    </xf>
    <xf numFmtId="41" fontId="112" fillId="0" borderId="0" xfId="114" applyFont="1"/>
    <xf numFmtId="41" fontId="95" fillId="0" borderId="16" xfId="114" applyFont="1" applyBorder="1" applyAlignment="1">
      <alignment vertical="center"/>
    </xf>
    <xf numFmtId="41" fontId="95" fillId="0" borderId="16" xfId="114" applyFont="1" applyBorder="1"/>
    <xf numFmtId="170" fontId="93" fillId="0" borderId="0" xfId="0" applyNumberFormat="1" applyFont="1" applyAlignment="1">
      <alignment wrapText="1"/>
    </xf>
    <xf numFmtId="173" fontId="100" fillId="62" borderId="17" xfId="113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14" fontId="85" fillId="0" borderId="11" xfId="0" applyNumberFormat="1" applyFont="1" applyBorder="1" applyAlignment="1">
      <alignment horizontal="center"/>
    </xf>
    <xf numFmtId="0" fontId="85" fillId="0" borderId="42" xfId="0" applyFont="1" applyBorder="1" applyAlignment="1">
      <alignment horizontal="left" vertical="center"/>
    </xf>
    <xf numFmtId="0" fontId="93" fillId="0" borderId="42" xfId="0" applyFont="1" applyBorder="1" applyAlignment="1">
      <alignment horizontal="left" vertical="top"/>
    </xf>
    <xf numFmtId="0" fontId="93" fillId="0" borderId="25" xfId="0" applyFont="1" applyBorder="1" applyAlignment="1">
      <alignment horizontal="left" vertical="top"/>
    </xf>
    <xf numFmtId="0" fontId="93" fillId="0" borderId="68" xfId="0" applyFont="1" applyBorder="1" applyAlignment="1">
      <alignment horizontal="left" vertical="top"/>
    </xf>
    <xf numFmtId="41" fontId="100" fillId="0" borderId="17" xfId="114" applyFont="1" applyBorder="1" applyAlignment="1">
      <alignment horizontal="center" vertical="center"/>
    </xf>
    <xf numFmtId="41" fontId="100" fillId="0" borderId="17" xfId="113" applyNumberFormat="1" applyFont="1" applyBorder="1" applyAlignment="1">
      <alignment horizontal="center" vertical="center"/>
    </xf>
    <xf numFmtId="41" fontId="100" fillId="0" borderId="17" xfId="113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41" fontId="96" fillId="0" borderId="17" xfId="114" applyFont="1" applyBorder="1" applyAlignment="1">
      <alignment horizontal="center" vertical="center"/>
    </xf>
    <xf numFmtId="41" fontId="96" fillId="0" borderId="17" xfId="113" applyNumberFormat="1" applyFont="1" applyBorder="1" applyAlignment="1">
      <alignment horizontal="center" vertical="center"/>
    </xf>
    <xf numFmtId="41" fontId="96" fillId="0" borderId="17" xfId="113" applyNumberFormat="1" applyFont="1" applyFill="1" applyBorder="1" applyAlignment="1">
      <alignment horizontal="center" vertical="center"/>
    </xf>
    <xf numFmtId="173" fontId="96" fillId="0" borderId="17" xfId="113" applyNumberFormat="1" applyFont="1" applyFill="1" applyBorder="1" applyAlignment="1">
      <alignment horizontal="center" vertical="center"/>
    </xf>
    <xf numFmtId="173" fontId="96" fillId="0" borderId="17" xfId="113" applyNumberFormat="1" applyFont="1" applyBorder="1" applyAlignment="1">
      <alignment horizontal="center" vertical="center"/>
    </xf>
    <xf numFmtId="189" fontId="100" fillId="0" borderId="17" xfId="113" applyNumberFormat="1" applyFont="1" applyBorder="1" applyAlignment="1">
      <alignment horizontal="center" vertical="center"/>
    </xf>
    <xf numFmtId="173" fontId="96" fillId="0" borderId="11" xfId="113" applyNumberFormat="1" applyFont="1" applyBorder="1" applyAlignment="1">
      <alignment horizontal="center" vertical="center"/>
    </xf>
    <xf numFmtId="173" fontId="96" fillId="0" borderId="11" xfId="113" applyNumberFormat="1" applyFont="1" applyBorder="1" applyAlignment="1">
      <alignment horizontal="right" vertical="center"/>
    </xf>
    <xf numFmtId="14" fontId="93" fillId="0" borderId="17" xfId="0" applyNumberFormat="1" applyFont="1" applyBorder="1" applyAlignment="1">
      <alignment horizontal="center" vertical="center" wrapText="1"/>
    </xf>
    <xf numFmtId="14" fontId="93" fillId="0" borderId="17" xfId="114" applyNumberFormat="1" applyFont="1" applyBorder="1" applyAlignment="1">
      <alignment horizontal="center" vertical="center" wrapText="1"/>
    </xf>
    <xf numFmtId="173" fontId="96" fillId="0" borderId="0" xfId="0" applyNumberFormat="1" applyFont="1" applyAlignment="1">
      <alignment wrapText="1"/>
    </xf>
    <xf numFmtId="41" fontId="130" fillId="0" borderId="11" xfId="114" applyFont="1" applyBorder="1" applyAlignment="1"/>
    <xf numFmtId="41" fontId="130" fillId="0" borderId="11" xfId="114" applyFont="1" applyBorder="1" applyAlignment="1">
      <alignment horizontal="right"/>
    </xf>
    <xf numFmtId="41" fontId="85" fillId="0" borderId="11" xfId="114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6" xfId="0" applyBorder="1"/>
    <xf numFmtId="0" fontId="0" fillId="0" borderId="48" xfId="0" applyBorder="1"/>
    <xf numFmtId="0" fontId="0" fillId="0" borderId="70" xfId="0" applyBorder="1"/>
    <xf numFmtId="0" fontId="0" fillId="0" borderId="71" xfId="0" applyBorder="1"/>
    <xf numFmtId="0" fontId="96" fillId="0" borderId="13" xfId="0" applyFont="1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  <xf numFmtId="3" fontId="96" fillId="0" borderId="25" xfId="0" applyNumberFormat="1" applyFont="1" applyBorder="1" applyAlignment="1">
      <alignment horizontal="left" vertical="center"/>
    </xf>
    <xf numFmtId="16" fontId="0" fillId="0" borderId="48" xfId="0" applyNumberFormat="1" applyBorder="1"/>
    <xf numFmtId="41" fontId="0" fillId="0" borderId="0" xfId="114" applyFont="1" applyAlignment="1"/>
    <xf numFmtId="0" fontId="96" fillId="0" borderId="14" xfId="0" applyFont="1" applyBorder="1" applyAlignment="1">
      <alignment horizontal="left" vertical="center"/>
    </xf>
    <xf numFmtId="0" fontId="96" fillId="0" borderId="16" xfId="0" applyFont="1" applyBorder="1" applyAlignment="1">
      <alignment horizontal="left" vertical="center"/>
    </xf>
    <xf numFmtId="3" fontId="96" fillId="0" borderId="36" xfId="0" applyNumberFormat="1" applyFont="1" applyBorder="1" applyAlignment="1">
      <alignment horizontal="left" vertical="center"/>
    </xf>
    <xf numFmtId="41" fontId="0" fillId="0" borderId="0" xfId="114" applyFont="1"/>
    <xf numFmtId="10" fontId="96" fillId="0" borderId="48" xfId="0" applyNumberFormat="1" applyFont="1" applyBorder="1" applyAlignment="1">
      <alignment horizontal="right" vertical="center"/>
    </xf>
    <xf numFmtId="0" fontId="0" fillId="0" borderId="73" xfId="0" applyBorder="1"/>
    <xf numFmtId="0" fontId="93" fillId="0" borderId="91" xfId="0" applyFont="1" applyBorder="1" applyAlignment="1">
      <alignment horizontal="center" wrapText="1"/>
    </xf>
    <xf numFmtId="0" fontId="93" fillId="0" borderId="90" xfId="0" applyFont="1" applyBorder="1" applyAlignment="1">
      <alignment horizontal="center" wrapText="1"/>
    </xf>
    <xf numFmtId="0" fontId="93" fillId="0" borderId="80" xfId="0" applyFont="1" applyBorder="1" applyAlignment="1">
      <alignment horizontal="center" wrapText="1"/>
    </xf>
    <xf numFmtId="0" fontId="93" fillId="0" borderId="85" xfId="0" applyFont="1" applyBorder="1"/>
    <xf numFmtId="0" fontId="93" fillId="0" borderId="16" xfId="0" applyFont="1" applyBorder="1"/>
    <xf numFmtId="41" fontId="93" fillId="0" borderId="16" xfId="114" applyFont="1" applyBorder="1"/>
    <xf numFmtId="0" fontId="93" fillId="0" borderId="86" xfId="0" applyFont="1" applyBorder="1"/>
    <xf numFmtId="0" fontId="93" fillId="0" borderId="87" xfId="0" applyFont="1" applyBorder="1"/>
    <xf numFmtId="0" fontId="96" fillId="0" borderId="87" xfId="0" applyFont="1" applyBorder="1"/>
    <xf numFmtId="0" fontId="96" fillId="0" borderId="11" xfId="0" applyFont="1" applyBorder="1"/>
    <xf numFmtId="41" fontId="96" fillId="0" borderId="11" xfId="114" applyFont="1" applyBorder="1"/>
    <xf numFmtId="0" fontId="96" fillId="0" borderId="11" xfId="114" applyNumberFormat="1" applyFont="1" applyBorder="1"/>
    <xf numFmtId="0" fontId="106" fillId="0" borderId="0" xfId="0" applyFont="1"/>
    <xf numFmtId="0" fontId="93" fillId="0" borderId="91" xfId="0" applyFont="1" applyBorder="1"/>
    <xf numFmtId="0" fontId="93" fillId="0" borderId="90" xfId="0" applyFont="1" applyBorder="1"/>
    <xf numFmtId="41" fontId="93" fillId="0" borderId="90" xfId="114" applyFont="1" applyBorder="1"/>
    <xf numFmtId="41" fontId="93" fillId="0" borderId="90" xfId="114" applyFont="1" applyFill="1" applyBorder="1"/>
    <xf numFmtId="0" fontId="93" fillId="0" borderId="80" xfId="0" applyFont="1" applyBorder="1"/>
    <xf numFmtId="0" fontId="93" fillId="0" borderId="65" xfId="0" applyFont="1" applyBorder="1"/>
    <xf numFmtId="0" fontId="93" fillId="0" borderId="66" xfId="0" applyFont="1" applyBorder="1"/>
    <xf numFmtId="41" fontId="93" fillId="0" borderId="16" xfId="0" applyNumberFormat="1" applyFont="1" applyBorder="1"/>
    <xf numFmtId="2" fontId="93" fillId="0" borderId="86" xfId="114" applyNumberFormat="1" applyFont="1" applyBorder="1"/>
    <xf numFmtId="41" fontId="93" fillId="0" borderId="11" xfId="0" applyNumberFormat="1" applyFont="1" applyBorder="1"/>
    <xf numFmtId="41" fontId="93" fillId="0" borderId="90" xfId="0" applyNumberFormat="1" applyFont="1" applyBorder="1"/>
    <xf numFmtId="2" fontId="93" fillId="0" borderId="80" xfId="0" applyNumberFormat="1" applyFont="1" applyBorder="1"/>
    <xf numFmtId="188" fontId="1" fillId="0" borderId="0" xfId="247" applyNumberFormat="1" applyFont="1"/>
    <xf numFmtId="188" fontId="1" fillId="0" borderId="75" xfId="247" applyNumberFormat="1" applyFont="1" applyBorder="1"/>
    <xf numFmtId="188" fontId="11" fillId="0" borderId="16" xfId="247" applyNumberFormat="1" applyFont="1" applyBorder="1"/>
    <xf numFmtId="188" fontId="1" fillId="0" borderId="11" xfId="247" applyNumberFormat="1" applyFont="1" applyBorder="1"/>
    <xf numFmtId="188" fontId="1" fillId="59" borderId="11" xfId="247" applyNumberFormat="1" applyFont="1" applyFill="1" applyBorder="1"/>
    <xf numFmtId="0" fontId="1" fillId="0" borderId="0" xfId="247" applyFont="1"/>
    <xf numFmtId="0" fontId="95" fillId="0" borderId="96" xfId="0" applyFont="1" applyBorder="1"/>
    <xf numFmtId="3" fontId="96" fillId="0" borderId="92" xfId="0" applyNumberFormat="1" applyFont="1" applyBorder="1"/>
    <xf numFmtId="41" fontId="95" fillId="0" borderId="92" xfId="114" applyFont="1" applyBorder="1"/>
    <xf numFmtId="41" fontId="95" fillId="0" borderId="15" xfId="114" applyFont="1" applyBorder="1"/>
    <xf numFmtId="0" fontId="96" fillId="0" borderId="67" xfId="0" applyFont="1" applyBorder="1"/>
    <xf numFmtId="3" fontId="96" fillId="0" borderId="65" xfId="0" applyNumberFormat="1" applyFont="1" applyBorder="1"/>
    <xf numFmtId="173" fontId="96" fillId="0" borderId="65" xfId="113" applyNumberFormat="1" applyFont="1" applyFill="1" applyBorder="1" applyAlignment="1">
      <alignment horizontal="right"/>
    </xf>
    <xf numFmtId="49" fontId="96" fillId="0" borderId="68" xfId="0" applyNumberFormat="1" applyFont="1" applyBorder="1"/>
    <xf numFmtId="3" fontId="96" fillId="0" borderId="5" xfId="0" applyNumberFormat="1" applyFont="1" applyBorder="1"/>
    <xf numFmtId="173" fontId="96" fillId="0" borderId="5" xfId="113" applyNumberFormat="1" applyFont="1" applyFill="1" applyBorder="1" applyAlignment="1">
      <alignment horizontal="right"/>
    </xf>
    <xf numFmtId="173" fontId="96" fillId="0" borderId="73" xfId="113" applyNumberFormat="1" applyFont="1" applyFill="1" applyBorder="1" applyAlignment="1">
      <alignment horizontal="right"/>
    </xf>
    <xf numFmtId="14" fontId="104" fillId="0" borderId="38" xfId="113" applyNumberFormat="1" applyFont="1" applyBorder="1" applyAlignment="1">
      <alignment horizontal="center" vertical="center" wrapText="1"/>
    </xf>
    <xf numFmtId="14" fontId="117" fillId="0" borderId="83" xfId="247" applyNumberFormat="1" applyFont="1" applyBorder="1" applyAlignment="1">
      <alignment horizontal="center"/>
    </xf>
    <xf numFmtId="0" fontId="0" fillId="0" borderId="0" xfId="0" applyFont="1"/>
    <xf numFmtId="0" fontId="132" fillId="0" borderId="0" xfId="0" applyFont="1"/>
    <xf numFmtId="0" fontId="133" fillId="0" borderId="11" xfId="0" applyFont="1" applyBorder="1" applyAlignment="1">
      <alignment vertical="center"/>
    </xf>
    <xf numFmtId="0" fontId="132" fillId="0" borderId="17" xfId="0" applyFont="1" applyBorder="1" applyAlignment="1">
      <alignment horizontal="center" vertical="center"/>
    </xf>
    <xf numFmtId="41" fontId="132" fillId="0" borderId="17" xfId="114" applyFont="1" applyBorder="1" applyAlignment="1">
      <alignment horizontal="center" vertical="center"/>
    </xf>
    <xf numFmtId="173" fontId="132" fillId="0" borderId="17" xfId="113" applyNumberFormat="1" applyFont="1" applyBorder="1" applyAlignment="1">
      <alignment horizontal="center" vertical="center"/>
    </xf>
    <xf numFmtId="0" fontId="134" fillId="0" borderId="0" xfId="0" applyFont="1"/>
    <xf numFmtId="173" fontId="100" fillId="65" borderId="11" xfId="113" applyNumberFormat="1" applyFont="1" applyFill="1" applyBorder="1" applyAlignment="1">
      <alignment horizontal="center" vertical="center"/>
    </xf>
    <xf numFmtId="173" fontId="96" fillId="65" borderId="11" xfId="113" applyNumberFormat="1" applyFont="1" applyFill="1" applyBorder="1" applyAlignment="1">
      <alignment horizontal="center" vertical="center"/>
    </xf>
    <xf numFmtId="41" fontId="93" fillId="0" borderId="11" xfId="0" applyNumberFormat="1" applyFont="1" applyBorder="1" applyAlignment="1">
      <alignment horizontal="left" vertical="center"/>
    </xf>
    <xf numFmtId="41" fontId="93" fillId="0" borderId="11" xfId="0" applyNumberFormat="1" applyFont="1" applyBorder="1" applyAlignment="1">
      <alignment horizontal="left"/>
    </xf>
    <xf numFmtId="0" fontId="136" fillId="0" borderId="0" xfId="0" applyFont="1"/>
    <xf numFmtId="41" fontId="136" fillId="0" borderId="0" xfId="114" applyFont="1" applyAlignment="1">
      <alignment horizontal="right"/>
    </xf>
    <xf numFmtId="41" fontId="96" fillId="0" borderId="11" xfId="402" applyFont="1" applyFill="1" applyBorder="1" applyAlignment="1">
      <alignment horizontal="left" wrapText="1"/>
    </xf>
    <xf numFmtId="0" fontId="96" fillId="0" borderId="17" xfId="0" applyFont="1" applyFill="1" applyBorder="1" applyAlignment="1">
      <alignment horizontal="left" vertical="center" wrapText="1"/>
    </xf>
    <xf numFmtId="14" fontId="96" fillId="0" borderId="17" xfId="0" applyNumberFormat="1" applyFont="1" applyFill="1" applyBorder="1" applyAlignment="1">
      <alignment horizontal="left" vertical="center" wrapText="1"/>
    </xf>
    <xf numFmtId="14" fontId="96" fillId="0" borderId="17" xfId="402" applyNumberFormat="1" applyFont="1" applyFill="1" applyBorder="1" applyAlignment="1">
      <alignment horizontal="left" vertical="center" wrapText="1"/>
    </xf>
    <xf numFmtId="0" fontId="96" fillId="0" borderId="17" xfId="0" applyFont="1" applyFill="1" applyBorder="1" applyAlignment="1">
      <alignment wrapText="1"/>
    </xf>
    <xf numFmtId="41" fontId="96" fillId="0" borderId="17" xfId="402" applyFont="1" applyFill="1" applyBorder="1" applyAlignment="1">
      <alignment horizontal="left" vertical="center" wrapText="1"/>
    </xf>
    <xf numFmtId="49" fontId="96" fillId="0" borderId="11" xfId="0" applyNumberFormat="1" applyFont="1" applyFill="1" applyBorder="1" applyAlignment="1">
      <alignment wrapText="1"/>
    </xf>
    <xf numFmtId="0" fontId="89" fillId="57" borderId="19" xfId="0" applyFont="1" applyFill="1" applyBorder="1" applyAlignment="1">
      <alignment horizontal="center" vertical="center"/>
    </xf>
    <xf numFmtId="0" fontId="89" fillId="57" borderId="95" xfId="0" applyFont="1" applyFill="1" applyBorder="1" applyAlignment="1">
      <alignment horizontal="center" vertical="center"/>
    </xf>
    <xf numFmtId="14" fontId="125" fillId="63" borderId="19" xfId="0" applyNumberFormat="1" applyFont="1" applyFill="1" applyBorder="1" applyAlignment="1">
      <alignment horizontal="center"/>
    </xf>
    <xf numFmtId="14" fontId="125" fillId="63" borderId="21" xfId="0" applyNumberFormat="1" applyFont="1" applyFill="1" applyBorder="1" applyAlignment="1">
      <alignment horizontal="center"/>
    </xf>
    <xf numFmtId="0" fontId="126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3" fillId="0" borderId="67" xfId="0" applyFont="1" applyBorder="1" applyAlignment="1">
      <alignment horizontal="center"/>
    </xf>
    <xf numFmtId="0" fontId="83" fillId="0" borderId="65" xfId="0" applyFont="1" applyBorder="1" applyAlignment="1">
      <alignment horizontal="center"/>
    </xf>
    <xf numFmtId="0" fontId="83" fillId="0" borderId="66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85" fillId="0" borderId="42" xfId="0" applyFont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93" fillId="0" borderId="42" xfId="0" applyFont="1" applyBorder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5" fillId="0" borderId="68" xfId="0" applyFont="1" applyBorder="1" applyAlignment="1">
      <alignment horizontal="left" vertical="center"/>
    </xf>
    <xf numFmtId="0" fontId="85" fillId="0" borderId="5" xfId="0" applyFont="1" applyBorder="1" applyAlignment="1">
      <alignment horizontal="left" vertical="center"/>
    </xf>
    <xf numFmtId="0" fontId="93" fillId="0" borderId="42" xfId="0" applyFont="1" applyBorder="1" applyAlignment="1">
      <alignment horizontal="left" vertical="top"/>
    </xf>
    <xf numFmtId="0" fontId="93" fillId="0" borderId="25" xfId="0" applyFont="1" applyBorder="1" applyAlignment="1">
      <alignment horizontal="left" vertical="top"/>
    </xf>
    <xf numFmtId="0" fontId="93" fillId="0" borderId="68" xfId="0" applyFont="1" applyBorder="1" applyAlignment="1">
      <alignment horizontal="left" vertical="top"/>
    </xf>
    <xf numFmtId="0" fontId="93" fillId="0" borderId="67" xfId="0" applyFont="1" applyBorder="1" applyAlignment="1">
      <alignment horizontal="left" vertical="center"/>
    </xf>
    <xf numFmtId="0" fontId="93" fillId="0" borderId="65" xfId="0" applyFont="1" applyBorder="1" applyAlignment="1">
      <alignment horizontal="left" vertical="center"/>
    </xf>
    <xf numFmtId="0" fontId="93" fillId="0" borderId="42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93" fillId="0" borderId="15" xfId="0" applyFont="1" applyBorder="1" applyAlignment="1">
      <alignment horizontal="left" vertical="center"/>
    </xf>
    <xf numFmtId="0" fontId="85" fillId="0" borderId="96" xfId="0" applyFont="1" applyBorder="1" applyAlignment="1">
      <alignment horizontal="left" vertical="center"/>
    </xf>
    <xf numFmtId="0" fontId="85" fillId="0" borderId="93" xfId="0" applyFont="1" applyBorder="1" applyAlignment="1">
      <alignment horizontal="left" vertical="center"/>
    </xf>
    <xf numFmtId="0" fontId="85" fillId="0" borderId="62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92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5" fillId="0" borderId="25" xfId="0" applyFont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0" fontId="85" fillId="0" borderId="15" xfId="0" applyFont="1" applyBorder="1" applyAlignment="1">
      <alignment horizontal="left" vertical="center" wrapText="1"/>
    </xf>
    <xf numFmtId="0" fontId="85" fillId="0" borderId="67" xfId="0" applyFont="1" applyBorder="1" applyAlignment="1">
      <alignment horizontal="left" vertical="center"/>
    </xf>
    <xf numFmtId="0" fontId="85" fillId="0" borderId="97" xfId="0" applyFont="1" applyBorder="1" applyAlignment="1">
      <alignment horizontal="left" vertical="center"/>
    </xf>
    <xf numFmtId="0" fontId="85" fillId="0" borderId="65" xfId="0" applyFont="1" applyBorder="1" applyAlignment="1">
      <alignment horizontal="left" vertical="center"/>
    </xf>
    <xf numFmtId="0" fontId="92" fillId="0" borderId="0" xfId="107" applyFont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111" fillId="0" borderId="92" xfId="0" applyFont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93" fillId="0" borderId="5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3" fillId="0" borderId="65" xfId="0" applyFont="1" applyBorder="1" applyAlignment="1">
      <alignment horizontal="center"/>
    </xf>
    <xf numFmtId="0" fontId="115" fillId="0" borderId="0" xfId="0" applyFont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55" xfId="0" applyFont="1" applyBorder="1" applyAlignment="1">
      <alignment horizontal="center" vertical="center"/>
    </xf>
    <xf numFmtId="0" fontId="104" fillId="0" borderId="98" xfId="0" applyFont="1" applyBorder="1" applyAlignment="1">
      <alignment horizontal="center" vertical="center"/>
    </xf>
    <xf numFmtId="14" fontId="85" fillId="0" borderId="11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67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85" fillId="0" borderId="66" xfId="0" applyFont="1" applyBorder="1" applyAlignment="1">
      <alignment horizontal="center"/>
    </xf>
    <xf numFmtId="0" fontId="85" fillId="0" borderId="68" xfId="0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85" fillId="0" borderId="73" xfId="0" applyFont="1" applyBorder="1" applyAlignment="1">
      <alignment horizontal="center"/>
    </xf>
    <xf numFmtId="0" fontId="111" fillId="0" borderId="19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64" borderId="22" xfId="0" applyFont="1" applyFill="1" applyBorder="1" applyAlignment="1">
      <alignment horizontal="center" vertical="center"/>
    </xf>
    <xf numFmtId="0" fontId="101" fillId="64" borderId="23" xfId="0" applyFont="1" applyFill="1" applyBorder="1" applyAlignment="1">
      <alignment horizontal="center" vertical="center"/>
    </xf>
    <xf numFmtId="0" fontId="101" fillId="64" borderId="18" xfId="0" applyFont="1" applyFill="1" applyBorder="1" applyAlignment="1">
      <alignment horizontal="center" vertical="center"/>
    </xf>
    <xf numFmtId="0" fontId="101" fillId="64" borderId="69" xfId="0" applyFont="1" applyFill="1" applyBorder="1" applyAlignment="1">
      <alignment horizontal="center" vertical="center"/>
    </xf>
    <xf numFmtId="0" fontId="101" fillId="64" borderId="92" xfId="0" applyFont="1" applyFill="1" applyBorder="1" applyAlignment="1">
      <alignment horizontal="center" vertical="center"/>
    </xf>
    <xf numFmtId="0" fontId="101" fillId="64" borderId="93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41" fontId="85" fillId="0" borderId="11" xfId="114" applyFont="1" applyFill="1" applyBorder="1" applyAlignment="1">
      <alignment horizontal="right" vertical="center" wrapText="1"/>
    </xf>
    <xf numFmtId="0" fontId="85" fillId="0" borderId="22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115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 vertical="center" wrapText="1"/>
    </xf>
    <xf numFmtId="0" fontId="85" fillId="0" borderId="11" xfId="0" applyFont="1" applyFill="1" applyBorder="1" applyAlignment="1">
      <alignment horizont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0" fillId="0" borderId="0" xfId="0" applyFill="1"/>
    <xf numFmtId="0" fontId="128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5" fillId="0" borderId="19" xfId="0" applyFont="1" applyBorder="1" applyAlignment="1">
      <alignment horizontal="center" wrapText="1"/>
    </xf>
    <xf numFmtId="0" fontId="85" fillId="0" borderId="21" xfId="0" applyFont="1" applyBorder="1" applyAlignment="1">
      <alignment horizontal="center" wrapText="1"/>
    </xf>
    <xf numFmtId="0" fontId="128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9" fillId="0" borderId="15" xfId="0" applyFont="1" applyBorder="1" applyAlignment="1">
      <alignment horizontal="center"/>
    </xf>
    <xf numFmtId="0" fontId="0" fillId="0" borderId="0" xfId="0" quotePrefix="1" applyFill="1"/>
    <xf numFmtId="0" fontId="73" fillId="0" borderId="0" xfId="0" applyFont="1" applyAlignment="1">
      <alignment horizontal="center"/>
    </xf>
  </cellXfs>
  <cellStyles count="404">
    <cellStyle name="          _x000d__x000a_386grabber=VGA.3GR_x000d__x000a_ 3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2 2" xfId="11" xr:uid="{00000000-0005-0000-0000-00000A000000}"/>
    <cellStyle name="20% - Énfasis2 3" xfId="12" xr:uid="{00000000-0005-0000-0000-00000B000000}"/>
    <cellStyle name="20% - Énfasis2 4" xfId="13" xr:uid="{00000000-0005-0000-0000-00000C000000}"/>
    <cellStyle name="20% - Énfasis3 2" xfId="14" xr:uid="{00000000-0005-0000-0000-00000D000000}"/>
    <cellStyle name="20% - Énfasis3 3" xfId="15" xr:uid="{00000000-0005-0000-0000-00000E000000}"/>
    <cellStyle name="20% - Énfasis3 4" xfId="16" xr:uid="{00000000-0005-0000-0000-00000F000000}"/>
    <cellStyle name="20% - Énfasis4 2" xfId="17" xr:uid="{00000000-0005-0000-0000-000010000000}"/>
    <cellStyle name="20% - Énfasis4 3" xfId="18" xr:uid="{00000000-0005-0000-0000-000011000000}"/>
    <cellStyle name="20% - Énfasis4 4" xfId="19" xr:uid="{00000000-0005-0000-0000-000012000000}"/>
    <cellStyle name="20% - Énfasis5 2" xfId="20" xr:uid="{00000000-0005-0000-0000-000013000000}"/>
    <cellStyle name="20% - Énfasis5 3" xfId="21" xr:uid="{00000000-0005-0000-0000-000014000000}"/>
    <cellStyle name="20% - Énfasis5 4" xfId="22" xr:uid="{00000000-0005-0000-0000-000015000000}"/>
    <cellStyle name="20% - Énfasis6 2" xfId="23" xr:uid="{00000000-0005-0000-0000-000016000000}"/>
    <cellStyle name="20% - Énfasis6 3" xfId="24" xr:uid="{00000000-0005-0000-0000-000017000000}"/>
    <cellStyle name="20% - Énfasis6 4" xfId="25" xr:uid="{00000000-0005-0000-0000-000018000000}"/>
    <cellStyle name="40% - Accent1" xfId="26" xr:uid="{00000000-0005-0000-0000-000019000000}"/>
    <cellStyle name="40% - Accent2" xfId="27" xr:uid="{00000000-0005-0000-0000-00001A000000}"/>
    <cellStyle name="40% - Accent3" xfId="28" xr:uid="{00000000-0005-0000-0000-00001B000000}"/>
    <cellStyle name="40% - Accent4" xfId="29" xr:uid="{00000000-0005-0000-0000-00001C000000}"/>
    <cellStyle name="40% - Accent5" xfId="30" xr:uid="{00000000-0005-0000-0000-00001D000000}"/>
    <cellStyle name="40% - Accent6" xfId="31" xr:uid="{00000000-0005-0000-0000-00001E000000}"/>
    <cellStyle name="40% - Énfasis1 2" xfId="32" xr:uid="{00000000-0005-0000-0000-00001F000000}"/>
    <cellStyle name="40% - Énfasis1 3" xfId="33" xr:uid="{00000000-0005-0000-0000-000020000000}"/>
    <cellStyle name="40% - Énfasis1 4" xfId="34" xr:uid="{00000000-0005-0000-0000-000021000000}"/>
    <cellStyle name="40% - Énfasis2 2" xfId="35" xr:uid="{00000000-0005-0000-0000-000022000000}"/>
    <cellStyle name="40% - Énfasis2 3" xfId="36" xr:uid="{00000000-0005-0000-0000-000023000000}"/>
    <cellStyle name="40% - Énfasis2 4" xfId="37" xr:uid="{00000000-0005-0000-0000-000024000000}"/>
    <cellStyle name="40% - Énfasis3 2" xfId="38" xr:uid="{00000000-0005-0000-0000-000025000000}"/>
    <cellStyle name="40% - Énfasis3 3" xfId="39" xr:uid="{00000000-0005-0000-0000-000026000000}"/>
    <cellStyle name="40% - Énfasis3 4" xfId="40" xr:uid="{00000000-0005-0000-0000-000027000000}"/>
    <cellStyle name="40% - Énfasis4 2" xfId="41" xr:uid="{00000000-0005-0000-0000-000028000000}"/>
    <cellStyle name="40% - Énfasis4 3" xfId="42" xr:uid="{00000000-0005-0000-0000-000029000000}"/>
    <cellStyle name="40% - Énfasis4 4" xfId="43" xr:uid="{00000000-0005-0000-0000-00002A000000}"/>
    <cellStyle name="40% - Énfasis5 2" xfId="44" xr:uid="{00000000-0005-0000-0000-00002B000000}"/>
    <cellStyle name="40% - Énfasis5 3" xfId="45" xr:uid="{00000000-0005-0000-0000-00002C000000}"/>
    <cellStyle name="40% - Énfasis5 4" xfId="46" xr:uid="{00000000-0005-0000-0000-00002D000000}"/>
    <cellStyle name="40% - Énfasis6 2" xfId="47" xr:uid="{00000000-0005-0000-0000-00002E000000}"/>
    <cellStyle name="40% - Énfasis6 3" xfId="48" xr:uid="{00000000-0005-0000-0000-00002F000000}"/>
    <cellStyle name="40% - Énfasis6 4" xfId="49" xr:uid="{00000000-0005-0000-0000-000030000000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 2" xfId="56" xr:uid="{00000000-0005-0000-0000-000037000000}"/>
    <cellStyle name="60% - Énfasis2 2" xfId="57" xr:uid="{00000000-0005-0000-0000-000038000000}"/>
    <cellStyle name="60% - Énfasis3 2" xfId="58" xr:uid="{00000000-0005-0000-0000-000039000000}"/>
    <cellStyle name="60% - Énfasis4 2" xfId="59" xr:uid="{00000000-0005-0000-0000-00003A000000}"/>
    <cellStyle name="60% - Énfasis5 2" xfId="60" xr:uid="{00000000-0005-0000-0000-00003B000000}"/>
    <cellStyle name="60% - Énfasis6 2" xfId="61" xr:uid="{00000000-0005-0000-0000-00003C000000}"/>
    <cellStyle name="Accent1" xfId="62" xr:uid="{00000000-0005-0000-0000-00003D000000}"/>
    <cellStyle name="Accent2" xfId="63" xr:uid="{00000000-0005-0000-0000-00003E000000}"/>
    <cellStyle name="Accent3" xfId="64" xr:uid="{00000000-0005-0000-0000-00003F000000}"/>
    <cellStyle name="Accent4" xfId="65" xr:uid="{00000000-0005-0000-0000-000040000000}"/>
    <cellStyle name="Accent5" xfId="66" xr:uid="{00000000-0005-0000-0000-000041000000}"/>
    <cellStyle name="Accent6" xfId="67" xr:uid="{00000000-0005-0000-0000-000042000000}"/>
    <cellStyle name="Bad" xfId="68" xr:uid="{00000000-0005-0000-0000-000043000000}"/>
    <cellStyle name="Bueno 2" xfId="69" xr:uid="{00000000-0005-0000-0000-000044000000}"/>
    <cellStyle name="Calculation" xfId="70" xr:uid="{00000000-0005-0000-0000-000045000000}"/>
    <cellStyle name="Cálculo 2" xfId="71" xr:uid="{00000000-0005-0000-0000-000046000000}"/>
    <cellStyle name="Celda de comprobación 2" xfId="72" xr:uid="{00000000-0005-0000-0000-000047000000}"/>
    <cellStyle name="Celda vinculada 2" xfId="73" xr:uid="{00000000-0005-0000-0000-000048000000}"/>
    <cellStyle name="Check Cell" xfId="74" xr:uid="{00000000-0005-0000-0000-000049000000}"/>
    <cellStyle name="Comma 2" xfId="75" xr:uid="{00000000-0005-0000-0000-00004A000000}"/>
    <cellStyle name="Comma 2 2" xfId="76" xr:uid="{00000000-0005-0000-0000-00004B000000}"/>
    <cellStyle name="Comma 2 3" xfId="77" xr:uid="{00000000-0005-0000-0000-00004C000000}"/>
    <cellStyle name="Comma 3" xfId="78" xr:uid="{00000000-0005-0000-0000-00004D000000}"/>
    <cellStyle name="Comma 4" xfId="79" xr:uid="{00000000-0005-0000-0000-00004E000000}"/>
    <cellStyle name="Comma 4 2" xfId="80" xr:uid="{00000000-0005-0000-0000-00004F000000}"/>
    <cellStyle name="Comma 4 2 2" xfId="81" xr:uid="{00000000-0005-0000-0000-000050000000}"/>
    <cellStyle name="Comma 4 2 2 2" xfId="82" xr:uid="{00000000-0005-0000-0000-000051000000}"/>
    <cellStyle name="Comma 5" xfId="83" xr:uid="{00000000-0005-0000-0000-000052000000}"/>
    <cellStyle name="Comma_Comparativo 2004" xfId="84" xr:uid="{00000000-0005-0000-0000-000053000000}"/>
    <cellStyle name="Encabezado 1 2" xfId="85" xr:uid="{00000000-0005-0000-0000-000054000000}"/>
    <cellStyle name="Encabezado 4 2" xfId="86" xr:uid="{00000000-0005-0000-0000-000055000000}"/>
    <cellStyle name="Énfasis1" xfId="87" builtinId="29"/>
    <cellStyle name="Énfasis1 2" xfId="88" xr:uid="{00000000-0005-0000-0000-000057000000}"/>
    <cellStyle name="Énfasis2 2" xfId="89" xr:uid="{00000000-0005-0000-0000-000058000000}"/>
    <cellStyle name="Énfasis2 3" xfId="90" xr:uid="{00000000-0005-0000-0000-000059000000}"/>
    <cellStyle name="Énfasis3 2" xfId="91" xr:uid="{00000000-0005-0000-0000-00005A000000}"/>
    <cellStyle name="Énfasis4" xfId="92" builtinId="41"/>
    <cellStyle name="Énfasis4 2" xfId="93" xr:uid="{00000000-0005-0000-0000-00005C000000}"/>
    <cellStyle name="Énfasis5 2" xfId="94" xr:uid="{00000000-0005-0000-0000-00005D000000}"/>
    <cellStyle name="Énfasis6 2" xfId="95" xr:uid="{00000000-0005-0000-0000-00005E000000}"/>
    <cellStyle name="Entrada 2" xfId="96" xr:uid="{00000000-0005-0000-0000-00005F000000}"/>
    <cellStyle name="Excel Built-in Normal" xfId="97" xr:uid="{00000000-0005-0000-0000-000060000000}"/>
    <cellStyle name="Excel Built-in Normal 2" xfId="98" xr:uid="{00000000-0005-0000-0000-000061000000}"/>
    <cellStyle name="Explanatory Text" xfId="99" xr:uid="{00000000-0005-0000-0000-000062000000}"/>
    <cellStyle name="Good" xfId="100" xr:uid="{00000000-0005-0000-0000-000063000000}"/>
    <cellStyle name="Heading" xfId="101" xr:uid="{00000000-0005-0000-0000-000064000000}"/>
    <cellStyle name="Heading 1" xfId="102" xr:uid="{00000000-0005-0000-0000-000065000000}"/>
    <cellStyle name="Heading 2" xfId="103" xr:uid="{00000000-0005-0000-0000-000066000000}"/>
    <cellStyle name="Heading 3" xfId="104" xr:uid="{00000000-0005-0000-0000-000067000000}"/>
    <cellStyle name="Heading 4" xfId="105" xr:uid="{00000000-0005-0000-0000-000068000000}"/>
    <cellStyle name="Heading 5" xfId="106" xr:uid="{00000000-0005-0000-0000-000069000000}"/>
    <cellStyle name="Hipervínculo" xfId="107" builtinId="8"/>
    <cellStyle name="Hipervínculo 2" xfId="108" xr:uid="{00000000-0005-0000-0000-00006B000000}"/>
    <cellStyle name="Hipervínculo 3" xfId="109" xr:uid="{00000000-0005-0000-0000-00006C000000}"/>
    <cellStyle name="Incorrecto 2" xfId="110" xr:uid="{00000000-0005-0000-0000-00006D000000}"/>
    <cellStyle name="Input" xfId="111" xr:uid="{00000000-0005-0000-0000-00006E000000}"/>
    <cellStyle name="Linked Cell" xfId="112" xr:uid="{00000000-0005-0000-0000-00006F000000}"/>
    <cellStyle name="Millares" xfId="113" builtinId="3"/>
    <cellStyle name="Millares [0]" xfId="114" builtinId="6"/>
    <cellStyle name="Millares [0] 2" xfId="115" xr:uid="{00000000-0005-0000-0000-000072000000}"/>
    <cellStyle name="Millares [0] 2 2" xfId="116" xr:uid="{00000000-0005-0000-0000-000073000000}"/>
    <cellStyle name="Millares [0] 2 2 2" xfId="117" xr:uid="{00000000-0005-0000-0000-000074000000}"/>
    <cellStyle name="Millares [0] 2 2 3" xfId="118" xr:uid="{00000000-0005-0000-0000-000075000000}"/>
    <cellStyle name="Millares [0] 2 3" xfId="119" xr:uid="{00000000-0005-0000-0000-000076000000}"/>
    <cellStyle name="Millares [0] 2 3 2" xfId="120" xr:uid="{00000000-0005-0000-0000-000077000000}"/>
    <cellStyle name="Millares [0] 2 4" xfId="121" xr:uid="{00000000-0005-0000-0000-000078000000}"/>
    <cellStyle name="Millares [0] 2 5" xfId="122" xr:uid="{00000000-0005-0000-0000-000079000000}"/>
    <cellStyle name="Millares [0] 3" xfId="123" xr:uid="{00000000-0005-0000-0000-00007A000000}"/>
    <cellStyle name="Millares [0] 3 2" xfId="124" xr:uid="{00000000-0005-0000-0000-00007B000000}"/>
    <cellStyle name="Millares [0] 3 2 2" xfId="125" xr:uid="{00000000-0005-0000-0000-00007C000000}"/>
    <cellStyle name="Millares [0] 3 2 3" xfId="126" xr:uid="{00000000-0005-0000-0000-00007D000000}"/>
    <cellStyle name="Millares [0] 3 3" xfId="127" xr:uid="{00000000-0005-0000-0000-00007E000000}"/>
    <cellStyle name="Millares [0] 3 4" xfId="128" xr:uid="{00000000-0005-0000-0000-00007F000000}"/>
    <cellStyle name="Millares [0] 3 5" xfId="129" xr:uid="{00000000-0005-0000-0000-000080000000}"/>
    <cellStyle name="Millares [0] 4" xfId="130" xr:uid="{00000000-0005-0000-0000-000081000000}"/>
    <cellStyle name="Millares [0] 4 2" xfId="131" xr:uid="{00000000-0005-0000-0000-000082000000}"/>
    <cellStyle name="Millares [0] 4 3" xfId="132" xr:uid="{00000000-0005-0000-0000-000083000000}"/>
    <cellStyle name="Millares [0] 4 4" xfId="133" xr:uid="{00000000-0005-0000-0000-000084000000}"/>
    <cellStyle name="Millares [0] 5" xfId="134" xr:uid="{00000000-0005-0000-0000-000085000000}"/>
    <cellStyle name="Millares [0] 6" xfId="135" xr:uid="{00000000-0005-0000-0000-000086000000}"/>
    <cellStyle name="Millares [0] 7" xfId="136" xr:uid="{00000000-0005-0000-0000-000087000000}"/>
    <cellStyle name="Millares [0] 8" xfId="137" xr:uid="{00000000-0005-0000-0000-000088000000}"/>
    <cellStyle name="Millares [0] 9" xfId="402" xr:uid="{F3897145-4C69-4063-BBA2-7D2614677C20}"/>
    <cellStyle name="Millares 10" xfId="138" xr:uid="{00000000-0005-0000-0000-000089000000}"/>
    <cellStyle name="Millares 10 2" xfId="139" xr:uid="{00000000-0005-0000-0000-00008A000000}"/>
    <cellStyle name="Millares 100 11" xfId="140" xr:uid="{00000000-0005-0000-0000-00008B000000}"/>
    <cellStyle name="Millares 100 11 2" xfId="141" xr:uid="{00000000-0005-0000-0000-00008C000000}"/>
    <cellStyle name="Millares 100 11 2 2" xfId="142" xr:uid="{00000000-0005-0000-0000-00008D000000}"/>
    <cellStyle name="Millares 11" xfId="143" xr:uid="{00000000-0005-0000-0000-00008E000000}"/>
    <cellStyle name="Millares 11 2" xfId="144" xr:uid="{00000000-0005-0000-0000-00008F000000}"/>
    <cellStyle name="Millares 12" xfId="145" xr:uid="{00000000-0005-0000-0000-000090000000}"/>
    <cellStyle name="Millares 13" xfId="146" xr:uid="{00000000-0005-0000-0000-000091000000}"/>
    <cellStyle name="Millares 14" xfId="147" xr:uid="{00000000-0005-0000-0000-000092000000}"/>
    <cellStyle name="Millares 15" xfId="148" xr:uid="{00000000-0005-0000-0000-000093000000}"/>
    <cellStyle name="Millares 16" xfId="149" xr:uid="{00000000-0005-0000-0000-000094000000}"/>
    <cellStyle name="Millares 17" xfId="150" xr:uid="{00000000-0005-0000-0000-000095000000}"/>
    <cellStyle name="Millares 174 2" xfId="151" xr:uid="{00000000-0005-0000-0000-000096000000}"/>
    <cellStyle name="Millares 174 2 2" xfId="152" xr:uid="{00000000-0005-0000-0000-000097000000}"/>
    <cellStyle name="Millares 174 2 2 2" xfId="153" xr:uid="{00000000-0005-0000-0000-000098000000}"/>
    <cellStyle name="Millares 18" xfId="154" xr:uid="{00000000-0005-0000-0000-000099000000}"/>
    <cellStyle name="Millares 19" xfId="155" xr:uid="{00000000-0005-0000-0000-00009A000000}"/>
    <cellStyle name="Millares 2" xfId="156" xr:uid="{00000000-0005-0000-0000-00009B000000}"/>
    <cellStyle name="Millares 2 2" xfId="157" xr:uid="{00000000-0005-0000-0000-00009C000000}"/>
    <cellStyle name="Millares 2 2 2" xfId="158" xr:uid="{00000000-0005-0000-0000-00009D000000}"/>
    <cellStyle name="Millares 2 2 2 2" xfId="159" xr:uid="{00000000-0005-0000-0000-00009E000000}"/>
    <cellStyle name="Millares 2 2 3" xfId="160" xr:uid="{00000000-0005-0000-0000-00009F000000}"/>
    <cellStyle name="Millares 2 2 3 2" xfId="161" xr:uid="{00000000-0005-0000-0000-0000A0000000}"/>
    <cellStyle name="Millares 2 2 4" xfId="162" xr:uid="{00000000-0005-0000-0000-0000A1000000}"/>
    <cellStyle name="Millares 2 2 5" xfId="163" xr:uid="{00000000-0005-0000-0000-0000A2000000}"/>
    <cellStyle name="Millares 2 2 6" xfId="164" xr:uid="{00000000-0005-0000-0000-0000A3000000}"/>
    <cellStyle name="Millares 2 2 7" xfId="165" xr:uid="{00000000-0005-0000-0000-0000A4000000}"/>
    <cellStyle name="Millares 2 3" xfId="166" xr:uid="{00000000-0005-0000-0000-0000A5000000}"/>
    <cellStyle name="Millares 2 3 2" xfId="167" xr:uid="{00000000-0005-0000-0000-0000A6000000}"/>
    <cellStyle name="Millares 2 3 3" xfId="168" xr:uid="{00000000-0005-0000-0000-0000A7000000}"/>
    <cellStyle name="Millares 2 4" xfId="169" xr:uid="{00000000-0005-0000-0000-0000A8000000}"/>
    <cellStyle name="Millares 2 4 2" xfId="170" xr:uid="{00000000-0005-0000-0000-0000A9000000}"/>
    <cellStyle name="Millares 2 5" xfId="171" xr:uid="{00000000-0005-0000-0000-0000AA000000}"/>
    <cellStyle name="Millares 2 6" xfId="172" xr:uid="{00000000-0005-0000-0000-0000AB000000}"/>
    <cellStyle name="Millares 2 7" xfId="173" xr:uid="{00000000-0005-0000-0000-0000AC000000}"/>
    <cellStyle name="Millares 20" xfId="174" xr:uid="{00000000-0005-0000-0000-0000AD000000}"/>
    <cellStyle name="Millares 21" xfId="175" xr:uid="{00000000-0005-0000-0000-0000AE000000}"/>
    <cellStyle name="Millares 212" xfId="176" xr:uid="{00000000-0005-0000-0000-0000AF000000}"/>
    <cellStyle name="Millares 212 2" xfId="177" xr:uid="{00000000-0005-0000-0000-0000B0000000}"/>
    <cellStyle name="Millares 22" xfId="178" xr:uid="{00000000-0005-0000-0000-0000B1000000}"/>
    <cellStyle name="Millares 23" xfId="179" xr:uid="{00000000-0005-0000-0000-0000B2000000}"/>
    <cellStyle name="Millares 24" xfId="401" xr:uid="{056A9CFD-2213-45E4-AA09-C4BA9DF3A458}"/>
    <cellStyle name="Millares 3" xfId="180" xr:uid="{00000000-0005-0000-0000-0000B3000000}"/>
    <cellStyle name="Millares 3 11" xfId="181" xr:uid="{00000000-0005-0000-0000-0000B4000000}"/>
    <cellStyle name="Millares 3 11 2" xfId="182" xr:uid="{00000000-0005-0000-0000-0000B5000000}"/>
    <cellStyle name="Millares 3 11 2 2" xfId="183" xr:uid="{00000000-0005-0000-0000-0000B6000000}"/>
    <cellStyle name="Millares 3 2" xfId="184" xr:uid="{00000000-0005-0000-0000-0000B7000000}"/>
    <cellStyle name="Millares 3 2 2" xfId="185" xr:uid="{00000000-0005-0000-0000-0000B8000000}"/>
    <cellStyle name="Millares 3 3" xfId="186" xr:uid="{00000000-0005-0000-0000-0000B9000000}"/>
    <cellStyle name="Millares 3 4" xfId="187" xr:uid="{00000000-0005-0000-0000-0000BA000000}"/>
    <cellStyle name="Millares 3 5" xfId="188" xr:uid="{00000000-0005-0000-0000-0000BB000000}"/>
    <cellStyle name="Millares 3 6" xfId="189" xr:uid="{00000000-0005-0000-0000-0000BC000000}"/>
    <cellStyle name="Millares 4" xfId="190" xr:uid="{00000000-0005-0000-0000-0000BD000000}"/>
    <cellStyle name="Millares 4 2" xfId="191" xr:uid="{00000000-0005-0000-0000-0000BE000000}"/>
    <cellStyle name="Millares 4 2 2" xfId="192" xr:uid="{00000000-0005-0000-0000-0000BF000000}"/>
    <cellStyle name="Millares 4 2 3" xfId="193" xr:uid="{00000000-0005-0000-0000-0000C0000000}"/>
    <cellStyle name="Millares 4 3" xfId="194" xr:uid="{00000000-0005-0000-0000-0000C1000000}"/>
    <cellStyle name="Millares 4 3 2" xfId="195" xr:uid="{00000000-0005-0000-0000-0000C2000000}"/>
    <cellStyle name="Millares 4 4" xfId="196" xr:uid="{00000000-0005-0000-0000-0000C3000000}"/>
    <cellStyle name="Millares 5" xfId="197" xr:uid="{00000000-0005-0000-0000-0000C4000000}"/>
    <cellStyle name="Millares 5 2" xfId="198" xr:uid="{00000000-0005-0000-0000-0000C5000000}"/>
    <cellStyle name="Millares 5 3" xfId="199" xr:uid="{00000000-0005-0000-0000-0000C6000000}"/>
    <cellStyle name="Millares 6" xfId="200" xr:uid="{00000000-0005-0000-0000-0000C7000000}"/>
    <cellStyle name="Millares 6 2" xfId="201" xr:uid="{00000000-0005-0000-0000-0000C8000000}"/>
    <cellStyle name="Millares 654 2 2" xfId="202" xr:uid="{00000000-0005-0000-0000-0000C9000000}"/>
    <cellStyle name="Millares 656" xfId="203" xr:uid="{00000000-0005-0000-0000-0000CA000000}"/>
    <cellStyle name="Millares 656 2" xfId="204" xr:uid="{00000000-0005-0000-0000-0000CB000000}"/>
    <cellStyle name="Millares 656 2 2" xfId="205" xr:uid="{00000000-0005-0000-0000-0000CC000000}"/>
    <cellStyle name="Millares 657" xfId="206" xr:uid="{00000000-0005-0000-0000-0000CD000000}"/>
    <cellStyle name="Millares 657 2" xfId="207" xr:uid="{00000000-0005-0000-0000-0000CE000000}"/>
    <cellStyle name="Millares 657 2 2" xfId="208" xr:uid="{00000000-0005-0000-0000-0000CF000000}"/>
    <cellStyle name="Millares 7" xfId="209" xr:uid="{00000000-0005-0000-0000-0000D0000000}"/>
    <cellStyle name="Millares 7 2" xfId="210" xr:uid="{00000000-0005-0000-0000-0000D1000000}"/>
    <cellStyle name="Millares 7 3" xfId="211" xr:uid="{00000000-0005-0000-0000-0000D2000000}"/>
    <cellStyle name="Millares 8" xfId="212" xr:uid="{00000000-0005-0000-0000-0000D3000000}"/>
    <cellStyle name="Millares 8 2" xfId="213" xr:uid="{00000000-0005-0000-0000-0000D4000000}"/>
    <cellStyle name="Millares 9" xfId="214" xr:uid="{00000000-0005-0000-0000-0000D5000000}"/>
    <cellStyle name="Millares 9 2" xfId="215" xr:uid="{00000000-0005-0000-0000-0000D6000000}"/>
    <cellStyle name="Millares 9 3" xfId="216" xr:uid="{00000000-0005-0000-0000-0000D7000000}"/>
    <cellStyle name="Moneda" xfId="217" builtinId="4"/>
    <cellStyle name="Neutral 2" xfId="218" xr:uid="{00000000-0005-0000-0000-0000D9000000}"/>
    <cellStyle name="Neutral 3" xfId="219" xr:uid="{00000000-0005-0000-0000-0000DA000000}"/>
    <cellStyle name="Neutral 4" xfId="220" xr:uid="{00000000-0005-0000-0000-0000DB000000}"/>
    <cellStyle name="No-definido" xfId="221" xr:uid="{00000000-0005-0000-0000-0000DC000000}"/>
    <cellStyle name="Normal" xfId="0" builtinId="0"/>
    <cellStyle name="Normal 10" xfId="222" xr:uid="{00000000-0005-0000-0000-0000DE000000}"/>
    <cellStyle name="Normal 10 10 2 2 2" xfId="223" xr:uid="{00000000-0005-0000-0000-0000DF000000}"/>
    <cellStyle name="Normal 1016" xfId="224" xr:uid="{00000000-0005-0000-0000-0000E0000000}"/>
    <cellStyle name="Normal 1018" xfId="225" xr:uid="{00000000-0005-0000-0000-0000E1000000}"/>
    <cellStyle name="Normal 1022" xfId="226" xr:uid="{00000000-0005-0000-0000-0000E2000000}"/>
    <cellStyle name="Normal 1024" xfId="227" xr:uid="{00000000-0005-0000-0000-0000E3000000}"/>
    <cellStyle name="Normal 1025" xfId="228" xr:uid="{00000000-0005-0000-0000-0000E4000000}"/>
    <cellStyle name="Normal 1026" xfId="229" xr:uid="{00000000-0005-0000-0000-0000E5000000}"/>
    <cellStyle name="Normal 1027" xfId="230" xr:uid="{00000000-0005-0000-0000-0000E6000000}"/>
    <cellStyle name="Normal 105" xfId="231" xr:uid="{00000000-0005-0000-0000-0000E7000000}"/>
    <cellStyle name="Normal 107" xfId="232" xr:uid="{00000000-0005-0000-0000-0000E8000000}"/>
    <cellStyle name="Normal 109" xfId="233" xr:uid="{00000000-0005-0000-0000-0000E9000000}"/>
    <cellStyle name="Normal 11" xfId="234" xr:uid="{00000000-0005-0000-0000-0000EA000000}"/>
    <cellStyle name="Normal 11 2" xfId="235" xr:uid="{00000000-0005-0000-0000-0000EB000000}"/>
    <cellStyle name="Normal 11 2 2" xfId="236" xr:uid="{00000000-0005-0000-0000-0000EC000000}"/>
    <cellStyle name="Normal 11 3" xfId="237" xr:uid="{00000000-0005-0000-0000-0000ED000000}"/>
    <cellStyle name="Normal 12" xfId="238" xr:uid="{00000000-0005-0000-0000-0000EE000000}"/>
    <cellStyle name="Normal 12 10" xfId="239" xr:uid="{00000000-0005-0000-0000-0000EF000000}"/>
    <cellStyle name="Normal 12 2 10" xfId="240" xr:uid="{00000000-0005-0000-0000-0000F0000000}"/>
    <cellStyle name="Normal 12 2 2 4" xfId="241" xr:uid="{00000000-0005-0000-0000-0000F1000000}"/>
    <cellStyle name="Normal 125" xfId="242" xr:uid="{00000000-0005-0000-0000-0000F2000000}"/>
    <cellStyle name="Normal 126" xfId="243" xr:uid="{00000000-0005-0000-0000-0000F3000000}"/>
    <cellStyle name="Normal 15 2" xfId="244" xr:uid="{00000000-0005-0000-0000-0000F4000000}"/>
    <cellStyle name="Normal 17 2" xfId="245" xr:uid="{00000000-0005-0000-0000-0000F5000000}"/>
    <cellStyle name="Normal 199 2 2" xfId="246" xr:uid="{00000000-0005-0000-0000-0000F6000000}"/>
    <cellStyle name="Normal 2" xfId="247" xr:uid="{00000000-0005-0000-0000-0000F7000000}"/>
    <cellStyle name="Normal 2 10" xfId="248" xr:uid="{00000000-0005-0000-0000-0000F8000000}"/>
    <cellStyle name="Normal 2 10 2 2 2" xfId="249" xr:uid="{00000000-0005-0000-0000-0000F9000000}"/>
    <cellStyle name="Normal 2 11" xfId="250" xr:uid="{00000000-0005-0000-0000-0000FA000000}"/>
    <cellStyle name="Normal 2 12" xfId="251" xr:uid="{00000000-0005-0000-0000-0000FB000000}"/>
    <cellStyle name="Normal 2 13" xfId="252" xr:uid="{00000000-0005-0000-0000-0000FC000000}"/>
    <cellStyle name="Normal 2 14" xfId="253" xr:uid="{00000000-0005-0000-0000-0000FD000000}"/>
    <cellStyle name="Normal 2 15" xfId="254" xr:uid="{00000000-0005-0000-0000-0000FE000000}"/>
    <cellStyle name="Normal 2 16" xfId="255" xr:uid="{00000000-0005-0000-0000-0000FF000000}"/>
    <cellStyle name="Normal 2 17" xfId="256" xr:uid="{00000000-0005-0000-0000-000000010000}"/>
    <cellStyle name="Normal 2 18" xfId="257" xr:uid="{00000000-0005-0000-0000-000001010000}"/>
    <cellStyle name="Normal 2 19" xfId="258" xr:uid="{00000000-0005-0000-0000-000002010000}"/>
    <cellStyle name="Normal 2 2" xfId="259" xr:uid="{00000000-0005-0000-0000-000003010000}"/>
    <cellStyle name="Normal 2 2 2" xfId="260" xr:uid="{00000000-0005-0000-0000-000004010000}"/>
    <cellStyle name="Normal 2 2 2 3" xfId="261" xr:uid="{00000000-0005-0000-0000-000005010000}"/>
    <cellStyle name="Normal 2 2 3" xfId="262" xr:uid="{00000000-0005-0000-0000-000006010000}"/>
    <cellStyle name="Normal 2 20" xfId="263" xr:uid="{00000000-0005-0000-0000-000007010000}"/>
    <cellStyle name="Normal 2 21" xfId="264" xr:uid="{00000000-0005-0000-0000-000008010000}"/>
    <cellStyle name="Normal 2 22" xfId="265" xr:uid="{00000000-0005-0000-0000-000009010000}"/>
    <cellStyle name="Normal 2 23" xfId="266" xr:uid="{00000000-0005-0000-0000-00000A010000}"/>
    <cellStyle name="Normal 2 24" xfId="267" xr:uid="{00000000-0005-0000-0000-00000B010000}"/>
    <cellStyle name="Normal 2 25" xfId="268" xr:uid="{00000000-0005-0000-0000-00000C010000}"/>
    <cellStyle name="Normal 2 26" xfId="269" xr:uid="{00000000-0005-0000-0000-00000D010000}"/>
    <cellStyle name="Normal 2 27" xfId="270" xr:uid="{00000000-0005-0000-0000-00000E010000}"/>
    <cellStyle name="Normal 2 3" xfId="271" xr:uid="{00000000-0005-0000-0000-00000F010000}"/>
    <cellStyle name="Normal 2 3 2" xfId="272" xr:uid="{00000000-0005-0000-0000-000010010000}"/>
    <cellStyle name="Normal 2 3 3" xfId="273" xr:uid="{00000000-0005-0000-0000-000011010000}"/>
    <cellStyle name="Normal 2 3 4" xfId="403" xr:uid="{0FC2FBA5-A5C7-4B4A-A42E-0F2B873D4828}"/>
    <cellStyle name="Normal 2 4" xfId="274" xr:uid="{00000000-0005-0000-0000-000012010000}"/>
    <cellStyle name="Normal 2 4 2" xfId="275" xr:uid="{00000000-0005-0000-0000-000013010000}"/>
    <cellStyle name="Normal 2 4 3" xfId="276" xr:uid="{00000000-0005-0000-0000-000014010000}"/>
    <cellStyle name="Normal 2 5" xfId="277" xr:uid="{00000000-0005-0000-0000-000015010000}"/>
    <cellStyle name="Normal 2 5 2" xfId="278" xr:uid="{00000000-0005-0000-0000-000016010000}"/>
    <cellStyle name="Normal 2 6" xfId="279" xr:uid="{00000000-0005-0000-0000-000017010000}"/>
    <cellStyle name="Normal 2 6 2" xfId="280" xr:uid="{00000000-0005-0000-0000-000018010000}"/>
    <cellStyle name="Normal 2 7" xfId="281" xr:uid="{00000000-0005-0000-0000-000019010000}"/>
    <cellStyle name="Normal 2 8" xfId="282" xr:uid="{00000000-0005-0000-0000-00001A010000}"/>
    <cellStyle name="Normal 2 9" xfId="283" xr:uid="{00000000-0005-0000-0000-00001B010000}"/>
    <cellStyle name="Normal 3" xfId="284" xr:uid="{00000000-0005-0000-0000-00001C010000}"/>
    <cellStyle name="Normal 3 2" xfId="285" xr:uid="{00000000-0005-0000-0000-00001D010000}"/>
    <cellStyle name="Normal 3 2 2" xfId="286" xr:uid="{00000000-0005-0000-0000-00001E010000}"/>
    <cellStyle name="Normal 3 2 3" xfId="287" xr:uid="{00000000-0005-0000-0000-00001F010000}"/>
    <cellStyle name="Normal 3 3" xfId="288" xr:uid="{00000000-0005-0000-0000-000020010000}"/>
    <cellStyle name="Normal 3 4" xfId="289" xr:uid="{00000000-0005-0000-0000-000021010000}"/>
    <cellStyle name="Normal 3 5" xfId="290" xr:uid="{00000000-0005-0000-0000-000022010000}"/>
    <cellStyle name="Normal 3 6" xfId="291" xr:uid="{00000000-0005-0000-0000-000023010000}"/>
    <cellStyle name="Normal 3 7" xfId="292" xr:uid="{00000000-0005-0000-0000-000024010000}"/>
    <cellStyle name="Normal 34 2 2" xfId="293" xr:uid="{00000000-0005-0000-0000-000025010000}"/>
    <cellStyle name="Normal 4" xfId="294" xr:uid="{00000000-0005-0000-0000-000026010000}"/>
    <cellStyle name="Normal 4 2" xfId="295" xr:uid="{00000000-0005-0000-0000-000027010000}"/>
    <cellStyle name="Normal 4 2 2" xfId="296" xr:uid="{00000000-0005-0000-0000-000028010000}"/>
    <cellStyle name="Normal 4 3" xfId="297" xr:uid="{00000000-0005-0000-0000-000029010000}"/>
    <cellStyle name="Normal 4 4" xfId="298" xr:uid="{00000000-0005-0000-0000-00002A010000}"/>
    <cellStyle name="Normal 4 5" xfId="299" xr:uid="{00000000-0005-0000-0000-00002B010000}"/>
    <cellStyle name="Normal 5" xfId="300" xr:uid="{00000000-0005-0000-0000-00002C010000}"/>
    <cellStyle name="Normal 5 2" xfId="301" xr:uid="{00000000-0005-0000-0000-00002D010000}"/>
    <cellStyle name="Normal 5 3" xfId="302" xr:uid="{00000000-0005-0000-0000-00002E010000}"/>
    <cellStyle name="Normal 5 4" xfId="303" xr:uid="{00000000-0005-0000-0000-00002F010000}"/>
    <cellStyle name="Normal 6" xfId="304" xr:uid="{00000000-0005-0000-0000-000030010000}"/>
    <cellStyle name="Normal 6 2" xfId="305" xr:uid="{00000000-0005-0000-0000-000031010000}"/>
    <cellStyle name="Normal 6 3" xfId="306" xr:uid="{00000000-0005-0000-0000-000032010000}"/>
    <cellStyle name="Normal 601" xfId="307" xr:uid="{00000000-0005-0000-0000-000033010000}"/>
    <cellStyle name="Normal 605" xfId="308" xr:uid="{00000000-0005-0000-0000-000034010000}"/>
    <cellStyle name="Normal 606" xfId="309" xr:uid="{00000000-0005-0000-0000-000035010000}"/>
    <cellStyle name="Normal 636" xfId="310" xr:uid="{00000000-0005-0000-0000-000036010000}"/>
    <cellStyle name="Normal 640" xfId="311" xr:uid="{00000000-0005-0000-0000-000037010000}"/>
    <cellStyle name="Normal 643" xfId="312" xr:uid="{00000000-0005-0000-0000-000038010000}"/>
    <cellStyle name="Normal 646" xfId="313" xr:uid="{00000000-0005-0000-0000-000039010000}"/>
    <cellStyle name="Normal 647" xfId="314" xr:uid="{00000000-0005-0000-0000-00003A010000}"/>
    <cellStyle name="Normal 649" xfId="315" xr:uid="{00000000-0005-0000-0000-00003B010000}"/>
    <cellStyle name="Normal 650" xfId="316" xr:uid="{00000000-0005-0000-0000-00003C010000}"/>
    <cellStyle name="Normal 651" xfId="317" xr:uid="{00000000-0005-0000-0000-00003D010000}"/>
    <cellStyle name="Normal 652" xfId="318" xr:uid="{00000000-0005-0000-0000-00003E010000}"/>
    <cellStyle name="Normal 653" xfId="319" xr:uid="{00000000-0005-0000-0000-00003F010000}"/>
    <cellStyle name="Normal 654" xfId="320" xr:uid="{00000000-0005-0000-0000-000040010000}"/>
    <cellStyle name="Normal 655" xfId="321" xr:uid="{00000000-0005-0000-0000-000041010000}"/>
    <cellStyle name="Normal 656" xfId="322" xr:uid="{00000000-0005-0000-0000-000042010000}"/>
    <cellStyle name="Normal 657" xfId="323" xr:uid="{00000000-0005-0000-0000-000043010000}"/>
    <cellStyle name="Normal 658" xfId="324" xr:uid="{00000000-0005-0000-0000-000044010000}"/>
    <cellStyle name="Normal 659" xfId="325" xr:uid="{00000000-0005-0000-0000-000045010000}"/>
    <cellStyle name="Normal 660" xfId="326" xr:uid="{00000000-0005-0000-0000-000046010000}"/>
    <cellStyle name="Normal 662" xfId="327" xr:uid="{00000000-0005-0000-0000-000047010000}"/>
    <cellStyle name="Normal 663" xfId="328" xr:uid="{00000000-0005-0000-0000-000048010000}"/>
    <cellStyle name="Normal 664" xfId="329" xr:uid="{00000000-0005-0000-0000-000049010000}"/>
    <cellStyle name="Normal 665" xfId="330" xr:uid="{00000000-0005-0000-0000-00004A010000}"/>
    <cellStyle name="Normal 667" xfId="331" xr:uid="{00000000-0005-0000-0000-00004B010000}"/>
    <cellStyle name="Normal 673" xfId="332" xr:uid="{00000000-0005-0000-0000-00004C010000}"/>
    <cellStyle name="Normal 674" xfId="333" xr:uid="{00000000-0005-0000-0000-00004D010000}"/>
    <cellStyle name="Normal 675" xfId="334" xr:uid="{00000000-0005-0000-0000-00004E010000}"/>
    <cellStyle name="Normal 676" xfId="335" xr:uid="{00000000-0005-0000-0000-00004F010000}"/>
    <cellStyle name="Normal 677" xfId="336" xr:uid="{00000000-0005-0000-0000-000050010000}"/>
    <cellStyle name="Normal 678" xfId="337" xr:uid="{00000000-0005-0000-0000-000051010000}"/>
    <cellStyle name="Normal 679" xfId="338" xr:uid="{00000000-0005-0000-0000-000052010000}"/>
    <cellStyle name="Normal 684" xfId="339" xr:uid="{00000000-0005-0000-0000-000053010000}"/>
    <cellStyle name="Normal 7" xfId="340" xr:uid="{00000000-0005-0000-0000-000054010000}"/>
    <cellStyle name="Normal 713" xfId="341" xr:uid="{00000000-0005-0000-0000-000055010000}"/>
    <cellStyle name="Normal 714" xfId="342" xr:uid="{00000000-0005-0000-0000-000056010000}"/>
    <cellStyle name="Normal 715" xfId="343" xr:uid="{00000000-0005-0000-0000-000057010000}"/>
    <cellStyle name="Normal 744" xfId="344" xr:uid="{00000000-0005-0000-0000-000058010000}"/>
    <cellStyle name="Normal 8" xfId="345" xr:uid="{00000000-0005-0000-0000-000059010000}"/>
    <cellStyle name="Normal 802" xfId="346" xr:uid="{00000000-0005-0000-0000-00005A010000}"/>
    <cellStyle name="Normal 9" xfId="347" xr:uid="{00000000-0005-0000-0000-00005B010000}"/>
    <cellStyle name="Normal 944" xfId="348" xr:uid="{00000000-0005-0000-0000-00005C010000}"/>
    <cellStyle name="Normal 947" xfId="349" xr:uid="{00000000-0005-0000-0000-00005D010000}"/>
    <cellStyle name="Normal 952" xfId="350" xr:uid="{00000000-0005-0000-0000-00005E010000}"/>
    <cellStyle name="Normal 957" xfId="351" xr:uid="{00000000-0005-0000-0000-00005F010000}"/>
    <cellStyle name="Normal 958" xfId="352" xr:uid="{00000000-0005-0000-0000-000060010000}"/>
    <cellStyle name="Normal 959" xfId="353" xr:uid="{00000000-0005-0000-0000-000061010000}"/>
    <cellStyle name="Normal 960" xfId="354" xr:uid="{00000000-0005-0000-0000-000062010000}"/>
    <cellStyle name="Normal 961" xfId="355" xr:uid="{00000000-0005-0000-0000-000063010000}"/>
    <cellStyle name="Normal 962" xfId="356" xr:uid="{00000000-0005-0000-0000-000064010000}"/>
    <cellStyle name="Normal 963" xfId="357" xr:uid="{00000000-0005-0000-0000-000065010000}"/>
    <cellStyle name="Normal 964" xfId="358" xr:uid="{00000000-0005-0000-0000-000066010000}"/>
    <cellStyle name="Normal 965" xfId="359" xr:uid="{00000000-0005-0000-0000-000067010000}"/>
    <cellStyle name="Normal 966" xfId="360" xr:uid="{00000000-0005-0000-0000-000068010000}"/>
    <cellStyle name="Normal 967" xfId="361" xr:uid="{00000000-0005-0000-0000-000069010000}"/>
    <cellStyle name="Normal 971" xfId="362" xr:uid="{00000000-0005-0000-0000-00006A010000}"/>
    <cellStyle name="Normal 986" xfId="363" xr:uid="{00000000-0005-0000-0000-00006B010000}"/>
    <cellStyle name="Notas 2" xfId="364" xr:uid="{00000000-0005-0000-0000-00006C010000}"/>
    <cellStyle name="Notas 2 2" xfId="365" xr:uid="{00000000-0005-0000-0000-00006D010000}"/>
    <cellStyle name="Notas 3" xfId="366" xr:uid="{00000000-0005-0000-0000-00006E010000}"/>
    <cellStyle name="Notas 4" xfId="367" xr:uid="{00000000-0005-0000-0000-00006F010000}"/>
    <cellStyle name="Note" xfId="368" xr:uid="{00000000-0005-0000-0000-000070010000}"/>
    <cellStyle name="Output" xfId="369" xr:uid="{00000000-0005-0000-0000-000071010000}"/>
    <cellStyle name="Percent (0)" xfId="370" xr:uid="{00000000-0005-0000-0000-000072010000}"/>
    <cellStyle name="Percent 2" xfId="371" xr:uid="{00000000-0005-0000-0000-000073010000}"/>
    <cellStyle name="Percent 2 2" xfId="372" xr:uid="{00000000-0005-0000-0000-000074010000}"/>
    <cellStyle name="Percent 3" xfId="373" xr:uid="{00000000-0005-0000-0000-000075010000}"/>
    <cellStyle name="Percent 4" xfId="374" xr:uid="{00000000-0005-0000-0000-000076010000}"/>
    <cellStyle name="Porcentaje 2" xfId="375" xr:uid="{00000000-0005-0000-0000-000077010000}"/>
    <cellStyle name="Porcentaje 2 2" xfId="376" xr:uid="{00000000-0005-0000-0000-000078010000}"/>
    <cellStyle name="Porcentaje 2 3" xfId="377" xr:uid="{00000000-0005-0000-0000-000079010000}"/>
    <cellStyle name="Porcentaje 3" xfId="378" xr:uid="{00000000-0005-0000-0000-00007A010000}"/>
    <cellStyle name="Porcentaje 3 2" xfId="379" xr:uid="{00000000-0005-0000-0000-00007B010000}"/>
    <cellStyle name="Porcentaje 3 3" xfId="380" xr:uid="{00000000-0005-0000-0000-00007C010000}"/>
    <cellStyle name="Porcentaje 4" xfId="381" xr:uid="{00000000-0005-0000-0000-00007D010000}"/>
    <cellStyle name="Porcentual 2" xfId="382" xr:uid="{00000000-0005-0000-0000-00007E010000}"/>
    <cellStyle name="Porcentual 2 2" xfId="383" xr:uid="{00000000-0005-0000-0000-00007F010000}"/>
    <cellStyle name="Porcentual 2 3" xfId="384" xr:uid="{00000000-0005-0000-0000-000080010000}"/>
    <cellStyle name="Porcentual 2 4" xfId="385" xr:uid="{00000000-0005-0000-0000-000081010000}"/>
    <cellStyle name="Porcentual 3" xfId="386" xr:uid="{00000000-0005-0000-0000-000082010000}"/>
    <cellStyle name="Porcentual 3 2" xfId="387" xr:uid="{00000000-0005-0000-0000-000083010000}"/>
    <cellStyle name="Salida 2" xfId="388" xr:uid="{00000000-0005-0000-0000-000084010000}"/>
    <cellStyle name="Texto de advertencia 2" xfId="389" xr:uid="{00000000-0005-0000-0000-000085010000}"/>
    <cellStyle name="Texto explicativo 2" xfId="390" xr:uid="{00000000-0005-0000-0000-000086010000}"/>
    <cellStyle name="Texto explicativo 3" xfId="391" xr:uid="{00000000-0005-0000-0000-000087010000}"/>
    <cellStyle name="Tickmark" xfId="392" xr:uid="{00000000-0005-0000-0000-000088010000}"/>
    <cellStyle name="Title" xfId="393" xr:uid="{00000000-0005-0000-0000-000089010000}"/>
    <cellStyle name="Título 2 2" xfId="394" xr:uid="{00000000-0005-0000-0000-00008A010000}"/>
    <cellStyle name="Título 3 2" xfId="395" xr:uid="{00000000-0005-0000-0000-00008B010000}"/>
    <cellStyle name="Título 4" xfId="396" xr:uid="{00000000-0005-0000-0000-00008C010000}"/>
    <cellStyle name="Total 2" xfId="397" xr:uid="{00000000-0005-0000-0000-00008D010000}"/>
    <cellStyle name="Total 3" xfId="398" xr:uid="{00000000-0005-0000-0000-00008E010000}"/>
    <cellStyle name="Total 4" xfId="399" xr:uid="{00000000-0005-0000-0000-00008F010000}"/>
    <cellStyle name="Warning Text" xfId="400" xr:uid="{00000000-0005-0000-0000-00009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53340</xdr:rowOff>
    </xdr:from>
    <xdr:to>
      <xdr:col>2</xdr:col>
      <xdr:colOff>45720</xdr:colOff>
      <xdr:row>4</xdr:row>
      <xdr:rowOff>68580</xdr:rowOff>
    </xdr:to>
    <xdr:pic>
      <xdr:nvPicPr>
        <xdr:cNvPr id="1036" name="Imagen 3">
          <a:extLst>
            <a:ext uri="{FF2B5EF4-FFF2-40B4-BE49-F238E27FC236}">
              <a16:creationId xmlns:a16="http://schemas.microsoft.com/office/drawing/2014/main" id="{F29337E2-08E6-6A20-2326-46D85568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60020" y="53340"/>
          <a:ext cx="17221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1562100</xdr:colOff>
      <xdr:row>3</xdr:row>
      <xdr:rowOff>45508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85D36BDE-2330-4EB1-90B9-C22D2EC4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0"/>
          <a:ext cx="1485900" cy="59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22860</xdr:rowOff>
    </xdr:from>
    <xdr:to>
      <xdr:col>1</xdr:col>
      <xdr:colOff>1242060</xdr:colOff>
      <xdr:row>2</xdr:row>
      <xdr:rowOff>137160</xdr:rowOff>
    </xdr:to>
    <xdr:pic>
      <xdr:nvPicPr>
        <xdr:cNvPr id="34828" name="Imagen 3">
          <a:extLst>
            <a:ext uri="{FF2B5EF4-FFF2-40B4-BE49-F238E27FC236}">
              <a16:creationId xmlns:a16="http://schemas.microsoft.com/office/drawing/2014/main" id="{4097C60B-DBA0-3F12-9DE0-E4711B03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90500" y="22860"/>
          <a:ext cx="1417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114300</xdr:rowOff>
    </xdr:from>
    <xdr:to>
      <xdr:col>2</xdr:col>
      <xdr:colOff>167640</xdr:colOff>
      <xdr:row>5</xdr:row>
      <xdr:rowOff>45720</xdr:rowOff>
    </xdr:to>
    <xdr:pic>
      <xdr:nvPicPr>
        <xdr:cNvPr id="35852" name="Imagen 3">
          <a:extLst>
            <a:ext uri="{FF2B5EF4-FFF2-40B4-BE49-F238E27FC236}">
              <a16:creationId xmlns:a16="http://schemas.microsoft.com/office/drawing/2014/main" id="{82EC3179-A731-034E-AD47-81A1218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36220" y="114300"/>
          <a:ext cx="1676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53340</xdr:rowOff>
    </xdr:from>
    <xdr:to>
      <xdr:col>1</xdr:col>
      <xdr:colOff>1104900</xdr:colOff>
      <xdr:row>1</xdr:row>
      <xdr:rowOff>114300</xdr:rowOff>
    </xdr:to>
    <xdr:pic>
      <xdr:nvPicPr>
        <xdr:cNvPr id="36876" name="Imagen 3">
          <a:extLst>
            <a:ext uri="{FF2B5EF4-FFF2-40B4-BE49-F238E27FC236}">
              <a16:creationId xmlns:a16="http://schemas.microsoft.com/office/drawing/2014/main" id="{1645A6F2-CA8A-8144-56F3-4A6371FB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1940" y="5334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114300</xdr:rowOff>
    </xdr:from>
    <xdr:to>
      <xdr:col>1</xdr:col>
      <xdr:colOff>1303020</xdr:colOff>
      <xdr:row>3</xdr:row>
      <xdr:rowOff>76200</xdr:rowOff>
    </xdr:to>
    <xdr:pic>
      <xdr:nvPicPr>
        <xdr:cNvPr id="37900" name="Imagen 3">
          <a:extLst>
            <a:ext uri="{FF2B5EF4-FFF2-40B4-BE49-F238E27FC236}">
              <a16:creationId xmlns:a16="http://schemas.microsoft.com/office/drawing/2014/main" id="{0F91CDD4-DF7D-4C00-C9FF-DD69D9BA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114300"/>
          <a:ext cx="14325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1</xdr:col>
      <xdr:colOff>922020</xdr:colOff>
      <xdr:row>2</xdr:row>
      <xdr:rowOff>0</xdr:rowOff>
    </xdr:to>
    <xdr:pic>
      <xdr:nvPicPr>
        <xdr:cNvPr id="38924" name="Imagen 3">
          <a:extLst>
            <a:ext uri="{FF2B5EF4-FFF2-40B4-BE49-F238E27FC236}">
              <a16:creationId xmlns:a16="http://schemas.microsoft.com/office/drawing/2014/main" id="{B487D649-46BD-B860-80E9-9D2BC60A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13360" y="83820"/>
          <a:ext cx="12801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83820</xdr:rowOff>
    </xdr:from>
    <xdr:to>
      <xdr:col>1</xdr:col>
      <xdr:colOff>1021080</xdr:colOff>
      <xdr:row>3</xdr:row>
      <xdr:rowOff>0</xdr:rowOff>
    </xdr:to>
    <xdr:pic>
      <xdr:nvPicPr>
        <xdr:cNvPr id="39948" name="Imagen 3">
          <a:extLst>
            <a:ext uri="{FF2B5EF4-FFF2-40B4-BE49-F238E27FC236}">
              <a16:creationId xmlns:a16="http://schemas.microsoft.com/office/drawing/2014/main" id="{8D462282-41B7-7C74-7641-2FCC950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83820"/>
          <a:ext cx="11201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</xdr:rowOff>
    </xdr:from>
    <xdr:to>
      <xdr:col>1</xdr:col>
      <xdr:colOff>1089660</xdr:colOff>
      <xdr:row>1</xdr:row>
      <xdr:rowOff>137160</xdr:rowOff>
    </xdr:to>
    <xdr:pic>
      <xdr:nvPicPr>
        <xdr:cNvPr id="40972" name="Imagen 3">
          <a:extLst>
            <a:ext uri="{FF2B5EF4-FFF2-40B4-BE49-F238E27FC236}">
              <a16:creationId xmlns:a16="http://schemas.microsoft.com/office/drawing/2014/main" id="{8C08E7AF-D09F-20B4-A136-5EB1BCE1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52400" y="2286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1150620</xdr:colOff>
      <xdr:row>1</xdr:row>
      <xdr:rowOff>38100</xdr:rowOff>
    </xdr:to>
    <xdr:pic>
      <xdr:nvPicPr>
        <xdr:cNvPr id="41996" name="Imagen 3">
          <a:extLst>
            <a:ext uri="{FF2B5EF4-FFF2-40B4-BE49-F238E27FC236}">
              <a16:creationId xmlns:a16="http://schemas.microsoft.com/office/drawing/2014/main" id="{536D6497-50E6-F1FF-131D-49E95B70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76200" y="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106680</xdr:rowOff>
    </xdr:from>
    <xdr:to>
      <xdr:col>1</xdr:col>
      <xdr:colOff>1242060</xdr:colOff>
      <xdr:row>2</xdr:row>
      <xdr:rowOff>83820</xdr:rowOff>
    </xdr:to>
    <xdr:pic>
      <xdr:nvPicPr>
        <xdr:cNvPr id="43027" name="Imagen 3">
          <a:extLst>
            <a:ext uri="{FF2B5EF4-FFF2-40B4-BE49-F238E27FC236}">
              <a16:creationId xmlns:a16="http://schemas.microsoft.com/office/drawing/2014/main" id="{776ECDEB-32DD-5A56-A53E-07C12D29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67640" y="106680"/>
          <a:ext cx="1394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132521</xdr:rowOff>
    </xdr:from>
    <xdr:to>
      <xdr:col>1</xdr:col>
      <xdr:colOff>314740</xdr:colOff>
      <xdr:row>0</xdr:row>
      <xdr:rowOff>687456</xdr:rowOff>
    </xdr:to>
    <xdr:pic>
      <xdr:nvPicPr>
        <xdr:cNvPr id="2" name="WordPictureWatermark785624567">
          <a:extLst>
            <a:ext uri="{FF2B5EF4-FFF2-40B4-BE49-F238E27FC236}">
              <a16:creationId xmlns:a16="http://schemas.microsoft.com/office/drawing/2014/main" id="{0EB1FD77-DC24-464F-95FA-BD20793D8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29" t="6877" r="70445" b="88060"/>
        <a:stretch/>
      </xdr:blipFill>
      <xdr:spPr bwMode="auto">
        <a:xfrm>
          <a:off x="24848" y="132521"/>
          <a:ext cx="1562432" cy="5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198120</xdr:rowOff>
    </xdr:from>
    <xdr:to>
      <xdr:col>1</xdr:col>
      <xdr:colOff>1440180</xdr:colOff>
      <xdr:row>1</xdr:row>
      <xdr:rowOff>358140</xdr:rowOff>
    </xdr:to>
    <xdr:pic>
      <xdr:nvPicPr>
        <xdr:cNvPr id="44044" name="Imagen 3">
          <a:extLst>
            <a:ext uri="{FF2B5EF4-FFF2-40B4-BE49-F238E27FC236}">
              <a16:creationId xmlns:a16="http://schemas.microsoft.com/office/drawing/2014/main" id="{C07BA481-888A-914E-9DF8-0077FE28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198120"/>
          <a:ext cx="13716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76200</xdr:rowOff>
    </xdr:from>
    <xdr:to>
      <xdr:col>1</xdr:col>
      <xdr:colOff>1348740</xdr:colOff>
      <xdr:row>2</xdr:row>
      <xdr:rowOff>68580</xdr:rowOff>
    </xdr:to>
    <xdr:pic>
      <xdr:nvPicPr>
        <xdr:cNvPr id="45068" name="Imagen 3">
          <a:extLst>
            <a:ext uri="{FF2B5EF4-FFF2-40B4-BE49-F238E27FC236}">
              <a16:creationId xmlns:a16="http://schemas.microsoft.com/office/drawing/2014/main" id="{F4152ECA-352D-FD82-ED34-BF3D7EC7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76200"/>
          <a:ext cx="12801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45720</xdr:rowOff>
    </xdr:from>
    <xdr:to>
      <xdr:col>1</xdr:col>
      <xdr:colOff>1295400</xdr:colOff>
      <xdr:row>3</xdr:row>
      <xdr:rowOff>76200</xdr:rowOff>
    </xdr:to>
    <xdr:pic>
      <xdr:nvPicPr>
        <xdr:cNvPr id="46092" name="Imagen 3">
          <a:extLst>
            <a:ext uri="{FF2B5EF4-FFF2-40B4-BE49-F238E27FC236}">
              <a16:creationId xmlns:a16="http://schemas.microsoft.com/office/drawing/2014/main" id="{99B3778D-48F7-B68B-FB01-EB6347A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45720"/>
          <a:ext cx="13944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</xdr:rowOff>
    </xdr:from>
    <xdr:to>
      <xdr:col>1</xdr:col>
      <xdr:colOff>1066800</xdr:colOff>
      <xdr:row>3</xdr:row>
      <xdr:rowOff>99060</xdr:rowOff>
    </xdr:to>
    <xdr:pic>
      <xdr:nvPicPr>
        <xdr:cNvPr id="47116" name="Imagen 3">
          <a:extLst>
            <a:ext uri="{FF2B5EF4-FFF2-40B4-BE49-F238E27FC236}">
              <a16:creationId xmlns:a16="http://schemas.microsoft.com/office/drawing/2014/main" id="{1FA19D54-52D4-63B0-0B52-DBC770D5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15240"/>
          <a:ext cx="12420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38100</xdr:rowOff>
    </xdr:from>
    <xdr:to>
      <xdr:col>1</xdr:col>
      <xdr:colOff>1158240</xdr:colOff>
      <xdr:row>1</xdr:row>
      <xdr:rowOff>99060</xdr:rowOff>
    </xdr:to>
    <xdr:pic>
      <xdr:nvPicPr>
        <xdr:cNvPr id="48140" name="Imagen 3">
          <a:extLst>
            <a:ext uri="{FF2B5EF4-FFF2-40B4-BE49-F238E27FC236}">
              <a16:creationId xmlns:a16="http://schemas.microsoft.com/office/drawing/2014/main" id="{C225B088-547F-847E-57FC-A00951D6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83820" y="3810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60960</xdr:rowOff>
    </xdr:from>
    <xdr:to>
      <xdr:col>1</xdr:col>
      <xdr:colOff>1013460</xdr:colOff>
      <xdr:row>2</xdr:row>
      <xdr:rowOff>60960</xdr:rowOff>
    </xdr:to>
    <xdr:pic>
      <xdr:nvPicPr>
        <xdr:cNvPr id="49164" name="Imagen 3">
          <a:extLst>
            <a:ext uri="{FF2B5EF4-FFF2-40B4-BE49-F238E27FC236}">
              <a16:creationId xmlns:a16="http://schemas.microsoft.com/office/drawing/2014/main" id="{C0F431A0-FA07-217F-2936-FA71E582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096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1</xdr:col>
      <xdr:colOff>1173480</xdr:colOff>
      <xdr:row>3</xdr:row>
      <xdr:rowOff>15240</xdr:rowOff>
    </xdr:to>
    <xdr:pic>
      <xdr:nvPicPr>
        <xdr:cNvPr id="50188" name="Imagen 3">
          <a:extLst>
            <a:ext uri="{FF2B5EF4-FFF2-40B4-BE49-F238E27FC236}">
              <a16:creationId xmlns:a16="http://schemas.microsoft.com/office/drawing/2014/main" id="{A0C18785-620D-30AB-1AF5-DDC2BBF8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99060" y="53340"/>
          <a:ext cx="13944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83820</xdr:rowOff>
    </xdr:from>
    <xdr:to>
      <xdr:col>1</xdr:col>
      <xdr:colOff>1501140</xdr:colOff>
      <xdr:row>3</xdr:row>
      <xdr:rowOff>15240</xdr:rowOff>
    </xdr:to>
    <xdr:pic>
      <xdr:nvPicPr>
        <xdr:cNvPr id="51212" name="Imagen 3">
          <a:extLst>
            <a:ext uri="{FF2B5EF4-FFF2-40B4-BE49-F238E27FC236}">
              <a16:creationId xmlns:a16="http://schemas.microsoft.com/office/drawing/2014/main" id="{FE4064B3-6AFE-A2B9-F335-777E2CEB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83820"/>
          <a:ext cx="14782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53340</xdr:rowOff>
    </xdr:from>
    <xdr:to>
      <xdr:col>2</xdr:col>
      <xdr:colOff>1158240</xdr:colOff>
      <xdr:row>3</xdr:row>
      <xdr:rowOff>137160</xdr:rowOff>
    </xdr:to>
    <xdr:pic>
      <xdr:nvPicPr>
        <xdr:cNvPr id="2073" name="Imagen 3">
          <a:extLst>
            <a:ext uri="{FF2B5EF4-FFF2-40B4-BE49-F238E27FC236}">
              <a16:creationId xmlns:a16="http://schemas.microsoft.com/office/drawing/2014/main" id="{A030B923-EEFE-3854-9CFE-7D478FC7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37160" y="5334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91440</xdr:rowOff>
    </xdr:from>
    <xdr:to>
      <xdr:col>1</xdr:col>
      <xdr:colOff>1203960</xdr:colOff>
      <xdr:row>4</xdr:row>
      <xdr:rowOff>45720</xdr:rowOff>
    </xdr:to>
    <xdr:pic>
      <xdr:nvPicPr>
        <xdr:cNvPr id="5132" name="Imagen 3">
          <a:extLst>
            <a:ext uri="{FF2B5EF4-FFF2-40B4-BE49-F238E27FC236}">
              <a16:creationId xmlns:a16="http://schemas.microsoft.com/office/drawing/2014/main" id="{50995BA6-3D89-C834-A00B-756D3968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59080" y="91440"/>
          <a:ext cx="13335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106680</xdr:rowOff>
    </xdr:from>
    <xdr:to>
      <xdr:col>2</xdr:col>
      <xdr:colOff>441960</xdr:colOff>
      <xdr:row>2</xdr:row>
      <xdr:rowOff>137160</xdr:rowOff>
    </xdr:to>
    <xdr:pic>
      <xdr:nvPicPr>
        <xdr:cNvPr id="6156" name="Imagen 3">
          <a:extLst>
            <a:ext uri="{FF2B5EF4-FFF2-40B4-BE49-F238E27FC236}">
              <a16:creationId xmlns:a16="http://schemas.microsoft.com/office/drawing/2014/main" id="{B5E2B183-4CA5-7C2F-2E03-5D92C9A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21920" y="106680"/>
          <a:ext cx="14935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1</xdr:col>
      <xdr:colOff>1158240</xdr:colOff>
      <xdr:row>0</xdr:row>
      <xdr:rowOff>617220</xdr:rowOff>
    </xdr:to>
    <xdr:pic>
      <xdr:nvPicPr>
        <xdr:cNvPr id="7180" name="Imagen 3">
          <a:extLst>
            <a:ext uri="{FF2B5EF4-FFF2-40B4-BE49-F238E27FC236}">
              <a16:creationId xmlns:a16="http://schemas.microsoft.com/office/drawing/2014/main" id="{F61E1AFC-7B35-ED2E-431B-E872D3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8580"/>
          <a:ext cx="14097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60960</xdr:rowOff>
    </xdr:from>
    <xdr:to>
      <xdr:col>1</xdr:col>
      <xdr:colOff>922020</xdr:colOff>
      <xdr:row>1</xdr:row>
      <xdr:rowOff>45720</xdr:rowOff>
    </xdr:to>
    <xdr:pic>
      <xdr:nvPicPr>
        <xdr:cNvPr id="30732" name="Imagen 3">
          <a:extLst>
            <a:ext uri="{FF2B5EF4-FFF2-40B4-BE49-F238E27FC236}">
              <a16:creationId xmlns:a16="http://schemas.microsoft.com/office/drawing/2014/main" id="{AAA937C4-2B9A-44E9-B14B-7910C8DA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75260" y="60960"/>
          <a:ext cx="11353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83820</xdr:rowOff>
    </xdr:from>
    <xdr:to>
      <xdr:col>2</xdr:col>
      <xdr:colOff>1104900</xdr:colOff>
      <xdr:row>2</xdr:row>
      <xdr:rowOff>99060</xdr:rowOff>
    </xdr:to>
    <xdr:pic>
      <xdr:nvPicPr>
        <xdr:cNvPr id="31756" name="Imagen 3">
          <a:extLst>
            <a:ext uri="{FF2B5EF4-FFF2-40B4-BE49-F238E27FC236}">
              <a16:creationId xmlns:a16="http://schemas.microsoft.com/office/drawing/2014/main" id="{6F95D3A6-F21D-0A0E-11E0-2AFDAA5D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9560" y="8382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38100</xdr:rowOff>
    </xdr:from>
    <xdr:to>
      <xdr:col>1</xdr:col>
      <xdr:colOff>1165860</xdr:colOff>
      <xdr:row>4</xdr:row>
      <xdr:rowOff>60960</xdr:rowOff>
    </xdr:to>
    <xdr:pic>
      <xdr:nvPicPr>
        <xdr:cNvPr id="32783" name="Imagen 2">
          <a:extLst>
            <a:ext uri="{FF2B5EF4-FFF2-40B4-BE49-F238E27FC236}">
              <a16:creationId xmlns:a16="http://schemas.microsoft.com/office/drawing/2014/main" id="{15F59C06-8C9B-FEB5-0D20-A475141C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3810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dy_pereira_inpositiva_com_py/Documents/10.Investor%20SA/Contabilidad/Conformaciones%20de%20Cuentas%20Contables/Conformaciones%202022/06.%20COMPOSICION%20%20JUNIO%20modificado%20SS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dy_pereira_inpositiva_com_py/Documents/10.Investor%20SA/Contabilidad/CNV_EEFF_Informes/2022/CNV_Informes/03.2022/Balance%20del%20Sistema%20para%20Informe%2031%2003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dy_pereira_inpositiva_com_py/Documents/10.Investor%20SA/Contabilidad/CNV_EEFF_Informes/2021/Informes%20Basicos%20a%20Junio%202021/Investor%20CBSA_Notas%20EEFF%2030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"/>
      <sheetName val="EERR "/>
      <sheetName val="1010101 RECAUDACIONES A DEP ML"/>
      <sheetName val="1010102 CAJA"/>
      <sheetName val="101010201 CAJA"/>
      <sheetName val="101010301 FONDO FIJO"/>
      <sheetName val="1010104 BANCO OPERACIONES"/>
      <sheetName val="1010105 BANCOS ADMINISTRATIVOS"/>
      <sheetName val="BROKER "/>
      <sheetName val="RESUMEN PORTAFOLIO"/>
      <sheetName val="Bonos GS"/>
      <sheetName val="CDA Gs 06 2022"/>
      <sheetName val="Bonos$ 06 2022"/>
      <sheetName val="CDA $ 06 2022"/>
      <sheetName val="Acciones 06 2022"/>
      <sheetName val="Repos Pendientes 06 2022"/>
      <sheetName val="CDA GS Garantia"/>
      <sheetName val="2 CDAS $ BVPASA"/>
      <sheetName val="1010301 CLIENTES ML"/>
      <sheetName val="1010302 CLIENTES ME"/>
      <sheetName val="DOCUM A COBRAR OP PROPIAS ML"/>
      <sheetName val="DOCUM A COBRAR OP PROPIAS ME"/>
      <sheetName val="1010302101 ANTICIPOS IRE"/>
      <sheetName val="101030102 RETENCIONES IVA"/>
      <sheetName val="101030105 RETENCIONES IDU"/>
      <sheetName val="101030020106 IVA CF"/>
      <sheetName val="101030202 ANTICIPO PROVEEDORES"/>
      <sheetName val="101030203 ANTICIPOS AL PERSONAL"/>
      <sheetName val="1010303102 GARANTIAS DE ALQUILE"/>
      <sheetName val="101030401 CTAS A COBRAR DIRECT"/>
      <sheetName val="101030405 CTAS A COBRAR PR ML 2"/>
      <sheetName val="101030406 CTAS A COBRAR PR ME"/>
      <sheetName val="1010502 SEGUROS A DEVENGAR"/>
      <sheetName val="1010503 INTERERES A DEVENGAR"/>
      <sheetName val="INVERSIONES PERMANENTES"/>
      <sheetName val="OTRAS INVERSIONES BVPASA"/>
      <sheetName val="OTRAS INVERSIONES CAJA DE VALOR"/>
      <sheetName val="BIENES DE USO 2021 Actualizar"/>
      <sheetName val="BIENES INTANGIBLES 2021"/>
      <sheetName val="ACREEDORES POR INTERMED ME"/>
      <sheetName val="201010102 DOC POR OP PROPIAS ML"/>
      <sheetName val="ACREEDORES POR INTERMED ML"/>
      <sheetName val="201010202 DOC POR OP PROPIAS ME"/>
      <sheetName val="201010301 CTAS A PAGAR ER ML"/>
      <sheetName val="201010302 CTAS A PAGAR ER ME"/>
      <sheetName val="201020101 PRESTAMOS BANCARIOS"/>
      <sheetName val="INTERESES A PAGAR A BANCOS ML"/>
      <sheetName val="INTERESES A PAGAR BANCOS ME"/>
      <sheetName val="IMP A PAGAR"/>
      <sheetName val="Repos Pendientes 06 2022 (2)"/>
      <sheetName val="201030501 PROVEEDORES ML "/>
      <sheetName val="201030502 PROVEEDORES ME"/>
      <sheetName val="201030506 TARJETAS DE CREDITO"/>
      <sheetName val="2010405 IPS A PAGAR"/>
      <sheetName val="2010501 ANTIC CLIENT INTE ML "/>
      <sheetName val="2010502 ANTIC CLIENT INTE ME"/>
      <sheetName val="2010507INGRESOS DIFERIDOS ADM"/>
      <sheetName val="2010508 ANTIC CLIENTES ADM"/>
      <sheetName val="EMISION CON PRIMA_ACTA DIRECT"/>
      <sheetName val="ACTA 25 03 2022"/>
      <sheetName val="ACTA 25 02 2021"/>
      <sheetName val="CAPITALIZ UTILID AFPISA"/>
    </sheetNames>
    <sheetDataSet>
      <sheetData sheetId="0">
        <row r="7">
          <cell r="B7">
            <v>-149000</v>
          </cell>
        </row>
        <row r="9">
          <cell r="B9">
            <v>1000000</v>
          </cell>
        </row>
        <row r="11">
          <cell r="B11">
            <v>836908706</v>
          </cell>
        </row>
        <row r="13">
          <cell r="B13">
            <v>664509652</v>
          </cell>
        </row>
        <row r="16">
          <cell r="B16">
            <v>22265614</v>
          </cell>
        </row>
        <row r="18">
          <cell r="B18">
            <v>53883</v>
          </cell>
        </row>
        <row r="20">
          <cell r="B20">
            <v>22211731</v>
          </cell>
        </row>
        <row r="21">
          <cell r="B21">
            <v>30739301</v>
          </cell>
        </row>
        <row r="22">
          <cell r="B22">
            <v>30739301</v>
          </cell>
        </row>
        <row r="26">
          <cell r="B26">
            <v>27351600</v>
          </cell>
        </row>
        <row r="29">
          <cell r="B29">
            <v>5067712000</v>
          </cell>
        </row>
        <row r="30">
          <cell r="B30">
            <v>55022656685</v>
          </cell>
        </row>
        <row r="33">
          <cell r="B33">
            <v>683790000</v>
          </cell>
        </row>
        <row r="34">
          <cell r="B34">
            <v>1866625148</v>
          </cell>
        </row>
        <row r="35">
          <cell r="B35">
            <v>1866625148</v>
          </cell>
        </row>
        <row r="36">
          <cell r="B36">
            <v>1067189574</v>
          </cell>
        </row>
        <row r="38">
          <cell r="B38">
            <v>4580085</v>
          </cell>
        </row>
        <row r="40">
          <cell r="B40">
            <v>14875549707</v>
          </cell>
        </row>
        <row r="41">
          <cell r="B41">
            <v>14677059283</v>
          </cell>
        </row>
        <row r="42">
          <cell r="B42">
            <v>198490424</v>
          </cell>
        </row>
        <row r="44">
          <cell r="B44">
            <v>936720497</v>
          </cell>
        </row>
        <row r="45">
          <cell r="B45">
            <v>514077553</v>
          </cell>
        </row>
        <row r="46">
          <cell r="B46">
            <v>244159273</v>
          </cell>
        </row>
        <row r="47">
          <cell r="B47">
            <v>50204968</v>
          </cell>
        </row>
        <row r="48">
          <cell r="B48">
            <v>128278703</v>
          </cell>
        </row>
        <row r="49">
          <cell r="B49">
            <v>252818545</v>
          </cell>
        </row>
        <row r="50">
          <cell r="B50">
            <v>252818545</v>
          </cell>
        </row>
        <row r="51">
          <cell r="B51">
            <v>134492792</v>
          </cell>
        </row>
        <row r="56">
          <cell r="B56">
            <v>2655411935</v>
          </cell>
        </row>
        <row r="57">
          <cell r="B57">
            <v>1500000000</v>
          </cell>
        </row>
        <row r="58">
          <cell r="B58">
            <v>871562022</v>
          </cell>
        </row>
        <row r="59">
          <cell r="B59">
            <v>283849913</v>
          </cell>
        </row>
        <row r="61">
          <cell r="B61">
            <v>12854801</v>
          </cell>
        </row>
        <row r="62">
          <cell r="B62">
            <v>330929001</v>
          </cell>
        </row>
        <row r="63">
          <cell r="B63">
            <v>119863259</v>
          </cell>
        </row>
        <row r="66">
          <cell r="B66">
            <v>34117500000</v>
          </cell>
        </row>
        <row r="68">
          <cell r="B68">
            <v>5355000000</v>
          </cell>
        </row>
        <row r="71">
          <cell r="B71">
            <v>23746500000</v>
          </cell>
        </row>
        <row r="73">
          <cell r="B73">
            <v>47451703</v>
          </cell>
        </row>
        <row r="77">
          <cell r="B77">
            <v>12392392298</v>
          </cell>
        </row>
        <row r="78">
          <cell r="B78">
            <v>12102212443</v>
          </cell>
        </row>
        <row r="79">
          <cell r="B79">
            <v>210957210</v>
          </cell>
        </row>
        <row r="80">
          <cell r="B80">
            <v>487067851</v>
          </cell>
        </row>
        <row r="81">
          <cell r="B81">
            <v>413778448</v>
          </cell>
        </row>
        <row r="82">
          <cell r="B82">
            <v>31158573</v>
          </cell>
        </row>
        <row r="83">
          <cell r="B83">
            <v>93566364</v>
          </cell>
        </row>
        <row r="84">
          <cell r="B84">
            <v>11010456</v>
          </cell>
        </row>
        <row r="85">
          <cell r="B85">
            <v>-957359047</v>
          </cell>
        </row>
        <row r="87">
          <cell r="B87">
            <v>46295765</v>
          </cell>
        </row>
        <row r="90">
          <cell r="B90">
            <v>104084949</v>
          </cell>
        </row>
        <row r="91">
          <cell r="B91">
            <v>76495056</v>
          </cell>
        </row>
        <row r="97">
          <cell r="B97">
            <v>200055</v>
          </cell>
        </row>
        <row r="101">
          <cell r="B101">
            <v>30596490858</v>
          </cell>
        </row>
        <row r="103">
          <cell r="B103">
            <v>11145031350</v>
          </cell>
        </row>
        <row r="105">
          <cell r="B105">
            <v>889168104</v>
          </cell>
        </row>
        <row r="106">
          <cell r="B106">
            <v>703973231</v>
          </cell>
        </row>
        <row r="107">
          <cell r="B107">
            <v>552828248</v>
          </cell>
        </row>
        <row r="108">
          <cell r="B108">
            <v>151144983</v>
          </cell>
        </row>
        <row r="110">
          <cell r="B110">
            <v>38613662174</v>
          </cell>
        </row>
        <row r="111">
          <cell r="B111">
            <v>-2541190411</v>
          </cell>
        </row>
        <row r="112">
          <cell r="B112">
            <v>1866625148</v>
          </cell>
        </row>
        <row r="114">
          <cell r="B114">
            <v>218608786</v>
          </cell>
        </row>
        <row r="116">
          <cell r="B116">
            <v>17538663</v>
          </cell>
        </row>
        <row r="121">
          <cell r="B121">
            <v>56413476</v>
          </cell>
        </row>
        <row r="125">
          <cell r="B125">
            <v>10682000000</v>
          </cell>
        </row>
        <row r="126">
          <cell r="B126">
            <v>2541190411</v>
          </cell>
        </row>
        <row r="127">
          <cell r="B127">
            <v>15644304</v>
          </cell>
        </row>
        <row r="128">
          <cell r="B128">
            <v>1243000</v>
          </cell>
        </row>
        <row r="146">
          <cell r="B146">
            <v>9177905587.0499992</v>
          </cell>
        </row>
      </sheetData>
      <sheetData sheetId="1">
        <row r="5">
          <cell r="B5">
            <v>274569801710</v>
          </cell>
        </row>
        <row r="7">
          <cell r="B7">
            <v>509488707</v>
          </cell>
        </row>
        <row r="12">
          <cell r="B12">
            <v>424418628</v>
          </cell>
        </row>
        <row r="13">
          <cell r="B13">
            <v>256742356</v>
          </cell>
        </row>
        <row r="14">
          <cell r="B14">
            <v>5703325</v>
          </cell>
        </row>
        <row r="15">
          <cell r="B15">
            <v>251327975800</v>
          </cell>
        </row>
        <row r="21">
          <cell r="B21">
            <v>7036092477</v>
          </cell>
        </row>
        <row r="25">
          <cell r="B25">
            <v>4014111834</v>
          </cell>
        </row>
        <row r="29">
          <cell r="B29">
            <v>542380418</v>
          </cell>
        </row>
        <row r="33">
          <cell r="B33">
            <v>339680995</v>
          </cell>
        </row>
        <row r="34">
          <cell r="B34">
            <v>339680995</v>
          </cell>
        </row>
        <row r="37">
          <cell r="B37">
            <v>260456613911</v>
          </cell>
        </row>
        <row r="39">
          <cell r="B39">
            <v>40011244</v>
          </cell>
        </row>
        <row r="40">
          <cell r="B40">
            <v>270818772</v>
          </cell>
        </row>
        <row r="41">
          <cell r="B41">
            <v>3741803</v>
          </cell>
        </row>
        <row r="42">
          <cell r="B42">
            <v>123647545241</v>
          </cell>
        </row>
        <row r="43">
          <cell r="B43">
            <v>122421354283</v>
          </cell>
        </row>
        <row r="44">
          <cell r="B44">
            <v>1492544144</v>
          </cell>
        </row>
        <row r="45">
          <cell r="B45">
            <v>260052303</v>
          </cell>
        </row>
        <row r="47">
          <cell r="B47">
            <v>587500</v>
          </cell>
        </row>
        <row r="48">
          <cell r="B48">
            <v>5073958621</v>
          </cell>
        </row>
        <row r="52">
          <cell r="B52">
            <v>158656634</v>
          </cell>
        </row>
        <row r="53">
          <cell r="B53">
            <v>158656634</v>
          </cell>
        </row>
        <row r="55">
          <cell r="B55">
            <v>4964571597</v>
          </cell>
        </row>
        <row r="56">
          <cell r="B56">
            <v>1590964629</v>
          </cell>
        </row>
        <row r="74">
          <cell r="B74">
            <v>11882694</v>
          </cell>
        </row>
        <row r="87">
          <cell r="B87">
            <v>757874175</v>
          </cell>
        </row>
        <row r="88">
          <cell r="B88">
            <v>757507175</v>
          </cell>
        </row>
        <row r="89">
          <cell r="B89">
            <v>693831747</v>
          </cell>
        </row>
        <row r="92">
          <cell r="B92">
            <v>367000</v>
          </cell>
        </row>
        <row r="93">
          <cell r="B93">
            <v>-606139200</v>
          </cell>
        </row>
        <row r="95">
          <cell r="B95">
            <v>-1216980348</v>
          </cell>
        </row>
        <row r="96">
          <cell r="B96">
            <v>610841148</v>
          </cell>
        </row>
      </sheetData>
      <sheetData sheetId="2"/>
      <sheetData sheetId="3"/>
      <sheetData sheetId="4"/>
      <sheetData sheetId="5"/>
      <sheetData sheetId="6">
        <row r="4">
          <cell r="F4">
            <v>27354745.434</v>
          </cell>
        </row>
        <row r="5">
          <cell r="F5">
            <v>4444.6350000000002</v>
          </cell>
        </row>
        <row r="6">
          <cell r="F6">
            <v>-889168104.35399997</v>
          </cell>
        </row>
        <row r="7">
          <cell r="F7">
            <v>692747.64899999998</v>
          </cell>
        </row>
        <row r="8">
          <cell r="F8">
            <v>48097788.599999994</v>
          </cell>
        </row>
        <row r="9">
          <cell r="F9">
            <v>50605246.529999994</v>
          </cell>
        </row>
        <row r="10">
          <cell r="F10">
            <v>9826199.0580000002</v>
          </cell>
        </row>
        <row r="12">
          <cell r="F12">
            <v>56925517.5</v>
          </cell>
        </row>
        <row r="13">
          <cell r="F13">
            <v>67994915.15699999</v>
          </cell>
        </row>
        <row r="14">
          <cell r="F14">
            <v>41055572.147999994</v>
          </cell>
        </row>
        <row r="15">
          <cell r="F15">
            <v>36666871.170000002</v>
          </cell>
        </row>
        <row r="16">
          <cell r="F16">
            <v>3482405.7119999998</v>
          </cell>
        </row>
        <row r="17">
          <cell r="F17">
            <v>35235698.699999996</v>
          </cell>
        </row>
        <row r="18">
          <cell r="F18">
            <v>150358172.82599998</v>
          </cell>
        </row>
        <row r="19">
          <cell r="F19">
            <v>6483833.5379999997</v>
          </cell>
        </row>
        <row r="20">
          <cell r="F20">
            <v>27605286.089999996</v>
          </cell>
        </row>
        <row r="21">
          <cell r="F21">
            <v>16568231.699999999</v>
          </cell>
        </row>
        <row r="22">
          <cell r="F22">
            <v>21479348.237999998</v>
          </cell>
        </row>
        <row r="23">
          <cell r="F23">
            <v>8988556.3080000002</v>
          </cell>
        </row>
        <row r="24">
          <cell r="F24">
            <v>4095218.3099999996</v>
          </cell>
        </row>
        <row r="25">
          <cell r="F25">
            <v>9582086.027999999</v>
          </cell>
        </row>
        <row r="26">
          <cell r="F26">
            <v>15400865.412</v>
          </cell>
        </row>
        <row r="27">
          <cell r="F27">
            <v>26005901.279999997</v>
          </cell>
        </row>
        <row r="32">
          <cell r="D32">
            <v>14315</v>
          </cell>
        </row>
        <row r="33">
          <cell r="D33">
            <v>5000003</v>
          </cell>
        </row>
        <row r="34">
          <cell r="D34">
            <v>999998</v>
          </cell>
        </row>
        <row r="35">
          <cell r="D35">
            <v>-3806291404</v>
          </cell>
        </row>
        <row r="36">
          <cell r="D36">
            <v>2509451</v>
          </cell>
        </row>
        <row r="37">
          <cell r="D37">
            <v>15008206</v>
          </cell>
        </row>
        <row r="38">
          <cell r="D38">
            <v>8000000</v>
          </cell>
        </row>
        <row r="39">
          <cell r="D39">
            <v>1000000</v>
          </cell>
        </row>
        <row r="41">
          <cell r="D41">
            <v>3000000</v>
          </cell>
        </row>
        <row r="42">
          <cell r="D42">
            <v>5000000</v>
          </cell>
        </row>
        <row r="43">
          <cell r="D43">
            <v>4000020</v>
          </cell>
        </row>
        <row r="44">
          <cell r="D44">
            <v>349322</v>
          </cell>
        </row>
        <row r="45">
          <cell r="D45">
            <v>1122803</v>
          </cell>
        </row>
        <row r="46">
          <cell r="D46">
            <v>4000000</v>
          </cell>
        </row>
        <row r="47">
          <cell r="D47">
            <v>21013687</v>
          </cell>
        </row>
        <row r="48">
          <cell r="D48">
            <v>339656</v>
          </cell>
        </row>
        <row r="49">
          <cell r="D49">
            <v>6785110</v>
          </cell>
        </row>
        <row r="50">
          <cell r="D50">
            <v>1978342</v>
          </cell>
        </row>
        <row r="51">
          <cell r="D51">
            <v>6182784</v>
          </cell>
        </row>
        <row r="52">
          <cell r="D52">
            <v>43923092</v>
          </cell>
        </row>
        <row r="53">
          <cell r="D53">
            <v>4729236</v>
          </cell>
        </row>
        <row r="54">
          <cell r="D54">
            <v>1116128</v>
          </cell>
        </row>
        <row r="55">
          <cell r="D55">
            <v>32730242</v>
          </cell>
        </row>
        <row r="56">
          <cell r="D56">
            <v>3596659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31 03 2022"/>
      <sheetName val="EERR 31 03 2022"/>
    </sheetNames>
    <sheetDataSet>
      <sheetData sheetId="0">
        <row r="6">
          <cell r="B6">
            <v>597000</v>
          </cell>
        </row>
        <row r="49">
          <cell r="B49">
            <v>3200000</v>
          </cell>
        </row>
        <row r="134">
          <cell r="B134">
            <v>42764000001</v>
          </cell>
        </row>
        <row r="143">
          <cell r="B143">
            <v>241757977</v>
          </cell>
        </row>
      </sheetData>
      <sheetData sheetId="1">
        <row r="3">
          <cell r="B3">
            <v>134763062723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Infomac Gral Emp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 y CTAS A PAG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INFORMACION REFERENTE"/>
    </sheetNames>
    <sheetDataSet>
      <sheetData sheetId="0"/>
      <sheetData sheetId="1"/>
      <sheetData sheetId="2"/>
      <sheetData sheetId="3"/>
      <sheetData sheetId="4"/>
      <sheetData sheetId="5">
        <row r="26">
          <cell r="J26">
            <v>36182081621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costa@investor.com.py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H69"/>
  <sheetViews>
    <sheetView showGridLines="0" topLeftCell="A10" zoomScale="120" zoomScaleNormal="120" workbookViewId="0">
      <selection activeCell="E92" sqref="E92"/>
    </sheetView>
  </sheetViews>
  <sheetFormatPr baseColWidth="10" defaultColWidth="11.33203125" defaultRowHeight="13.8"/>
  <cols>
    <col min="1" max="1" width="4.6640625" style="5" customWidth="1"/>
    <col min="2" max="2" width="22.109375" style="5" customWidth="1"/>
    <col min="3" max="3" width="42" style="5" bestFit="1" customWidth="1"/>
    <col min="4" max="4" width="39.33203125" style="6" bestFit="1" customWidth="1"/>
    <col min="5" max="5" width="11.6640625" style="5" customWidth="1"/>
    <col min="6" max="6" width="14.5546875" style="5" hidden="1" customWidth="1"/>
    <col min="7" max="7" width="9.6640625" style="5" hidden="1" customWidth="1"/>
    <col min="8" max="8" width="10.6640625" style="5" hidden="1" customWidth="1"/>
    <col min="9" max="16384" width="11.33203125" style="5"/>
  </cols>
  <sheetData>
    <row r="4" spans="1:8" ht="14.4">
      <c r="F4" s="571" t="s">
        <v>888</v>
      </c>
      <c r="G4" s="572">
        <v>44742</v>
      </c>
    </row>
    <row r="5" spans="1:8" ht="18">
      <c r="B5" s="698" t="s">
        <v>0</v>
      </c>
      <c r="C5" s="698"/>
      <c r="D5" s="698"/>
      <c r="F5" s="5" t="s">
        <v>889</v>
      </c>
      <c r="G5" s="568">
        <f>+G4</f>
        <v>44742</v>
      </c>
    </row>
    <row r="6" spans="1:8" ht="14.4" customHeight="1">
      <c r="B6" s="699" t="s">
        <v>731</v>
      </c>
      <c r="C6" s="699"/>
      <c r="D6" s="699"/>
      <c r="F6" s="569" t="s">
        <v>4</v>
      </c>
      <c r="G6" s="570">
        <v>44742</v>
      </c>
      <c r="H6" s="570">
        <v>44561</v>
      </c>
    </row>
    <row r="7" spans="1:8" ht="15" customHeight="1" thickBot="1">
      <c r="F7" s="569" t="s">
        <v>890</v>
      </c>
      <c r="G7" s="570">
        <f>+G6</f>
        <v>44742</v>
      </c>
      <c r="H7" s="570">
        <v>44377</v>
      </c>
    </row>
    <row r="8" spans="1:8" ht="15" customHeight="1" thickBot="1">
      <c r="B8" s="447" t="s">
        <v>1</v>
      </c>
      <c r="C8" s="696">
        <f>+G4</f>
        <v>44742</v>
      </c>
      <c r="D8" s="697"/>
    </row>
    <row r="9" spans="1:8" ht="13.95" hidden="1" customHeight="1">
      <c r="A9" s="7"/>
      <c r="B9" s="7"/>
      <c r="C9" s="7"/>
      <c r="D9" s="8"/>
    </row>
    <row r="10" spans="1:8" ht="14.4" thickBot="1">
      <c r="A10" s="9"/>
    </row>
    <row r="11" spans="1:8" ht="26.25" customHeight="1" thickBot="1">
      <c r="B11" s="694" t="s">
        <v>2</v>
      </c>
      <c r="C11" s="695"/>
      <c r="D11" s="446" t="s">
        <v>3</v>
      </c>
    </row>
    <row r="12" spans="1:8" ht="26.25" customHeight="1">
      <c r="B12" s="10" t="s">
        <v>755</v>
      </c>
      <c r="C12" s="11"/>
      <c r="D12" s="4" t="s">
        <v>732</v>
      </c>
    </row>
    <row r="13" spans="1:8" ht="26.25" customHeight="1">
      <c r="B13" s="10" t="s">
        <v>756</v>
      </c>
      <c r="C13" s="14"/>
      <c r="D13" s="13"/>
    </row>
    <row r="14" spans="1:8">
      <c r="A14" s="6"/>
      <c r="B14" s="12"/>
      <c r="C14" s="5" t="s">
        <v>4</v>
      </c>
      <c r="D14" s="2" t="s">
        <v>506</v>
      </c>
      <c r="E14" s="5" t="str">
        <f>PROPER(B14)</f>
        <v/>
      </c>
    </row>
    <row r="15" spans="1:8">
      <c r="A15" s="6"/>
      <c r="B15" s="12"/>
      <c r="C15" s="5" t="s">
        <v>5</v>
      </c>
      <c r="D15" s="2" t="s">
        <v>507</v>
      </c>
      <c r="E15" s="5" t="str">
        <f>PROPER(B15)</f>
        <v/>
      </c>
    </row>
    <row r="16" spans="1:8">
      <c r="A16" s="6"/>
      <c r="B16" s="12"/>
      <c r="C16" s="5" t="s">
        <v>6</v>
      </c>
      <c r="D16" s="2" t="s">
        <v>508</v>
      </c>
    </row>
    <row r="17" spans="1:4">
      <c r="A17" s="6"/>
      <c r="B17" s="12"/>
      <c r="C17" s="5" t="s">
        <v>707</v>
      </c>
      <c r="D17" s="2" t="s">
        <v>509</v>
      </c>
    </row>
    <row r="18" spans="1:4">
      <c r="A18" s="6"/>
      <c r="B18" s="12"/>
      <c r="C18" s="5" t="s">
        <v>7</v>
      </c>
      <c r="D18" s="2" t="s">
        <v>754</v>
      </c>
    </row>
    <row r="19" spans="1:4">
      <c r="A19" s="6"/>
      <c r="B19" s="12"/>
      <c r="C19" s="5" t="s">
        <v>8</v>
      </c>
      <c r="D19" s="2" t="s">
        <v>510</v>
      </c>
    </row>
    <row r="20" spans="1:4" ht="14.4">
      <c r="A20" s="6"/>
      <c r="B20" s="12"/>
      <c r="C20" s="5" t="s">
        <v>9</v>
      </c>
      <c r="D20" s="15"/>
    </row>
    <row r="21" spans="1:4" ht="14.4">
      <c r="A21" s="6"/>
      <c r="B21" s="12"/>
      <c r="C21" s="5" t="s">
        <v>10</v>
      </c>
      <c r="D21" s="15"/>
    </row>
    <row r="22" spans="1:4" ht="14.4">
      <c r="A22" s="6"/>
      <c r="B22" s="12"/>
      <c r="C22" s="5" t="s">
        <v>11</v>
      </c>
      <c r="D22" s="15"/>
    </row>
    <row r="23" spans="1:4" ht="14.4">
      <c r="A23" s="6"/>
      <c r="B23" s="12"/>
      <c r="D23" s="15"/>
    </row>
    <row r="24" spans="1:4" ht="14.4">
      <c r="A24" s="6"/>
      <c r="B24" s="10" t="s">
        <v>757</v>
      </c>
      <c r="D24" s="16"/>
    </row>
    <row r="25" spans="1:4">
      <c r="A25" s="6"/>
      <c r="B25" s="12"/>
      <c r="D25" s="17"/>
    </row>
    <row r="26" spans="1:4">
      <c r="A26" s="6"/>
      <c r="B26" s="12"/>
      <c r="C26" s="18" t="s">
        <v>12</v>
      </c>
      <c r="D26" s="2" t="s">
        <v>733</v>
      </c>
    </row>
    <row r="27" spans="1:4">
      <c r="A27" s="6"/>
      <c r="B27" s="12"/>
      <c r="C27" s="18" t="s">
        <v>708</v>
      </c>
      <c r="D27" s="2" t="s">
        <v>733</v>
      </c>
    </row>
    <row r="28" spans="1:4">
      <c r="A28" s="6"/>
      <c r="B28" s="12"/>
      <c r="C28" s="18" t="s">
        <v>709</v>
      </c>
      <c r="D28" s="2" t="s">
        <v>733</v>
      </c>
    </row>
    <row r="29" spans="1:4">
      <c r="A29" s="6"/>
      <c r="B29" s="12"/>
      <c r="C29" s="18" t="s">
        <v>710</v>
      </c>
      <c r="D29" s="2" t="s">
        <v>733</v>
      </c>
    </row>
    <row r="30" spans="1:4">
      <c r="A30" s="6"/>
      <c r="B30" s="12"/>
      <c r="C30" s="18" t="s">
        <v>711</v>
      </c>
      <c r="D30" s="3" t="s">
        <v>373</v>
      </c>
    </row>
    <row r="31" spans="1:4">
      <c r="A31" s="6"/>
      <c r="B31" s="12"/>
      <c r="C31" s="5" t="s">
        <v>712</v>
      </c>
      <c r="D31" s="2" t="s">
        <v>734</v>
      </c>
    </row>
    <row r="32" spans="1:4">
      <c r="A32" s="6"/>
      <c r="B32" s="12"/>
      <c r="C32" s="5" t="s">
        <v>713</v>
      </c>
      <c r="D32" s="2" t="s">
        <v>734</v>
      </c>
    </row>
    <row r="33" spans="1:4">
      <c r="A33" s="6"/>
      <c r="B33" s="12"/>
      <c r="C33" s="5" t="s">
        <v>714</v>
      </c>
      <c r="D33" s="2" t="s">
        <v>734</v>
      </c>
    </row>
    <row r="34" spans="1:4">
      <c r="A34" s="6"/>
      <c r="B34" s="12"/>
      <c r="C34" s="5" t="s">
        <v>715</v>
      </c>
      <c r="D34" s="2" t="s">
        <v>735</v>
      </c>
    </row>
    <row r="35" spans="1:4">
      <c r="A35" s="6"/>
      <c r="B35" s="12"/>
      <c r="C35" s="5" t="s">
        <v>13</v>
      </c>
      <c r="D35" s="2" t="s">
        <v>736</v>
      </c>
    </row>
    <row r="36" spans="1:4">
      <c r="A36" s="6"/>
      <c r="B36" s="12"/>
      <c r="C36" s="5" t="s">
        <v>716</v>
      </c>
      <c r="D36" s="2" t="s">
        <v>737</v>
      </c>
    </row>
    <row r="37" spans="1:4">
      <c r="A37" s="6"/>
      <c r="B37" s="12"/>
      <c r="C37" s="5" t="s">
        <v>717</v>
      </c>
      <c r="D37" s="2" t="s">
        <v>738</v>
      </c>
    </row>
    <row r="38" spans="1:4">
      <c r="A38" s="6"/>
      <c r="B38" s="12"/>
      <c r="C38" s="5" t="s">
        <v>718</v>
      </c>
      <c r="D38" s="2" t="s">
        <v>739</v>
      </c>
    </row>
    <row r="39" spans="1:4">
      <c r="A39" s="6"/>
      <c r="B39" s="12"/>
      <c r="C39" s="5" t="s">
        <v>14</v>
      </c>
      <c r="D39" s="2" t="s">
        <v>740</v>
      </c>
    </row>
    <row r="40" spans="1:4">
      <c r="A40" s="6"/>
      <c r="B40" s="12"/>
      <c r="C40" s="5" t="s">
        <v>15</v>
      </c>
      <c r="D40" s="2" t="s">
        <v>741</v>
      </c>
    </row>
    <row r="41" spans="1:4">
      <c r="A41" s="6"/>
      <c r="B41" s="12"/>
      <c r="C41" s="5" t="s">
        <v>719</v>
      </c>
      <c r="D41" s="2" t="s">
        <v>742</v>
      </c>
    </row>
    <row r="42" spans="1:4">
      <c r="A42" s="6"/>
      <c r="B42" s="12"/>
      <c r="C42" s="5" t="s">
        <v>720</v>
      </c>
      <c r="D42" s="2" t="s">
        <v>743</v>
      </c>
    </row>
    <row r="43" spans="1:4">
      <c r="A43" s="6"/>
      <c r="B43" s="12"/>
      <c r="C43" s="5" t="s">
        <v>721</v>
      </c>
      <c r="D43" s="2" t="s">
        <v>744</v>
      </c>
    </row>
    <row r="44" spans="1:4">
      <c r="A44" s="6"/>
      <c r="B44" s="12"/>
      <c r="C44" s="5" t="s">
        <v>16</v>
      </c>
      <c r="D44" s="2" t="s">
        <v>744</v>
      </c>
    </row>
    <row r="45" spans="1:4">
      <c r="A45" s="6"/>
      <c r="B45" s="12"/>
      <c r="C45" s="5" t="s">
        <v>722</v>
      </c>
      <c r="D45" s="2" t="s">
        <v>744</v>
      </c>
    </row>
    <row r="46" spans="1:4">
      <c r="A46" s="6"/>
      <c r="B46" s="12"/>
      <c r="C46" s="5" t="s">
        <v>723</v>
      </c>
      <c r="D46" s="2" t="s">
        <v>744</v>
      </c>
    </row>
    <row r="47" spans="1:4">
      <c r="A47" s="6"/>
      <c r="B47" s="12"/>
      <c r="C47" s="5" t="s">
        <v>724</v>
      </c>
      <c r="D47" s="2" t="s">
        <v>744</v>
      </c>
    </row>
    <row r="48" spans="1:4">
      <c r="A48" s="6"/>
      <c r="B48" s="12"/>
      <c r="C48" s="5" t="s">
        <v>725</v>
      </c>
      <c r="D48" s="2" t="s">
        <v>745</v>
      </c>
    </row>
    <row r="49" spans="1:4">
      <c r="A49" s="6"/>
      <c r="B49" s="12"/>
      <c r="C49" s="5" t="s">
        <v>17</v>
      </c>
      <c r="D49" s="2" t="s">
        <v>746</v>
      </c>
    </row>
    <row r="50" spans="1:4">
      <c r="A50" s="6"/>
      <c r="B50" s="12"/>
      <c r="C50" s="5" t="s">
        <v>726</v>
      </c>
      <c r="D50" s="2" t="s">
        <v>747</v>
      </c>
    </row>
    <row r="51" spans="1:4">
      <c r="A51" s="6"/>
      <c r="B51" s="12"/>
      <c r="C51" s="5" t="s">
        <v>18</v>
      </c>
      <c r="D51" s="2" t="s">
        <v>747</v>
      </c>
    </row>
    <row r="52" spans="1:4">
      <c r="A52" s="6"/>
      <c r="B52" s="12"/>
      <c r="C52" s="5" t="s">
        <v>727</v>
      </c>
      <c r="D52" s="2" t="s">
        <v>748</v>
      </c>
    </row>
    <row r="53" spans="1:4">
      <c r="A53" s="6"/>
      <c r="B53" s="10"/>
      <c r="C53" s="5" t="s">
        <v>728</v>
      </c>
      <c r="D53" s="2" t="s">
        <v>749</v>
      </c>
    </row>
    <row r="54" spans="1:4">
      <c r="A54" s="6"/>
      <c r="B54" s="12"/>
      <c r="C54" s="5" t="s">
        <v>19</v>
      </c>
      <c r="D54" s="2" t="s">
        <v>750</v>
      </c>
    </row>
    <row r="55" spans="1:4">
      <c r="A55" s="6"/>
      <c r="B55" s="12"/>
      <c r="C55" s="5" t="s">
        <v>20</v>
      </c>
      <c r="D55" s="2" t="s">
        <v>751</v>
      </c>
    </row>
    <row r="56" spans="1:4">
      <c r="A56" s="6"/>
      <c r="B56" s="12"/>
      <c r="C56" s="5" t="s">
        <v>21</v>
      </c>
      <c r="D56" s="2" t="s">
        <v>752</v>
      </c>
    </row>
    <row r="57" spans="1:4">
      <c r="A57" s="6"/>
      <c r="B57" s="12"/>
      <c r="D57" s="3" t="s">
        <v>373</v>
      </c>
    </row>
    <row r="58" spans="1:4">
      <c r="A58" s="6"/>
      <c r="B58" s="12"/>
      <c r="C58" s="18" t="s">
        <v>22</v>
      </c>
      <c r="D58" s="2" t="s">
        <v>753</v>
      </c>
    </row>
    <row r="59" spans="1:4">
      <c r="A59" s="6"/>
      <c r="B59" s="12"/>
      <c r="C59" s="5" t="s">
        <v>23</v>
      </c>
      <c r="D59" s="3"/>
    </row>
    <row r="60" spans="1:4">
      <c r="A60" s="6"/>
      <c r="B60" s="12"/>
      <c r="C60" s="5" t="s">
        <v>729</v>
      </c>
      <c r="D60" s="3"/>
    </row>
    <row r="61" spans="1:4" ht="14.4">
      <c r="A61" s="6"/>
      <c r="B61" s="12"/>
      <c r="C61" s="5" t="s">
        <v>730</v>
      </c>
      <c r="D61" s="15"/>
    </row>
    <row r="62" spans="1:4" ht="14.4">
      <c r="A62" s="6"/>
      <c r="B62" s="12"/>
      <c r="C62" s="5" t="s">
        <v>24</v>
      </c>
      <c r="D62" s="15"/>
    </row>
    <row r="63" spans="1:4" ht="14.4">
      <c r="A63" s="6"/>
      <c r="B63" s="12"/>
      <c r="C63" s="5" t="s">
        <v>25</v>
      </c>
      <c r="D63" s="15"/>
    </row>
    <row r="64" spans="1:4" ht="14.4">
      <c r="A64" s="6"/>
      <c r="B64" s="12"/>
      <c r="C64" s="5" t="s">
        <v>26</v>
      </c>
      <c r="D64" s="15"/>
    </row>
    <row r="65" spans="1:4" ht="14.4">
      <c r="A65" s="6"/>
      <c r="B65" s="12"/>
      <c r="C65" s="5" t="s">
        <v>27</v>
      </c>
      <c r="D65" s="15"/>
    </row>
    <row r="66" spans="1:4" ht="14.4">
      <c r="A66" s="6"/>
      <c r="B66" s="12"/>
      <c r="C66" s="5" t="s">
        <v>28</v>
      </c>
      <c r="D66" s="15"/>
    </row>
    <row r="67" spans="1:4" ht="14.4">
      <c r="A67" s="6"/>
      <c r="B67" s="12"/>
      <c r="D67" s="15"/>
    </row>
    <row r="68" spans="1:4" ht="14.4">
      <c r="A68" s="6"/>
      <c r="B68" s="19"/>
      <c r="C68" s="20"/>
      <c r="D68" s="21"/>
    </row>
    <row r="69" spans="1:4" ht="21" customHeight="1">
      <c r="A69" s="22"/>
      <c r="D69" s="23"/>
    </row>
  </sheetData>
  <mergeCells count="4">
    <mergeCell ref="B11:C11"/>
    <mergeCell ref="C8:D8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rgb="FF002060"/>
  </sheetPr>
  <dimension ref="B1:I106"/>
  <sheetViews>
    <sheetView showGridLines="0" topLeftCell="A52" zoomScale="125" workbookViewId="0">
      <selection activeCell="E92" sqref="E92"/>
    </sheetView>
  </sheetViews>
  <sheetFormatPr baseColWidth="10" defaultColWidth="11.44140625" defaultRowHeight="12"/>
  <cols>
    <col min="1" max="1" width="5.6640625" style="25" customWidth="1"/>
    <col min="2" max="2" width="47.6640625" style="25" customWidth="1"/>
    <col min="3" max="3" width="14.6640625" style="57" bestFit="1" customWidth="1"/>
    <col min="4" max="4" width="14.109375" style="57" bestFit="1" customWidth="1"/>
    <col min="5" max="5" width="23.6640625" style="25" customWidth="1"/>
    <col min="6" max="6" width="14.44140625" style="39" hidden="1" customWidth="1"/>
    <col min="7" max="7" width="9.33203125" style="25" hidden="1" customWidth="1"/>
    <col min="8" max="8" width="7" style="25" hidden="1" customWidth="1"/>
    <col min="9" max="9" width="12.33203125" style="25" bestFit="1" customWidth="1"/>
    <col min="10" max="16384" width="11.44140625" style="25"/>
  </cols>
  <sheetData>
    <row r="1" spans="2:8" ht="14.4">
      <c r="B1" s="298"/>
    </row>
    <row r="5" spans="2:8" ht="15.6">
      <c r="B5" s="742" t="s">
        <v>647</v>
      </c>
      <c r="C5" s="742"/>
      <c r="D5" s="742"/>
    </row>
    <row r="6" spans="2:8">
      <c r="B6" s="739" t="s">
        <v>606</v>
      </c>
      <c r="C6" s="739"/>
      <c r="D6" s="739"/>
      <c r="F6" s="58"/>
      <c r="G6" s="59"/>
      <c r="H6" s="59"/>
    </row>
    <row r="7" spans="2:8" ht="14.4">
      <c r="B7" s="410" t="s">
        <v>666</v>
      </c>
      <c r="C7" s="197"/>
      <c r="D7" s="197"/>
      <c r="F7" s="58"/>
      <c r="G7" s="59"/>
      <c r="H7" s="59"/>
    </row>
    <row r="8" spans="2:8">
      <c r="B8" s="60" t="s">
        <v>348</v>
      </c>
      <c r="C8" s="61">
        <f>+Indice!G5</f>
        <v>44742</v>
      </c>
      <c r="D8" s="62">
        <v>44561</v>
      </c>
      <c r="F8" s="58"/>
      <c r="G8" s="59"/>
      <c r="H8" s="59"/>
    </row>
    <row r="9" spans="2:8">
      <c r="B9" s="63" t="s">
        <v>627</v>
      </c>
      <c r="C9" s="64">
        <v>0</v>
      </c>
      <c r="D9" s="65">
        <v>0</v>
      </c>
      <c r="F9" s="58"/>
      <c r="G9" s="59"/>
      <c r="H9" s="59"/>
    </row>
    <row r="10" spans="2:8" ht="13.8">
      <c r="B10" s="66" t="s">
        <v>522</v>
      </c>
      <c r="C10" s="67">
        <f>+'[4]1010104 BANCO OPERACIONES'!$F$17</f>
        <v>35235698.699999996</v>
      </c>
      <c r="D10" s="68">
        <v>72919906.530000001</v>
      </c>
      <c r="F10" s="69"/>
      <c r="G10" s="59"/>
      <c r="H10" s="70"/>
    </row>
    <row r="11" spans="2:8" ht="13.8">
      <c r="B11" s="66" t="s">
        <v>641</v>
      </c>
      <c r="C11" s="67">
        <f>+'[4]1010104 BANCO OPERACIONES'!$D$46</f>
        <v>4000000</v>
      </c>
      <c r="D11" s="67">
        <v>5200343</v>
      </c>
      <c r="F11" s="69"/>
      <c r="G11" s="59"/>
      <c r="H11" s="70"/>
    </row>
    <row r="12" spans="2:8" ht="13.8">
      <c r="B12" s="66" t="s">
        <v>633</v>
      </c>
      <c r="C12" s="67">
        <f>+'[4]1010104 BANCO OPERACIONES'!$F$15</f>
        <v>36666871.170000002</v>
      </c>
      <c r="D12" s="67">
        <v>3437534.9511000002</v>
      </c>
      <c r="F12" s="69"/>
      <c r="G12" s="59"/>
      <c r="H12" s="70"/>
    </row>
    <row r="13" spans="2:8" ht="13.8">
      <c r="B13" s="66" t="s">
        <v>640</v>
      </c>
      <c r="C13" s="67">
        <f>+'[4]1010104 BANCO OPERACIONES'!$D$44</f>
        <v>349322</v>
      </c>
      <c r="D13" s="67">
        <v>6303820</v>
      </c>
      <c r="F13" s="69"/>
      <c r="G13" s="59"/>
      <c r="H13" s="70"/>
    </row>
    <row r="14" spans="2:8" ht="13.8">
      <c r="B14" s="66" t="s">
        <v>349</v>
      </c>
      <c r="C14" s="67">
        <f>+'[4]1010104 BANCO OPERACIONES'!$D$32</f>
        <v>14315</v>
      </c>
      <c r="D14" s="67">
        <v>24423</v>
      </c>
      <c r="F14" s="69"/>
      <c r="G14" s="59"/>
      <c r="H14" s="70"/>
    </row>
    <row r="15" spans="2:8" ht="13.8">
      <c r="B15" s="66" t="s">
        <v>350</v>
      </c>
      <c r="C15" s="67">
        <f>+'[4]1010104 BANCO OPERACIONES'!$F$4</f>
        <v>27354745.434</v>
      </c>
      <c r="D15" s="67">
        <v>27483171.291900001</v>
      </c>
      <c r="F15" s="69"/>
      <c r="G15" s="59"/>
      <c r="H15" s="70"/>
    </row>
    <row r="16" spans="2:8" ht="13.8">
      <c r="B16" s="66" t="s">
        <v>351</v>
      </c>
      <c r="C16" s="67">
        <f>+'[4]1010104 BANCO OPERACIONES'!$D$38</f>
        <v>8000000</v>
      </c>
      <c r="D16" s="67">
        <v>21000000</v>
      </c>
      <c r="F16" s="69"/>
      <c r="G16" s="59"/>
      <c r="H16" s="70"/>
    </row>
    <row r="17" spans="2:9">
      <c r="B17" s="66" t="s">
        <v>352</v>
      </c>
      <c r="C17" s="67">
        <f>+'[4]1010104 BANCO OPERACIONES'!$F$9</f>
        <v>50605246.529999994</v>
      </c>
      <c r="D17" s="68">
        <v>128390016.903</v>
      </c>
      <c r="F17" s="69"/>
      <c r="G17" s="192"/>
      <c r="I17" s="39"/>
    </row>
    <row r="18" spans="2:9">
      <c r="B18" s="66" t="s">
        <v>642</v>
      </c>
      <c r="C18" s="67">
        <f>+'[4]1010104 BANCO OPERACIONES'!$D$51</f>
        <v>6182784</v>
      </c>
      <c r="D18" s="67">
        <v>3241810</v>
      </c>
      <c r="F18" s="69"/>
      <c r="G18" s="192"/>
      <c r="I18" s="39"/>
    </row>
    <row r="19" spans="2:9">
      <c r="B19" s="66" t="s">
        <v>503</v>
      </c>
      <c r="C19" s="67">
        <f>+'[4]1010104 BANCO OPERACIONES'!$F$22</f>
        <v>21479348.237999998</v>
      </c>
      <c r="D19" s="67">
        <v>20994447.036000002</v>
      </c>
      <c r="F19" s="69"/>
      <c r="G19" s="59"/>
      <c r="I19" s="39"/>
    </row>
    <row r="20" spans="2:9">
      <c r="B20" s="66" t="s">
        <v>630</v>
      </c>
      <c r="C20" s="67">
        <f>+'[4]1010104 BANCO OPERACIONES'!$F$10</f>
        <v>9826199.0580000002</v>
      </c>
      <c r="D20" s="67">
        <v>1374299.4162000001</v>
      </c>
      <c r="F20" s="69"/>
      <c r="G20" s="59"/>
      <c r="I20" s="39"/>
    </row>
    <row r="21" spans="2:9">
      <c r="B21" s="66" t="s">
        <v>353</v>
      </c>
      <c r="C21" s="67">
        <f>+'[4]1010104 BANCO OPERACIONES'!$D$48</f>
        <v>339656</v>
      </c>
      <c r="D21" s="67">
        <v>17014656</v>
      </c>
      <c r="F21" s="69"/>
      <c r="G21" s="192"/>
      <c r="I21" s="39"/>
    </row>
    <row r="22" spans="2:9">
      <c r="B22" s="66" t="s">
        <v>354</v>
      </c>
      <c r="C22" s="67">
        <f>+'[4]1010104 BANCO OPERACIONES'!$F$19</f>
        <v>6483833.5379999997</v>
      </c>
      <c r="D22" s="67">
        <v>47913112.578300007</v>
      </c>
      <c r="F22" s="69"/>
      <c r="G22" s="192"/>
      <c r="I22" s="39"/>
    </row>
    <row r="23" spans="2:9">
      <c r="B23" s="66" t="s">
        <v>947</v>
      </c>
      <c r="C23" s="67">
        <f>+'[4]1010104 BANCO OPERACIONES'!$D$37</f>
        <v>15008206</v>
      </c>
      <c r="D23" s="67">
        <v>1725001</v>
      </c>
      <c r="F23" s="69"/>
      <c r="G23" s="192"/>
      <c r="I23" s="39"/>
    </row>
    <row r="24" spans="2:9">
      <c r="B24" s="66" t="s">
        <v>948</v>
      </c>
      <c r="C24" s="67">
        <f>+'[4]1010104 BANCO OPERACIONES'!$F$8</f>
        <v>48097788.599999994</v>
      </c>
      <c r="D24" s="67">
        <v>10121733.751500001</v>
      </c>
      <c r="F24" s="69"/>
      <c r="G24" s="192"/>
      <c r="I24" s="39"/>
    </row>
    <row r="25" spans="2:9">
      <c r="B25" s="66" t="s">
        <v>949</v>
      </c>
      <c r="C25" s="67">
        <f>+'[4]1010104 BANCO OPERACIONES'!$D$39</f>
        <v>1000000</v>
      </c>
      <c r="D25" s="67">
        <v>500000</v>
      </c>
      <c r="F25" s="69"/>
      <c r="G25" s="192"/>
      <c r="I25" s="39"/>
    </row>
    <row r="26" spans="2:9">
      <c r="B26" s="66" t="s">
        <v>637</v>
      </c>
      <c r="C26" s="67">
        <f>+'[4]1010104 BANCO OPERACIONES'!$D$33</f>
        <v>5000003</v>
      </c>
      <c r="D26" s="67">
        <v>5000015</v>
      </c>
      <c r="F26" s="69"/>
      <c r="G26" s="192"/>
      <c r="I26" s="39"/>
    </row>
    <row r="27" spans="2:9">
      <c r="B27" s="66" t="s">
        <v>355</v>
      </c>
      <c r="C27" s="67">
        <f>+'[4]EEFF '!$B$22</f>
        <v>30739301</v>
      </c>
      <c r="D27" s="67">
        <v>30133517.541300002</v>
      </c>
      <c r="F27" s="69"/>
      <c r="G27" s="192"/>
      <c r="I27" s="39"/>
    </row>
    <row r="28" spans="2:9">
      <c r="B28" s="66" t="s">
        <v>639</v>
      </c>
      <c r="C28" s="67">
        <f>+'[4]1010104 BANCO OPERACIONES'!$D$43</f>
        <v>4000020</v>
      </c>
      <c r="D28" s="67">
        <v>41450020</v>
      </c>
      <c r="F28" s="69"/>
      <c r="G28" s="192"/>
      <c r="I28" s="39"/>
    </row>
    <row r="29" spans="2:9">
      <c r="B29" s="66" t="s">
        <v>632</v>
      </c>
      <c r="C29" s="67">
        <f>+'[4]1010104 BANCO OPERACIONES'!$F$14</f>
        <v>41055572.147999994</v>
      </c>
      <c r="D29" s="67">
        <v>37460137.076700002</v>
      </c>
      <c r="F29" s="69"/>
      <c r="G29" s="192"/>
      <c r="I29" s="39"/>
    </row>
    <row r="30" spans="2:9">
      <c r="B30" s="66" t="s">
        <v>356</v>
      </c>
      <c r="C30" s="67">
        <f>+'[4]1010104 BANCO OPERACIONES'!$F$23</f>
        <v>8988556.3080000002</v>
      </c>
      <c r="D30" s="67">
        <v>10461564.0141</v>
      </c>
      <c r="F30" s="69"/>
      <c r="G30" s="192"/>
      <c r="I30" s="39"/>
    </row>
    <row r="31" spans="2:9">
      <c r="B31" s="66" t="s">
        <v>357</v>
      </c>
      <c r="C31" s="67">
        <f>+'[4]1010104 BANCO OPERACIONES'!$D$52</f>
        <v>43923092</v>
      </c>
      <c r="D31" s="67">
        <v>26074595</v>
      </c>
      <c r="F31" s="69"/>
      <c r="G31" s="192"/>
      <c r="I31" s="39"/>
    </row>
    <row r="32" spans="2:9">
      <c r="B32" s="66" t="s">
        <v>358</v>
      </c>
      <c r="C32" s="67">
        <f>+'[4]1010104 BANCO OPERACIONES'!$D$47</f>
        <v>21013687</v>
      </c>
      <c r="D32" s="67">
        <v>11605398</v>
      </c>
      <c r="F32" s="69"/>
      <c r="G32" s="192"/>
      <c r="I32" s="39"/>
    </row>
    <row r="33" spans="2:9">
      <c r="B33" s="66" t="s">
        <v>359</v>
      </c>
      <c r="C33" s="67">
        <f>+'[4]1010104 BANCO OPERACIONES'!$F$18</f>
        <v>150358172.82599998</v>
      </c>
      <c r="D33" s="67">
        <v>43616176.712400004</v>
      </c>
      <c r="F33" s="69"/>
      <c r="G33" s="192"/>
      <c r="I33" s="39"/>
    </row>
    <row r="34" spans="2:9">
      <c r="B34" s="66" t="s">
        <v>950</v>
      </c>
      <c r="C34" s="67">
        <f>+'[4]1010104 BANCO OPERACIONES'!$D$49</f>
        <v>6785110</v>
      </c>
      <c r="D34" s="67">
        <v>2511730</v>
      </c>
      <c r="F34" s="69"/>
      <c r="G34" s="192"/>
      <c r="I34" s="39"/>
    </row>
    <row r="35" spans="2:9">
      <c r="B35" s="66" t="s">
        <v>951</v>
      </c>
      <c r="C35" s="67">
        <f>+'[4]1010104 BANCO OPERACIONES'!$F$20</f>
        <v>27605286.089999996</v>
      </c>
      <c r="D35" s="67">
        <v>25156096.653000001</v>
      </c>
      <c r="F35" s="69"/>
      <c r="G35" s="192"/>
      <c r="I35" s="39"/>
    </row>
    <row r="36" spans="2:9">
      <c r="B36" s="66" t="s">
        <v>644</v>
      </c>
      <c r="C36" s="67">
        <f>+'[4]1010104 BANCO OPERACIONES'!$D$56</f>
        <v>3596659</v>
      </c>
      <c r="D36" s="67">
        <v>1004540</v>
      </c>
      <c r="F36" s="69"/>
      <c r="G36" s="192"/>
      <c r="I36" s="39"/>
    </row>
    <row r="37" spans="2:9">
      <c r="B37" s="66" t="s">
        <v>636</v>
      </c>
      <c r="C37" s="67">
        <f>+'[4]1010104 BANCO OPERACIONES'!$F$27</f>
        <v>26005901.279999997</v>
      </c>
      <c r="D37" s="67">
        <v>1379315.1075000002</v>
      </c>
      <c r="F37" s="69"/>
      <c r="G37" s="192"/>
      <c r="I37" s="39"/>
    </row>
    <row r="38" spans="2:9">
      <c r="B38" s="66" t="s">
        <v>360</v>
      </c>
      <c r="C38" s="67">
        <f>+'[4]1010104 BANCO OPERACIONES'!$D$45</f>
        <v>1122803</v>
      </c>
      <c r="D38" s="68">
        <v>4463041</v>
      </c>
      <c r="F38" s="69"/>
      <c r="G38" s="192"/>
      <c r="I38" s="39"/>
    </row>
    <row r="39" spans="2:9">
      <c r="B39" s="66" t="s">
        <v>634</v>
      </c>
      <c r="C39" s="65">
        <f>+'[4]1010104 BANCO OPERACIONES'!$F$16</f>
        <v>3482405.7119999998</v>
      </c>
      <c r="D39" s="68">
        <v>6208395.2079000007</v>
      </c>
      <c r="F39" s="69"/>
      <c r="G39" s="192"/>
      <c r="I39" s="39"/>
    </row>
    <row r="40" spans="2:9">
      <c r="B40" s="66" t="s">
        <v>361</v>
      </c>
      <c r="C40" s="67">
        <f>+'[4]1010104 BANCO OPERACIONES'!$D$53</f>
        <v>4729236</v>
      </c>
      <c r="D40" s="67">
        <v>30690754</v>
      </c>
      <c r="F40" s="69"/>
      <c r="G40" s="59"/>
      <c r="I40" s="39"/>
    </row>
    <row r="41" spans="2:9" ht="13.8">
      <c r="B41" s="66" t="s">
        <v>362</v>
      </c>
      <c r="C41" s="67">
        <f>+'[4]1010104 BANCO OPERACIONES'!$F$24</f>
        <v>4095218.3099999996</v>
      </c>
      <c r="D41" s="67">
        <v>12535655.428800002</v>
      </c>
      <c r="F41" s="69"/>
      <c r="G41" s="192"/>
      <c r="H41" s="70"/>
    </row>
    <row r="42" spans="2:9" ht="13.8">
      <c r="B42" s="66" t="s">
        <v>363</v>
      </c>
      <c r="C42" s="67">
        <f>+'[4]1010104 BANCO OPERACIONES'!$D$50</f>
        <v>1978342</v>
      </c>
      <c r="D42" s="67">
        <v>5696670</v>
      </c>
      <c r="F42" s="69"/>
      <c r="G42" s="192"/>
      <c r="H42" s="70"/>
    </row>
    <row r="43" spans="2:9" ht="13.8">
      <c r="B43" s="66" t="s">
        <v>364</v>
      </c>
      <c r="C43" s="67">
        <f>+'[4]1010104 BANCO OPERACIONES'!$F$21</f>
        <v>16568231.699999999</v>
      </c>
      <c r="D43" s="67">
        <v>93368673.835800007</v>
      </c>
      <c r="F43" s="69"/>
      <c r="G43" s="59"/>
      <c r="H43" s="70"/>
    </row>
    <row r="44" spans="2:9" ht="13.8">
      <c r="B44" s="610" t="s">
        <v>504</v>
      </c>
      <c r="C44" s="611">
        <f>+'[4]1010104 BANCO OPERACIONES'!$D$35</f>
        <v>-3806291404</v>
      </c>
      <c r="D44" s="67">
        <v>-793559012</v>
      </c>
      <c r="F44" s="69"/>
      <c r="G44" s="59"/>
      <c r="H44" s="70"/>
    </row>
    <row r="45" spans="2:9" ht="13.8">
      <c r="B45" s="573" t="s">
        <v>892</v>
      </c>
      <c r="C45" s="67">
        <f>+'[4]EEFF '!$B$20</f>
        <v>22211731</v>
      </c>
      <c r="D45" s="67">
        <v>38444377</v>
      </c>
      <c r="F45" s="69"/>
      <c r="G45" s="59"/>
      <c r="H45" s="70"/>
    </row>
    <row r="46" spans="2:9" ht="13.8">
      <c r="B46" s="66" t="s">
        <v>365</v>
      </c>
      <c r="C46" s="67">
        <f>+'[4]1010104 BANCO OPERACIONES'!$D$36</f>
        <v>2509451</v>
      </c>
      <c r="D46" s="67">
        <v>2048449363</v>
      </c>
      <c r="F46" s="69"/>
      <c r="G46" s="59"/>
      <c r="H46" s="70"/>
    </row>
    <row r="47" spans="2:9" ht="13.8">
      <c r="B47" s="66" t="s">
        <v>366</v>
      </c>
      <c r="C47" s="67">
        <f>+'[4]1010104 BANCO OPERACIONES'!$F$5</f>
        <v>4444.6350000000002</v>
      </c>
      <c r="D47" s="68">
        <v>720473.13660000009</v>
      </c>
      <c r="F47" s="69"/>
      <c r="G47" s="59"/>
      <c r="H47" s="70"/>
    </row>
    <row r="48" spans="2:9" ht="13.8">
      <c r="B48" s="573" t="s">
        <v>891</v>
      </c>
      <c r="C48" s="67">
        <f>+'[4]EEFF '!$B$18</f>
        <v>53883</v>
      </c>
      <c r="D48" s="68">
        <v>5370981</v>
      </c>
      <c r="F48" s="69"/>
      <c r="G48" s="59"/>
      <c r="H48" s="70"/>
    </row>
    <row r="49" spans="2:8" ht="13.8">
      <c r="B49" s="66" t="s">
        <v>367</v>
      </c>
      <c r="C49" s="67">
        <f>+'[4]1010104 BANCO OPERACIONES'!$D$34</f>
        <v>999998</v>
      </c>
      <c r="D49" s="67">
        <v>99998</v>
      </c>
      <c r="F49" s="69"/>
      <c r="G49" s="59"/>
      <c r="H49" s="70"/>
    </row>
    <row r="50" spans="2:8" ht="13.8">
      <c r="B50" s="66" t="s">
        <v>368</v>
      </c>
      <c r="C50" s="67">
        <f>+'[4]1010104 BANCO OPERACIONES'!$F$7</f>
        <v>692747.64899999998</v>
      </c>
      <c r="D50" s="67">
        <v>696081.7611</v>
      </c>
      <c r="F50" s="69"/>
      <c r="G50" s="59"/>
      <c r="H50" s="70"/>
    </row>
    <row r="51" spans="2:8" ht="13.8">
      <c r="B51" s="610" t="s">
        <v>369</v>
      </c>
      <c r="C51" s="611">
        <f>+'[4]1010104 BANCO OPERACIONES'!$F$6</f>
        <v>-889168104.35399997</v>
      </c>
      <c r="D51" s="67">
        <v>-101612065.54950002</v>
      </c>
      <c r="F51" s="69"/>
      <c r="G51" s="59"/>
      <c r="H51" s="70"/>
    </row>
    <row r="52" spans="2:8" ht="13.8">
      <c r="B52" s="66" t="s">
        <v>643</v>
      </c>
      <c r="C52" s="67">
        <f>+'[4]1010104 BANCO OPERACIONES'!$D$54</f>
        <v>1116128</v>
      </c>
      <c r="D52" s="67">
        <v>8245972</v>
      </c>
      <c r="F52" s="69"/>
      <c r="G52" s="59"/>
      <c r="H52" s="70"/>
    </row>
    <row r="53" spans="2:8" ht="13.8">
      <c r="B53" s="66" t="s">
        <v>635</v>
      </c>
      <c r="C53" s="67">
        <f>+'[4]1010104 BANCO OPERACIONES'!$F$25</f>
        <v>9582086.027999999</v>
      </c>
      <c r="D53" s="67">
        <v>107876870.1075</v>
      </c>
      <c r="F53" s="69"/>
      <c r="G53" s="59"/>
      <c r="H53" s="70"/>
    </row>
    <row r="54" spans="2:8" ht="13.8">
      <c r="B54" s="66" t="s">
        <v>370</v>
      </c>
      <c r="C54" s="67">
        <f>+'[4]1010104 BANCO OPERACIONES'!$D$42</f>
        <v>5000000</v>
      </c>
      <c r="D54" s="67">
        <v>5781808</v>
      </c>
      <c r="F54" s="69"/>
      <c r="G54" s="59"/>
      <c r="H54" s="70"/>
    </row>
    <row r="55" spans="2:8" ht="13.8">
      <c r="B55" s="66" t="s">
        <v>371</v>
      </c>
      <c r="C55" s="67">
        <f>+'[4]1010104 BANCO OPERACIONES'!$F$13</f>
        <v>67994915.15699999</v>
      </c>
      <c r="D55" s="67">
        <v>111043763.85270001</v>
      </c>
      <c r="F55" s="69"/>
      <c r="G55" s="59"/>
      <c r="H55" s="70"/>
    </row>
    <row r="56" spans="2:8" ht="13.8">
      <c r="B56" s="66" t="s">
        <v>952</v>
      </c>
      <c r="C56" s="67">
        <f>+'[4]1010104 BANCO OPERACIONES'!$D$55</f>
        <v>32730242</v>
      </c>
      <c r="D56" s="67">
        <v>34413489</v>
      </c>
      <c r="F56" s="69"/>
      <c r="G56" s="59"/>
      <c r="H56" s="70"/>
    </row>
    <row r="57" spans="2:8" ht="13.8">
      <c r="B57" s="66" t="s">
        <v>953</v>
      </c>
      <c r="C57" s="67">
        <f>+'[4]1010104 BANCO OPERACIONES'!$F$26</f>
        <v>15400865.412</v>
      </c>
      <c r="D57" s="67">
        <v>0</v>
      </c>
      <c r="F57" s="69"/>
      <c r="G57" s="59"/>
      <c r="H57" s="70"/>
    </row>
    <row r="58" spans="2:8" ht="13.8">
      <c r="B58" s="66" t="s">
        <v>631</v>
      </c>
      <c r="C58" s="67">
        <f>+'[4]1010104 BANCO OPERACIONES'!$F$12</f>
        <v>56925517.5</v>
      </c>
      <c r="D58" s="67">
        <v>1374163</v>
      </c>
      <c r="F58" s="69"/>
      <c r="G58" s="59"/>
      <c r="H58" s="70"/>
    </row>
    <row r="59" spans="2:8" ht="13.8">
      <c r="B59" s="66" t="s">
        <v>638</v>
      </c>
      <c r="C59" s="67">
        <f>+'[4]1010104 BANCO OPERACIONES'!$D$41</f>
        <v>3000000</v>
      </c>
      <c r="D59" s="67">
        <v>3000000</v>
      </c>
      <c r="F59" s="69"/>
      <c r="G59" s="59"/>
      <c r="H59" s="70"/>
    </row>
    <row r="60" spans="2:8">
      <c r="B60" s="63" t="s">
        <v>626</v>
      </c>
      <c r="C60" s="71">
        <f>SUM(C9:C59)</f>
        <v>-3805545887.3309994</v>
      </c>
      <c r="D60" s="71">
        <v>2226806832.3439002</v>
      </c>
      <c r="F60" s="59"/>
      <c r="G60" s="59"/>
      <c r="H60" s="59"/>
    </row>
    <row r="61" spans="2:8">
      <c r="F61" s="25"/>
    </row>
    <row r="62" spans="2:8">
      <c r="B62" s="739" t="s">
        <v>645</v>
      </c>
      <c r="C62" s="739"/>
      <c r="D62" s="739"/>
      <c r="F62" s="25"/>
    </row>
    <row r="63" spans="2:8">
      <c r="B63" s="60" t="s">
        <v>348</v>
      </c>
      <c r="C63" s="61">
        <f>+C8</f>
        <v>44742</v>
      </c>
      <c r="D63" s="62">
        <v>44561</v>
      </c>
      <c r="F63" s="25"/>
    </row>
    <row r="64" spans="2:8">
      <c r="B64" s="385" t="s">
        <v>40</v>
      </c>
      <c r="C64" s="64">
        <v>0</v>
      </c>
      <c r="D64" s="65">
        <v>3820258968</v>
      </c>
      <c r="F64" s="25"/>
    </row>
    <row r="65" spans="2:6">
      <c r="B65" s="66" t="s">
        <v>628</v>
      </c>
      <c r="C65" s="67">
        <f>+'[4]EEFF '!$B$7</f>
        <v>-149000</v>
      </c>
      <c r="D65" s="68">
        <v>-2168020</v>
      </c>
      <c r="F65" s="25"/>
    </row>
    <row r="66" spans="2:6">
      <c r="B66" s="66" t="s">
        <v>629</v>
      </c>
      <c r="C66" s="67">
        <v>1000000</v>
      </c>
      <c r="D66" s="67">
        <v>964400</v>
      </c>
    </row>
    <row r="67" spans="2:6">
      <c r="B67" s="63" t="s">
        <v>646</v>
      </c>
      <c r="C67" s="71">
        <f>SUM(C64:C66)</f>
        <v>851000</v>
      </c>
      <c r="D67" s="71">
        <v>3819055348</v>
      </c>
    </row>
    <row r="69" spans="2:6">
      <c r="B69" s="63" t="s">
        <v>372</v>
      </c>
      <c r="C69" s="71">
        <f>+C60+C67</f>
        <v>-3804694887.3309994</v>
      </c>
      <c r="D69" s="71">
        <f>+D60+D67</f>
        <v>6045862180.3439007</v>
      </c>
    </row>
    <row r="70" spans="2:6">
      <c r="B70" s="25" t="s">
        <v>373</v>
      </c>
    </row>
    <row r="71" spans="2:6">
      <c r="B71" s="685" t="s">
        <v>1037</v>
      </c>
      <c r="C71" s="686">
        <f>+C69-'Balance Gral. Resol. 30'!D14</f>
        <v>-4695459508.3309994</v>
      </c>
      <c r="D71" s="686">
        <f>+D69-'Balance Gral. Resol. 30'!E14</f>
        <v>0.34390068054199219</v>
      </c>
      <c r="E71" s="39"/>
    </row>
    <row r="72" spans="2:6">
      <c r="B72" s="25" t="s">
        <v>373</v>
      </c>
    </row>
    <row r="73" spans="2:6">
      <c r="B73" s="25" t="s">
        <v>373</v>
      </c>
    </row>
    <row r="74" spans="2:6">
      <c r="B74" s="25" t="s">
        <v>373</v>
      </c>
    </row>
    <row r="75" spans="2:6">
      <c r="B75" s="25" t="s">
        <v>373</v>
      </c>
    </row>
    <row r="76" spans="2:6">
      <c r="B76" s="25" t="s">
        <v>373</v>
      </c>
    </row>
    <row r="77" spans="2:6">
      <c r="B77" s="25" t="s">
        <v>373</v>
      </c>
    </row>
    <row r="78" spans="2:6">
      <c r="B78" s="25" t="s">
        <v>373</v>
      </c>
    </row>
    <row r="79" spans="2:6">
      <c r="B79" s="25" t="s">
        <v>373</v>
      </c>
    </row>
    <row r="80" spans="2:6">
      <c r="B80" s="25" t="s">
        <v>373</v>
      </c>
    </row>
    <row r="81" spans="2:2">
      <c r="B81" s="25" t="s">
        <v>373</v>
      </c>
    </row>
    <row r="82" spans="2:2">
      <c r="B82" s="25" t="s">
        <v>373</v>
      </c>
    </row>
    <row r="83" spans="2:2">
      <c r="B83" s="25" t="s">
        <v>373</v>
      </c>
    </row>
    <row r="84" spans="2:2">
      <c r="B84" s="25" t="s">
        <v>373</v>
      </c>
    </row>
    <row r="85" spans="2:2">
      <c r="B85" s="25" t="s">
        <v>373</v>
      </c>
    </row>
    <row r="86" spans="2:2">
      <c r="B86" s="25" t="s">
        <v>373</v>
      </c>
    </row>
    <row r="87" spans="2:2">
      <c r="B87" s="25" t="s">
        <v>373</v>
      </c>
    </row>
    <row r="88" spans="2:2">
      <c r="B88" s="25" t="s">
        <v>373</v>
      </c>
    </row>
    <row r="105" spans="5:5">
      <c r="E105" s="25" t="s">
        <v>373</v>
      </c>
    </row>
    <row r="106" spans="5:5">
      <c r="E106" s="25" t="s">
        <v>373</v>
      </c>
    </row>
  </sheetData>
  <autoFilter ref="B8:D67" xr:uid="{00000000-0009-0000-0000-000009000000}"/>
  <mergeCells count="3">
    <mergeCell ref="B6:D6"/>
    <mergeCell ref="B62:D62"/>
    <mergeCell ref="B5:D5"/>
  </mergeCells>
  <hyperlinks>
    <hyperlink ref="B7" location="'Balance Gral. Resol. 30'!A1" display="'Balance Gral. Resol. 30'!A1" xr:uid="{00000000-0004-0000-09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K95"/>
  <sheetViews>
    <sheetView topLeftCell="B64" workbookViewId="0">
      <selection activeCell="E92" sqref="E92"/>
    </sheetView>
  </sheetViews>
  <sheetFormatPr baseColWidth="10" defaultRowHeight="14.4"/>
  <cols>
    <col min="1" max="1" width="4.5546875" customWidth="1"/>
    <col min="2" max="2" width="50.109375" customWidth="1"/>
    <col min="3" max="3" width="15.109375" bestFit="1" customWidth="1"/>
    <col min="4" max="4" width="19.6640625" bestFit="1" customWidth="1"/>
    <col min="5" max="5" width="17.5546875" bestFit="1" customWidth="1"/>
    <col min="6" max="6" width="17.5546875" hidden="1" customWidth="1"/>
    <col min="7" max="8" width="17.44140625" hidden="1" customWidth="1"/>
    <col min="9" max="9" width="18" bestFit="1" customWidth="1"/>
    <col min="10" max="10" width="17" bestFit="1" customWidth="1"/>
    <col min="11" max="11" width="18" bestFit="1" customWidth="1"/>
  </cols>
  <sheetData>
    <row r="1" spans="1:11">
      <c r="A1" s="25"/>
      <c r="B1" s="25"/>
      <c r="C1" s="25"/>
      <c r="D1" s="72"/>
      <c r="E1" s="72"/>
      <c r="F1" s="72"/>
      <c r="G1" s="72"/>
      <c r="H1" s="72"/>
      <c r="I1" s="72"/>
      <c r="J1" s="72"/>
      <c r="K1" s="72"/>
    </row>
    <row r="2" spans="1:11">
      <c r="A2" s="25"/>
      <c r="B2" s="28"/>
      <c r="C2" s="25"/>
      <c r="D2" s="72"/>
      <c r="E2" s="72"/>
      <c r="F2" s="72"/>
      <c r="G2" s="72"/>
      <c r="H2" s="72"/>
      <c r="I2" s="72"/>
      <c r="J2" s="72"/>
      <c r="K2" s="72"/>
    </row>
    <row r="3" spans="1:11">
      <c r="A3" s="25"/>
      <c r="B3" s="733" t="s">
        <v>954</v>
      </c>
      <c r="C3" s="733"/>
      <c r="D3" s="733"/>
      <c r="E3" s="733"/>
      <c r="F3" s="733"/>
      <c r="G3" s="733"/>
      <c r="H3" s="733"/>
      <c r="I3" s="733"/>
      <c r="J3" s="733"/>
      <c r="K3" s="733"/>
    </row>
    <row r="4" spans="1:11">
      <c r="A4" s="25"/>
      <c r="B4" s="574" t="s">
        <v>666</v>
      </c>
      <c r="C4" s="589"/>
      <c r="D4" s="589"/>
      <c r="E4" s="589"/>
      <c r="F4" s="589"/>
      <c r="G4" s="589"/>
      <c r="H4" s="589"/>
      <c r="I4" s="589"/>
      <c r="J4" s="589"/>
      <c r="K4" s="589"/>
    </row>
    <row r="5" spans="1:11">
      <c r="A5" s="25"/>
      <c r="B5" s="759" t="s">
        <v>374</v>
      </c>
      <c r="C5" s="760"/>
      <c r="D5" s="760"/>
      <c r="E5" s="760"/>
      <c r="F5" s="761"/>
      <c r="G5" s="759" t="s">
        <v>1038</v>
      </c>
      <c r="H5" s="760"/>
      <c r="I5" s="760"/>
      <c r="J5" s="760"/>
      <c r="K5" s="761"/>
    </row>
    <row r="6" spans="1:11" ht="15" thickBot="1">
      <c r="A6" s="25"/>
      <c r="B6" s="762" t="s">
        <v>375</v>
      </c>
      <c r="C6" s="763"/>
      <c r="D6" s="763"/>
      <c r="E6" s="763"/>
      <c r="F6" s="763"/>
      <c r="G6" s="763"/>
      <c r="H6" s="763"/>
      <c r="I6" s="763"/>
      <c r="J6" s="763"/>
      <c r="K6" s="764"/>
    </row>
    <row r="7" spans="1:11" ht="15" thickBot="1">
      <c r="A7" s="25"/>
      <c r="B7" s="73"/>
      <c r="C7" s="351" t="s">
        <v>376</v>
      </c>
      <c r="D7" s="352" t="s">
        <v>377</v>
      </c>
      <c r="E7" s="352" t="s">
        <v>378</v>
      </c>
      <c r="F7" s="352" t="s">
        <v>378</v>
      </c>
      <c r="G7" s="397" t="s">
        <v>388</v>
      </c>
      <c r="H7" s="387" t="s">
        <v>657</v>
      </c>
      <c r="I7" s="352" t="s">
        <v>249</v>
      </c>
      <c r="J7" s="352" t="s">
        <v>379</v>
      </c>
      <c r="K7" s="352" t="s">
        <v>380</v>
      </c>
    </row>
    <row r="8" spans="1:11">
      <c r="A8" s="25"/>
      <c r="B8" s="44" t="s">
        <v>381</v>
      </c>
      <c r="C8" s="74" t="s">
        <v>382</v>
      </c>
      <c r="D8" s="75" t="s">
        <v>383</v>
      </c>
      <c r="E8" s="75" t="s">
        <v>384</v>
      </c>
      <c r="F8" s="75" t="s">
        <v>385</v>
      </c>
      <c r="G8" s="75" t="s">
        <v>656</v>
      </c>
      <c r="H8" s="75" t="s">
        <v>658</v>
      </c>
      <c r="I8" s="588"/>
      <c r="J8" s="588"/>
      <c r="K8" s="588"/>
    </row>
    <row r="9" spans="1:11">
      <c r="A9" s="25"/>
      <c r="B9" s="386" t="s">
        <v>389</v>
      </c>
      <c r="C9" s="74"/>
      <c r="D9" s="75">
        <f>SUM(D10:D33)</f>
        <v>36767</v>
      </c>
      <c r="E9" s="75">
        <f>SUM(E10:E33)</f>
        <v>55050008286</v>
      </c>
      <c r="F9" s="75">
        <f>SUM(F10:F33)</f>
        <v>57983823008</v>
      </c>
      <c r="G9" s="75"/>
      <c r="H9" s="75">
        <f>SUM(H10:H33)</f>
        <v>57983823008</v>
      </c>
      <c r="I9" s="75"/>
      <c r="J9" s="75"/>
      <c r="K9" s="75"/>
    </row>
    <row r="10" spans="1:11">
      <c r="A10" s="25"/>
      <c r="B10" s="45" t="s">
        <v>955</v>
      </c>
      <c r="C10" s="394" t="s">
        <v>893</v>
      </c>
      <c r="D10" s="595">
        <v>4100</v>
      </c>
      <c r="E10" s="596">
        <v>4100000000</v>
      </c>
      <c r="F10" s="597">
        <f>+E10</f>
        <v>4100000000</v>
      </c>
      <c r="G10" s="395">
        <v>1000000</v>
      </c>
      <c r="H10" s="395">
        <f>+F10</f>
        <v>4100000000</v>
      </c>
      <c r="I10" s="76">
        <v>360000000000</v>
      </c>
      <c r="J10" s="76">
        <v>242222214145</v>
      </c>
      <c r="K10" s="76">
        <v>887079801418</v>
      </c>
    </row>
    <row r="11" spans="1:11">
      <c r="A11" s="25"/>
      <c r="B11" s="45" t="s">
        <v>955</v>
      </c>
      <c r="C11" s="394" t="s">
        <v>893</v>
      </c>
      <c r="D11" s="595">
        <v>1150</v>
      </c>
      <c r="E11" s="596">
        <v>1150000000</v>
      </c>
      <c r="F11" s="597">
        <f t="shared" ref="F11:F32" si="0">+E11</f>
        <v>1150000000</v>
      </c>
      <c r="G11" s="395">
        <v>1000000</v>
      </c>
      <c r="H11" s="395">
        <f t="shared" ref="H11:H33" si="1">+F11</f>
        <v>1150000000</v>
      </c>
      <c r="I11" s="76">
        <v>360000000000</v>
      </c>
      <c r="J11" s="76">
        <v>242222214145</v>
      </c>
      <c r="K11" s="76">
        <v>887079801418</v>
      </c>
    </row>
    <row r="12" spans="1:11">
      <c r="A12" s="25"/>
      <c r="B12" s="45" t="s">
        <v>955</v>
      </c>
      <c r="C12" s="394" t="s">
        <v>893</v>
      </c>
      <c r="D12" s="595">
        <v>500</v>
      </c>
      <c r="E12" s="596">
        <v>500000000</v>
      </c>
      <c r="F12" s="597">
        <f t="shared" si="0"/>
        <v>500000000</v>
      </c>
      <c r="G12" s="395">
        <v>1000000</v>
      </c>
      <c r="H12" s="395">
        <f t="shared" si="1"/>
        <v>500000000</v>
      </c>
      <c r="I12" s="76">
        <v>360000000000</v>
      </c>
      <c r="J12" s="76">
        <v>242222214145</v>
      </c>
      <c r="K12" s="76">
        <v>887079801418</v>
      </c>
    </row>
    <row r="13" spans="1:11">
      <c r="A13" s="25"/>
      <c r="B13" s="45" t="s">
        <v>955</v>
      </c>
      <c r="C13" s="394" t="s">
        <v>893</v>
      </c>
      <c r="D13" s="595">
        <v>2000</v>
      </c>
      <c r="E13" s="596">
        <v>2000000000</v>
      </c>
      <c r="F13" s="597">
        <f t="shared" si="0"/>
        <v>2000000000</v>
      </c>
      <c r="G13" s="395">
        <v>1000000</v>
      </c>
      <c r="H13" s="395">
        <f t="shared" si="1"/>
        <v>2000000000</v>
      </c>
      <c r="I13" s="76">
        <v>360000000000</v>
      </c>
      <c r="J13" s="76">
        <v>242222214145</v>
      </c>
      <c r="K13" s="76">
        <v>887079801418</v>
      </c>
    </row>
    <row r="14" spans="1:11">
      <c r="A14" s="25"/>
      <c r="B14" s="45" t="s">
        <v>957</v>
      </c>
      <c r="C14" s="394" t="s">
        <v>893</v>
      </c>
      <c r="D14" s="595">
        <v>12500</v>
      </c>
      <c r="E14" s="596">
        <v>12500000000</v>
      </c>
      <c r="F14" s="597">
        <f t="shared" si="0"/>
        <v>12500000000</v>
      </c>
      <c r="G14" s="395">
        <v>1000000</v>
      </c>
      <c r="H14" s="395">
        <f t="shared" si="1"/>
        <v>12500000000</v>
      </c>
      <c r="I14" s="76">
        <v>1133000000000</v>
      </c>
      <c r="J14" s="76">
        <v>192114395436</v>
      </c>
      <c r="K14" s="76">
        <v>3843971761734</v>
      </c>
    </row>
    <row r="15" spans="1:11">
      <c r="A15" s="25"/>
      <c r="B15" s="45" t="s">
        <v>958</v>
      </c>
      <c r="C15" s="394" t="s">
        <v>894</v>
      </c>
      <c r="D15" s="595">
        <v>5000</v>
      </c>
      <c r="E15" s="596">
        <v>5000000000</v>
      </c>
      <c r="F15" s="597">
        <f t="shared" si="0"/>
        <v>5000000000</v>
      </c>
      <c r="G15" s="395">
        <v>1000000</v>
      </c>
      <c r="H15" s="395">
        <f t="shared" si="1"/>
        <v>5000000000</v>
      </c>
      <c r="I15" s="441" t="s">
        <v>704</v>
      </c>
      <c r="J15" s="441" t="s">
        <v>704</v>
      </c>
      <c r="K15" s="441" t="s">
        <v>704</v>
      </c>
    </row>
    <row r="16" spans="1:11">
      <c r="A16" s="25"/>
      <c r="B16" s="45" t="s">
        <v>956</v>
      </c>
      <c r="C16" s="394" t="s">
        <v>894</v>
      </c>
      <c r="D16" s="595">
        <v>10000</v>
      </c>
      <c r="E16" s="596">
        <v>10000000000</v>
      </c>
      <c r="F16" s="597">
        <f t="shared" si="0"/>
        <v>10000000000</v>
      </c>
      <c r="G16" s="395">
        <v>1000000</v>
      </c>
      <c r="H16" s="395">
        <f t="shared" si="1"/>
        <v>10000000000</v>
      </c>
      <c r="I16" s="76">
        <v>146400000000</v>
      </c>
      <c r="J16" s="76">
        <v>139620000000</v>
      </c>
      <c r="K16" s="76">
        <v>776978000000</v>
      </c>
    </row>
    <row r="17" spans="1:11">
      <c r="A17" s="25"/>
      <c r="B17" s="393" t="s">
        <v>956</v>
      </c>
      <c r="C17" s="394" t="s">
        <v>894</v>
      </c>
      <c r="D17" s="595">
        <v>1500</v>
      </c>
      <c r="E17" s="596">
        <v>1500000000</v>
      </c>
      <c r="F17" s="597">
        <f t="shared" si="0"/>
        <v>1500000000</v>
      </c>
      <c r="G17" s="395">
        <v>1000000</v>
      </c>
      <c r="H17" s="395">
        <f t="shared" si="1"/>
        <v>1500000000</v>
      </c>
      <c r="I17" s="76">
        <v>146400000000</v>
      </c>
      <c r="J17" s="76">
        <v>139620000000</v>
      </c>
      <c r="K17" s="76">
        <v>776978000000</v>
      </c>
    </row>
    <row r="18" spans="1:11">
      <c r="A18" s="204"/>
      <c r="B18" s="393" t="s">
        <v>963</v>
      </c>
      <c r="C18" s="598" t="s">
        <v>1017</v>
      </c>
      <c r="D18" s="599">
        <v>1</v>
      </c>
      <c r="E18" s="600">
        <f>+D18*1000*6837.9</f>
        <v>6837900</v>
      </c>
      <c r="F18" s="597">
        <f t="shared" si="0"/>
        <v>6837900</v>
      </c>
      <c r="G18" s="602">
        <v>6850000</v>
      </c>
      <c r="H18" s="395">
        <f t="shared" si="1"/>
        <v>6837900</v>
      </c>
      <c r="I18" s="603">
        <v>510074028243</v>
      </c>
      <c r="J18" s="603">
        <v>15853874621</v>
      </c>
      <c r="K18" s="603">
        <v>802663067866</v>
      </c>
    </row>
    <row r="19" spans="1:11">
      <c r="A19" s="25"/>
      <c r="B19" s="393" t="s">
        <v>963</v>
      </c>
      <c r="C19" s="394" t="s">
        <v>1017</v>
      </c>
      <c r="D19" s="595">
        <v>3</v>
      </c>
      <c r="E19" s="600">
        <f>+D19*1000*6837.9</f>
        <v>20513700</v>
      </c>
      <c r="F19" s="597">
        <f t="shared" si="0"/>
        <v>20513700</v>
      </c>
      <c r="G19" s="395">
        <v>6850000</v>
      </c>
      <c r="H19" s="395">
        <f t="shared" si="1"/>
        <v>20513700</v>
      </c>
      <c r="I19" s="603">
        <v>510074028243</v>
      </c>
      <c r="J19" s="603">
        <v>15853874621</v>
      </c>
      <c r="K19" s="603">
        <v>802663067866</v>
      </c>
    </row>
    <row r="20" spans="1:11" s="674" customFormat="1">
      <c r="A20" s="25"/>
      <c r="B20" s="393" t="s">
        <v>959</v>
      </c>
      <c r="C20" s="394" t="s">
        <v>386</v>
      </c>
      <c r="D20" s="595">
        <v>1</v>
      </c>
      <c r="E20" s="596">
        <v>500000000</v>
      </c>
      <c r="F20" s="597">
        <f t="shared" si="0"/>
        <v>500000000</v>
      </c>
      <c r="G20" s="395">
        <v>500000000</v>
      </c>
      <c r="H20" s="395">
        <f t="shared" si="1"/>
        <v>500000000</v>
      </c>
      <c r="I20" s="76">
        <v>335000000000</v>
      </c>
      <c r="J20" s="76">
        <v>229764492177</v>
      </c>
      <c r="K20" s="76">
        <v>914330861665</v>
      </c>
    </row>
    <row r="21" spans="1:11">
      <c r="A21" s="25"/>
      <c r="B21" s="393" t="s">
        <v>959</v>
      </c>
      <c r="C21" s="394" t="s">
        <v>386</v>
      </c>
      <c r="D21" s="595">
        <v>1</v>
      </c>
      <c r="E21" s="596">
        <v>500000000</v>
      </c>
      <c r="F21" s="597">
        <f t="shared" si="0"/>
        <v>500000000</v>
      </c>
      <c r="G21" s="395">
        <v>500000000</v>
      </c>
      <c r="H21" s="395">
        <f t="shared" si="1"/>
        <v>500000000</v>
      </c>
      <c r="I21" s="76">
        <v>335000000000</v>
      </c>
      <c r="J21" s="76">
        <v>229764492177</v>
      </c>
      <c r="K21" s="76">
        <v>914330861665</v>
      </c>
    </row>
    <row r="22" spans="1:11">
      <c r="A22" s="25"/>
      <c r="B22" s="393" t="s">
        <v>959</v>
      </c>
      <c r="C22" s="394" t="s">
        <v>386</v>
      </c>
      <c r="D22" s="595">
        <v>1</v>
      </c>
      <c r="E22" s="596">
        <v>500000000</v>
      </c>
      <c r="F22" s="597">
        <f t="shared" si="0"/>
        <v>500000000</v>
      </c>
      <c r="G22" s="395">
        <v>500000000</v>
      </c>
      <c r="H22" s="395">
        <f t="shared" si="1"/>
        <v>500000000</v>
      </c>
      <c r="I22" s="76">
        <v>335000000000</v>
      </c>
      <c r="J22" s="76">
        <v>229764492177</v>
      </c>
      <c r="K22" s="76">
        <v>914330861665</v>
      </c>
    </row>
    <row r="23" spans="1:11">
      <c r="A23" s="25"/>
      <c r="B23" s="393" t="s">
        <v>959</v>
      </c>
      <c r="C23" s="394" t="s">
        <v>386</v>
      </c>
      <c r="D23" s="595">
        <v>1</v>
      </c>
      <c r="E23" s="596">
        <v>500000000</v>
      </c>
      <c r="F23" s="597">
        <f t="shared" si="0"/>
        <v>500000000</v>
      </c>
      <c r="G23" s="395">
        <v>500000000</v>
      </c>
      <c r="H23" s="395">
        <f t="shared" si="1"/>
        <v>500000000</v>
      </c>
      <c r="I23" s="76">
        <v>335000000000</v>
      </c>
      <c r="J23" s="76">
        <v>229764492177</v>
      </c>
      <c r="K23" s="76">
        <v>914330861665</v>
      </c>
    </row>
    <row r="24" spans="1:11">
      <c r="A24" s="25"/>
      <c r="B24" s="393" t="s">
        <v>959</v>
      </c>
      <c r="C24" s="394" t="s">
        <v>386</v>
      </c>
      <c r="D24" s="595">
        <v>1</v>
      </c>
      <c r="E24" s="596">
        <v>500000000</v>
      </c>
      <c r="F24" s="597">
        <f t="shared" si="0"/>
        <v>500000000</v>
      </c>
      <c r="G24" s="395">
        <v>500000000</v>
      </c>
      <c r="H24" s="395">
        <f t="shared" si="1"/>
        <v>500000000</v>
      </c>
      <c r="I24" s="76">
        <v>335000000000</v>
      </c>
      <c r="J24" s="76">
        <v>229764492177</v>
      </c>
      <c r="K24" s="76">
        <v>914330861665</v>
      </c>
    </row>
    <row r="25" spans="1:11">
      <c r="A25" s="25"/>
      <c r="B25" s="393" t="s">
        <v>959</v>
      </c>
      <c r="C25" s="394" t="s">
        <v>386</v>
      </c>
      <c r="D25" s="595">
        <v>1</v>
      </c>
      <c r="E25" s="596">
        <v>500000000</v>
      </c>
      <c r="F25" s="597">
        <f t="shared" si="0"/>
        <v>500000000</v>
      </c>
      <c r="G25" s="395">
        <v>500000000</v>
      </c>
      <c r="H25" s="395">
        <f t="shared" si="1"/>
        <v>500000000</v>
      </c>
      <c r="I25" s="76">
        <v>335000000000</v>
      </c>
      <c r="J25" s="76">
        <v>229764492177</v>
      </c>
      <c r="K25" s="76">
        <v>914330861665</v>
      </c>
    </row>
    <row r="26" spans="1:11">
      <c r="A26" s="25"/>
      <c r="B26" s="393" t="s">
        <v>959</v>
      </c>
      <c r="C26" s="394" t="s">
        <v>386</v>
      </c>
      <c r="D26" s="595">
        <v>1</v>
      </c>
      <c r="E26" s="596">
        <v>500000000</v>
      </c>
      <c r="F26" s="597">
        <f t="shared" si="0"/>
        <v>500000000</v>
      </c>
      <c r="G26" s="395">
        <v>500000000</v>
      </c>
      <c r="H26" s="395">
        <f t="shared" si="1"/>
        <v>500000000</v>
      </c>
      <c r="I26" s="76">
        <v>335000000000</v>
      </c>
      <c r="J26" s="76">
        <v>229764492177</v>
      </c>
      <c r="K26" s="76">
        <v>914330861665</v>
      </c>
    </row>
    <row r="27" spans="1:11">
      <c r="A27" s="25"/>
      <c r="B27" s="393" t="s">
        <v>959</v>
      </c>
      <c r="C27" s="394" t="s">
        <v>386</v>
      </c>
      <c r="D27" s="595">
        <v>1</v>
      </c>
      <c r="E27" s="596">
        <v>500000000</v>
      </c>
      <c r="F27" s="597">
        <f t="shared" si="0"/>
        <v>500000000</v>
      </c>
      <c r="G27" s="395">
        <v>500000000</v>
      </c>
      <c r="H27" s="395">
        <f t="shared" si="1"/>
        <v>500000000</v>
      </c>
      <c r="I27" s="76">
        <v>335000000000</v>
      </c>
      <c r="J27" s="76">
        <v>229764492177</v>
      </c>
      <c r="K27" s="76">
        <v>914330861665</v>
      </c>
    </row>
    <row r="28" spans="1:11">
      <c r="A28" s="25"/>
      <c r="B28" s="393" t="s">
        <v>959</v>
      </c>
      <c r="C28" s="394" t="s">
        <v>386</v>
      </c>
      <c r="D28" s="595">
        <v>1</v>
      </c>
      <c r="E28" s="596">
        <v>500000000</v>
      </c>
      <c r="F28" s="597">
        <f t="shared" si="0"/>
        <v>500000000</v>
      </c>
      <c r="G28" s="395">
        <v>500000000</v>
      </c>
      <c r="H28" s="395">
        <f t="shared" si="1"/>
        <v>500000000</v>
      </c>
      <c r="I28" s="76">
        <v>335000000000</v>
      </c>
      <c r="J28" s="76">
        <v>229764492177</v>
      </c>
      <c r="K28" s="76">
        <v>914330861665</v>
      </c>
    </row>
    <row r="29" spans="1:11">
      <c r="A29" s="25"/>
      <c r="B29" s="393" t="s">
        <v>959</v>
      </c>
      <c r="C29" s="394" t="s">
        <v>386</v>
      </c>
      <c r="D29" s="595">
        <v>1</v>
      </c>
      <c r="E29" s="596">
        <v>500000000</v>
      </c>
      <c r="F29" s="597">
        <f t="shared" si="0"/>
        <v>500000000</v>
      </c>
      <c r="G29" s="395">
        <v>500000000</v>
      </c>
      <c r="H29" s="395">
        <f t="shared" si="1"/>
        <v>500000000</v>
      </c>
      <c r="I29" s="76">
        <v>335000000000</v>
      </c>
      <c r="J29" s="76">
        <v>229764492177</v>
      </c>
      <c r="K29" s="76">
        <v>914330861665</v>
      </c>
    </row>
    <row r="30" spans="1:11">
      <c r="A30" s="25"/>
      <c r="B30" s="393" t="s">
        <v>1018</v>
      </c>
      <c r="C30" s="394" t="s">
        <v>386</v>
      </c>
      <c r="D30" s="595">
        <v>1</v>
      </c>
      <c r="E30" s="596">
        <v>12588866686</v>
      </c>
      <c r="F30" s="597">
        <f t="shared" si="0"/>
        <v>12588866686</v>
      </c>
      <c r="G30" s="395">
        <v>12588866686</v>
      </c>
      <c r="H30" s="395">
        <f t="shared" si="1"/>
        <v>12588866686</v>
      </c>
      <c r="I30" s="76">
        <v>1133000000000</v>
      </c>
      <c r="J30" s="76">
        <v>192114395436</v>
      </c>
      <c r="K30" s="76">
        <v>3843971761734</v>
      </c>
    </row>
    <row r="31" spans="1:11">
      <c r="A31" s="25"/>
      <c r="B31" s="393" t="s">
        <v>1019</v>
      </c>
      <c r="C31" s="394" t="s">
        <v>386</v>
      </c>
      <c r="D31" s="595">
        <v>1</v>
      </c>
      <c r="E31" s="596">
        <f>+D31*50000*6837.9</f>
        <v>341895000</v>
      </c>
      <c r="F31" s="597">
        <f t="shared" si="0"/>
        <v>341895000</v>
      </c>
      <c r="G31" s="395">
        <v>341650000</v>
      </c>
      <c r="H31" s="395">
        <f t="shared" si="1"/>
        <v>341895000</v>
      </c>
      <c r="I31" s="441">
        <v>375294800000</v>
      </c>
      <c r="J31" s="441">
        <v>31590976958</v>
      </c>
      <c r="K31" s="441">
        <v>450581447167</v>
      </c>
    </row>
    <row r="32" spans="1:11">
      <c r="A32" s="25"/>
      <c r="B32" s="393" t="s">
        <v>1019</v>
      </c>
      <c r="C32" s="394" t="s">
        <v>386</v>
      </c>
      <c r="D32" s="595">
        <v>1</v>
      </c>
      <c r="E32" s="596">
        <f>+D32*50000*6837.9</f>
        <v>341895000</v>
      </c>
      <c r="F32" s="597">
        <f t="shared" si="0"/>
        <v>341895000</v>
      </c>
      <c r="G32" s="395">
        <v>341650000</v>
      </c>
      <c r="H32" s="395">
        <f t="shared" si="1"/>
        <v>341895000</v>
      </c>
      <c r="I32" s="441">
        <v>375294800000</v>
      </c>
      <c r="J32" s="441">
        <v>31590976958</v>
      </c>
      <c r="K32" s="441">
        <v>450581447167</v>
      </c>
    </row>
    <row r="33" spans="1:11">
      <c r="A33" s="204"/>
      <c r="B33" s="393" t="s">
        <v>960</v>
      </c>
      <c r="C33" s="598"/>
      <c r="D33" s="599"/>
      <c r="E33" s="600"/>
      <c r="F33" s="601">
        <f>+'[4]EEFF '!$B$36+'[4]EEFF '!$B$35</f>
        <v>2933814722</v>
      </c>
      <c r="G33" s="601">
        <v>0</v>
      </c>
      <c r="H33" s="395">
        <f t="shared" si="1"/>
        <v>2933814722</v>
      </c>
      <c r="I33" s="603"/>
      <c r="J33" s="603"/>
      <c r="K33" s="603"/>
    </row>
    <row r="34" spans="1:11" ht="15" thickBot="1">
      <c r="A34" s="25"/>
      <c r="B34" s="765" t="s">
        <v>650</v>
      </c>
      <c r="C34" s="766"/>
      <c r="D34" s="766"/>
      <c r="E34" s="766"/>
      <c r="F34" s="766"/>
      <c r="G34" s="766"/>
      <c r="H34" s="766"/>
      <c r="I34" s="766"/>
      <c r="J34" s="766"/>
      <c r="K34" s="767"/>
    </row>
    <row r="35" spans="1:11" ht="15" thickBot="1">
      <c r="A35" s="25"/>
      <c r="B35" s="73"/>
      <c r="C35" s="351" t="s">
        <v>376</v>
      </c>
      <c r="D35" s="352" t="s">
        <v>377</v>
      </c>
      <c r="E35" s="352" t="s">
        <v>378</v>
      </c>
      <c r="F35" s="352" t="s">
        <v>378</v>
      </c>
      <c r="G35" s="387" t="s">
        <v>659</v>
      </c>
      <c r="H35" s="387" t="s">
        <v>660</v>
      </c>
      <c r="I35" s="352" t="s">
        <v>249</v>
      </c>
      <c r="J35" s="352" t="s">
        <v>379</v>
      </c>
      <c r="K35" s="352" t="s">
        <v>380</v>
      </c>
    </row>
    <row r="36" spans="1:11">
      <c r="A36" s="25"/>
      <c r="B36" s="44" t="s">
        <v>381</v>
      </c>
      <c r="C36" s="74" t="s">
        <v>382</v>
      </c>
      <c r="D36" s="75" t="s">
        <v>383</v>
      </c>
      <c r="E36" s="75" t="s">
        <v>384</v>
      </c>
      <c r="F36" s="75" t="s">
        <v>385</v>
      </c>
      <c r="G36" s="75" t="s">
        <v>403</v>
      </c>
      <c r="H36" s="75" t="s">
        <v>661</v>
      </c>
      <c r="I36" s="76"/>
      <c r="J36" s="76"/>
      <c r="K36" s="76"/>
    </row>
    <row r="37" spans="1:11">
      <c r="A37" s="25"/>
      <c r="B37" s="386" t="s">
        <v>389</v>
      </c>
      <c r="C37" s="74"/>
      <c r="D37" s="75">
        <f>SUM(D38:D74)</f>
        <v>32302</v>
      </c>
      <c r="E37" s="75">
        <f>SUM(E38:E74)</f>
        <v>2330200000</v>
      </c>
      <c r="F37" s="75">
        <f>SUM(F38:F74)</f>
        <v>5067712000</v>
      </c>
      <c r="G37" s="352"/>
      <c r="H37" s="75">
        <f>SUM(H38:H74)</f>
        <v>5067712000</v>
      </c>
      <c r="I37" s="352"/>
      <c r="J37" s="352"/>
      <c r="K37" s="352"/>
    </row>
    <row r="38" spans="1:11">
      <c r="A38" s="25"/>
      <c r="B38" s="393" t="s">
        <v>961</v>
      </c>
      <c r="C38" s="394" t="s">
        <v>527</v>
      </c>
      <c r="D38" s="595">
        <v>897</v>
      </c>
      <c r="E38" s="604">
        <v>89700000</v>
      </c>
      <c r="F38" s="604">
        <f>+H38</f>
        <v>89700000</v>
      </c>
      <c r="G38" s="441">
        <v>100000</v>
      </c>
      <c r="H38" s="441">
        <v>89700000</v>
      </c>
      <c r="I38" s="441">
        <v>75860000</v>
      </c>
      <c r="J38" s="441">
        <v>-6334355.0779999923</v>
      </c>
      <c r="K38" s="441">
        <v>82889214.845000014</v>
      </c>
    </row>
    <row r="39" spans="1:11">
      <c r="A39" s="25"/>
      <c r="B39" s="393" t="s">
        <v>961</v>
      </c>
      <c r="C39" s="394" t="s">
        <v>527</v>
      </c>
      <c r="D39" s="595">
        <v>853</v>
      </c>
      <c r="E39" s="604">
        <v>85300000</v>
      </c>
      <c r="F39" s="604">
        <f t="shared" ref="F39:F74" si="2">+H39</f>
        <v>85300000</v>
      </c>
      <c r="G39" s="441">
        <v>100000</v>
      </c>
      <c r="H39" s="441">
        <v>85300000</v>
      </c>
      <c r="I39" s="441">
        <v>75860000</v>
      </c>
      <c r="J39" s="441">
        <v>-6334355.0779999923</v>
      </c>
      <c r="K39" s="441">
        <v>82889214.845000014</v>
      </c>
    </row>
    <row r="40" spans="1:11">
      <c r="A40" s="25"/>
      <c r="B40" s="393" t="s">
        <v>962</v>
      </c>
      <c r="C40" s="394" t="s">
        <v>527</v>
      </c>
      <c r="D40" s="595">
        <v>10000</v>
      </c>
      <c r="E40" s="604">
        <v>10000000</v>
      </c>
      <c r="F40" s="604">
        <f t="shared" si="2"/>
        <v>10000000</v>
      </c>
      <c r="G40" s="441">
        <v>1000</v>
      </c>
      <c r="H40" s="441">
        <v>10000000</v>
      </c>
      <c r="I40" s="682">
        <v>40000000</v>
      </c>
      <c r="J40" s="681">
        <v>6889838.727</v>
      </c>
      <c r="K40" s="682">
        <v>48989660.332999997</v>
      </c>
    </row>
    <row r="41" spans="1:11">
      <c r="A41" s="25"/>
      <c r="B41" s="393" t="s">
        <v>895</v>
      </c>
      <c r="C41" s="394" t="s">
        <v>527</v>
      </c>
      <c r="D41" s="595">
        <v>113</v>
      </c>
      <c r="E41" s="604">
        <v>11300000</v>
      </c>
      <c r="F41" s="604">
        <f t="shared" si="2"/>
        <v>16950000</v>
      </c>
      <c r="G41" s="441">
        <v>100000</v>
      </c>
      <c r="H41" s="441">
        <v>16950000</v>
      </c>
      <c r="I41" s="441">
        <v>375294800000</v>
      </c>
      <c r="J41" s="441">
        <v>31590976958</v>
      </c>
      <c r="K41" s="441">
        <v>450581447167</v>
      </c>
    </row>
    <row r="42" spans="1:11">
      <c r="A42" s="25"/>
      <c r="B42" s="393" t="s">
        <v>895</v>
      </c>
      <c r="C42" s="394" t="s">
        <v>527</v>
      </c>
      <c r="D42" s="595">
        <v>60</v>
      </c>
      <c r="E42" s="604">
        <v>6000000</v>
      </c>
      <c r="F42" s="604">
        <f t="shared" si="2"/>
        <v>9000000</v>
      </c>
      <c r="G42" s="441">
        <v>100000</v>
      </c>
      <c r="H42" s="441">
        <v>9000000</v>
      </c>
      <c r="I42" s="441">
        <v>375294800000</v>
      </c>
      <c r="J42" s="441">
        <v>31590976958</v>
      </c>
      <c r="K42" s="441">
        <v>450581447167</v>
      </c>
    </row>
    <row r="43" spans="1:11">
      <c r="A43" s="25"/>
      <c r="B43" s="393" t="s">
        <v>895</v>
      </c>
      <c r="C43" s="394" t="s">
        <v>527</v>
      </c>
      <c r="D43" s="595">
        <v>190</v>
      </c>
      <c r="E43" s="604">
        <v>19000000</v>
      </c>
      <c r="F43" s="604">
        <f t="shared" si="2"/>
        <v>28500000</v>
      </c>
      <c r="G43" s="441">
        <v>100000</v>
      </c>
      <c r="H43" s="441">
        <v>28500000</v>
      </c>
      <c r="I43" s="441">
        <v>375294800000</v>
      </c>
      <c r="J43" s="441">
        <v>31590976958</v>
      </c>
      <c r="K43" s="441">
        <v>450581447167</v>
      </c>
    </row>
    <row r="44" spans="1:11">
      <c r="A44" s="25"/>
      <c r="B44" s="393" t="s">
        <v>895</v>
      </c>
      <c r="C44" s="394" t="s">
        <v>527</v>
      </c>
      <c r="D44" s="595">
        <v>1000</v>
      </c>
      <c r="E44" s="604">
        <v>100000000</v>
      </c>
      <c r="F44" s="604">
        <f t="shared" si="2"/>
        <v>140000000</v>
      </c>
      <c r="G44" s="441">
        <v>100000</v>
      </c>
      <c r="H44" s="441">
        <v>140000000</v>
      </c>
      <c r="I44" s="441">
        <v>375294800000</v>
      </c>
      <c r="J44" s="441">
        <v>31590976958</v>
      </c>
      <c r="K44" s="441">
        <v>450581447167</v>
      </c>
    </row>
    <row r="45" spans="1:11">
      <c r="A45" s="25"/>
      <c r="B45" s="393" t="s">
        <v>895</v>
      </c>
      <c r="C45" s="394" t="s">
        <v>527</v>
      </c>
      <c r="D45" s="595">
        <v>29</v>
      </c>
      <c r="E45" s="604">
        <v>2900000</v>
      </c>
      <c r="F45" s="604">
        <f t="shared" si="2"/>
        <v>2900000</v>
      </c>
      <c r="G45" s="441">
        <v>100000</v>
      </c>
      <c r="H45" s="441">
        <v>2900000</v>
      </c>
      <c r="I45" s="441">
        <v>375294800000</v>
      </c>
      <c r="J45" s="441">
        <v>31590976958</v>
      </c>
      <c r="K45" s="441">
        <v>450581447167</v>
      </c>
    </row>
    <row r="46" spans="1:11">
      <c r="A46" s="25"/>
      <c r="B46" s="393" t="s">
        <v>895</v>
      </c>
      <c r="C46" s="394" t="s">
        <v>527</v>
      </c>
      <c r="D46" s="595">
        <v>770</v>
      </c>
      <c r="E46" s="604">
        <v>77000000</v>
      </c>
      <c r="F46" s="604">
        <f t="shared" si="2"/>
        <v>150150000</v>
      </c>
      <c r="G46" s="441">
        <v>100000</v>
      </c>
      <c r="H46" s="441">
        <v>150150000</v>
      </c>
      <c r="I46" s="441">
        <v>375294800000</v>
      </c>
      <c r="J46" s="441">
        <v>31590976958</v>
      </c>
      <c r="K46" s="441">
        <v>450581447167</v>
      </c>
    </row>
    <row r="47" spans="1:11">
      <c r="A47" s="25"/>
      <c r="B47" s="393" t="s">
        <v>895</v>
      </c>
      <c r="C47" s="394" t="s">
        <v>527</v>
      </c>
      <c r="D47" s="595">
        <v>397</v>
      </c>
      <c r="E47" s="604">
        <v>39700000</v>
      </c>
      <c r="F47" s="604">
        <f t="shared" si="2"/>
        <v>77415000</v>
      </c>
      <c r="G47" s="441">
        <v>100000</v>
      </c>
      <c r="H47" s="441">
        <v>77415000</v>
      </c>
      <c r="I47" s="441">
        <v>375294800000</v>
      </c>
      <c r="J47" s="441">
        <v>31590976958</v>
      </c>
      <c r="K47" s="441">
        <v>450581447167</v>
      </c>
    </row>
    <row r="48" spans="1:11">
      <c r="A48" s="25"/>
      <c r="B48" s="393" t="s">
        <v>895</v>
      </c>
      <c r="C48" s="394" t="s">
        <v>527</v>
      </c>
      <c r="D48" s="595">
        <v>945</v>
      </c>
      <c r="E48" s="604">
        <v>94500000</v>
      </c>
      <c r="F48" s="604">
        <f t="shared" si="2"/>
        <v>146475000</v>
      </c>
      <c r="G48" s="441">
        <v>100000</v>
      </c>
      <c r="H48" s="441">
        <v>146475000</v>
      </c>
      <c r="I48" s="441">
        <v>375294800000</v>
      </c>
      <c r="J48" s="441">
        <v>31590976958</v>
      </c>
      <c r="K48" s="441">
        <v>450581447167</v>
      </c>
    </row>
    <row r="49" spans="1:11">
      <c r="A49" s="25"/>
      <c r="B49" s="393" t="s">
        <v>895</v>
      </c>
      <c r="C49" s="394" t="s">
        <v>527</v>
      </c>
      <c r="D49" s="595">
        <v>547</v>
      </c>
      <c r="E49" s="604">
        <v>54700000</v>
      </c>
      <c r="F49" s="604">
        <f t="shared" si="2"/>
        <v>73845000</v>
      </c>
      <c r="G49" s="441">
        <v>100000</v>
      </c>
      <c r="H49" s="441">
        <v>73845000</v>
      </c>
      <c r="I49" s="441">
        <v>375294800000</v>
      </c>
      <c r="J49" s="441">
        <v>31590976958</v>
      </c>
      <c r="K49" s="441">
        <v>450581447167</v>
      </c>
    </row>
    <row r="50" spans="1:11">
      <c r="A50" s="25"/>
      <c r="B50" s="393" t="s">
        <v>895</v>
      </c>
      <c r="C50" s="394" t="s">
        <v>527</v>
      </c>
      <c r="D50" s="595">
        <v>1943</v>
      </c>
      <c r="E50" s="604">
        <v>194300000</v>
      </c>
      <c r="F50" s="604">
        <f t="shared" si="2"/>
        <v>272020000</v>
      </c>
      <c r="G50" s="441">
        <v>100000</v>
      </c>
      <c r="H50" s="441">
        <v>272020000</v>
      </c>
      <c r="I50" s="441">
        <v>375294800000</v>
      </c>
      <c r="J50" s="441">
        <v>31590976958</v>
      </c>
      <c r="K50" s="441">
        <v>450581447167</v>
      </c>
    </row>
    <row r="51" spans="1:11">
      <c r="A51" s="25"/>
      <c r="B51" s="393" t="s">
        <v>895</v>
      </c>
      <c r="C51" s="394" t="s">
        <v>527</v>
      </c>
      <c r="D51" s="595">
        <v>667</v>
      </c>
      <c r="E51" s="604">
        <v>66700000</v>
      </c>
      <c r="F51" s="604">
        <f t="shared" si="2"/>
        <v>93380000</v>
      </c>
      <c r="G51" s="441">
        <v>100000</v>
      </c>
      <c r="H51" s="441">
        <v>93380000</v>
      </c>
      <c r="I51" s="441">
        <v>375294800000</v>
      </c>
      <c r="J51" s="441">
        <v>31590976958</v>
      </c>
      <c r="K51" s="441">
        <v>450581447167</v>
      </c>
    </row>
    <row r="52" spans="1:11">
      <c r="A52" s="25"/>
      <c r="B52" s="393" t="s">
        <v>895</v>
      </c>
      <c r="C52" s="394" t="s">
        <v>527</v>
      </c>
      <c r="D52" s="595">
        <v>47</v>
      </c>
      <c r="E52" s="604">
        <v>4700000</v>
      </c>
      <c r="F52" s="604">
        <f t="shared" si="2"/>
        <v>7285000</v>
      </c>
      <c r="G52" s="441">
        <v>100000</v>
      </c>
      <c r="H52" s="441">
        <v>7285000</v>
      </c>
      <c r="I52" s="441">
        <v>375294800000</v>
      </c>
      <c r="J52" s="441">
        <v>31590976958</v>
      </c>
      <c r="K52" s="441">
        <v>450581447167</v>
      </c>
    </row>
    <row r="53" spans="1:11">
      <c r="A53" s="204"/>
      <c r="B53" s="393" t="s">
        <v>895</v>
      </c>
      <c r="C53" s="598" t="s">
        <v>527</v>
      </c>
      <c r="D53" s="599">
        <v>27</v>
      </c>
      <c r="E53" s="600">
        <v>2700000</v>
      </c>
      <c r="F53" s="604">
        <f t="shared" si="2"/>
        <v>2700000</v>
      </c>
      <c r="G53" s="602">
        <v>100000</v>
      </c>
      <c r="H53" s="602">
        <v>2700000</v>
      </c>
      <c r="I53" s="441">
        <v>375294800000</v>
      </c>
      <c r="J53" s="441">
        <v>31590976958</v>
      </c>
      <c r="K53" s="441">
        <v>450581447167</v>
      </c>
    </row>
    <row r="54" spans="1:11">
      <c r="A54" s="204"/>
      <c r="B54" s="393" t="s">
        <v>895</v>
      </c>
      <c r="C54" s="598" t="s">
        <v>527</v>
      </c>
      <c r="D54" s="599">
        <v>73</v>
      </c>
      <c r="E54" s="600">
        <v>7300000</v>
      </c>
      <c r="F54" s="604">
        <f t="shared" si="2"/>
        <v>7300000</v>
      </c>
      <c r="G54" s="602">
        <v>100000</v>
      </c>
      <c r="H54" s="602">
        <v>7300000</v>
      </c>
      <c r="I54" s="441">
        <v>375294800000</v>
      </c>
      <c r="J54" s="441">
        <v>31590976958</v>
      </c>
      <c r="K54" s="441">
        <v>450581447167</v>
      </c>
    </row>
    <row r="55" spans="1:11">
      <c r="A55" s="204"/>
      <c r="B55" s="393" t="s">
        <v>895</v>
      </c>
      <c r="C55" s="598" t="s">
        <v>527</v>
      </c>
      <c r="D55" s="599">
        <v>91</v>
      </c>
      <c r="E55" s="600">
        <v>9100000</v>
      </c>
      <c r="F55" s="604">
        <f t="shared" si="2"/>
        <v>9100000</v>
      </c>
      <c r="G55" s="602">
        <v>100000</v>
      </c>
      <c r="H55" s="602">
        <v>9100000</v>
      </c>
      <c r="I55" s="441">
        <v>375294800000</v>
      </c>
      <c r="J55" s="441">
        <v>31590976958</v>
      </c>
      <c r="K55" s="441">
        <v>450581447167</v>
      </c>
    </row>
    <row r="56" spans="1:11">
      <c r="A56" s="204"/>
      <c r="B56" s="393" t="s">
        <v>895</v>
      </c>
      <c r="C56" s="598" t="s">
        <v>527</v>
      </c>
      <c r="D56" s="599">
        <v>179</v>
      </c>
      <c r="E56" s="600">
        <v>17900000</v>
      </c>
      <c r="F56" s="604">
        <f t="shared" si="2"/>
        <v>20048000</v>
      </c>
      <c r="G56" s="602">
        <v>100000</v>
      </c>
      <c r="H56" s="602">
        <v>20048000</v>
      </c>
      <c r="I56" s="441">
        <v>375294800000</v>
      </c>
      <c r="J56" s="441">
        <v>31590976958</v>
      </c>
      <c r="K56" s="441">
        <v>450581447167</v>
      </c>
    </row>
    <row r="57" spans="1:11">
      <c r="A57" s="204"/>
      <c r="B57" s="393" t="s">
        <v>895</v>
      </c>
      <c r="C57" s="598" t="s">
        <v>527</v>
      </c>
      <c r="D57" s="599">
        <v>145</v>
      </c>
      <c r="E57" s="600">
        <v>14500000</v>
      </c>
      <c r="F57" s="604">
        <f t="shared" si="2"/>
        <v>16240000</v>
      </c>
      <c r="G57" s="602">
        <v>100000</v>
      </c>
      <c r="H57" s="602">
        <v>16240000</v>
      </c>
      <c r="I57" s="441">
        <v>375294800000</v>
      </c>
      <c r="J57" s="441">
        <v>31590976958</v>
      </c>
      <c r="K57" s="441">
        <v>450581447167</v>
      </c>
    </row>
    <row r="58" spans="1:11">
      <c r="A58" s="204"/>
      <c r="B58" s="393" t="s">
        <v>895</v>
      </c>
      <c r="C58" s="598" t="s">
        <v>527</v>
      </c>
      <c r="D58" s="599">
        <v>54</v>
      </c>
      <c r="E58" s="600">
        <v>5400000</v>
      </c>
      <c r="F58" s="604">
        <f t="shared" si="2"/>
        <v>6048000</v>
      </c>
      <c r="G58" s="602">
        <v>100000</v>
      </c>
      <c r="H58" s="602">
        <v>6048000</v>
      </c>
      <c r="I58" s="441">
        <v>375294800000</v>
      </c>
      <c r="J58" s="441">
        <v>31590976958</v>
      </c>
      <c r="K58" s="441">
        <v>450581447167</v>
      </c>
    </row>
    <row r="59" spans="1:11">
      <c r="A59" s="204"/>
      <c r="B59" s="393" t="s">
        <v>1020</v>
      </c>
      <c r="C59" s="598" t="s">
        <v>527</v>
      </c>
      <c r="D59" s="599">
        <v>3282</v>
      </c>
      <c r="E59" s="600">
        <v>328200000</v>
      </c>
      <c r="F59" s="604">
        <f t="shared" si="2"/>
        <v>1007574000</v>
      </c>
      <c r="G59" s="602">
        <v>100000</v>
      </c>
      <c r="H59" s="602">
        <v>1007574000</v>
      </c>
      <c r="I59" s="603">
        <v>2277496.8777649999</v>
      </c>
      <c r="J59" s="603">
        <v>284114.41404300003</v>
      </c>
      <c r="K59" s="603">
        <v>7405988.445506</v>
      </c>
    </row>
    <row r="60" spans="1:11">
      <c r="A60" s="204"/>
      <c r="B60" s="393" t="s">
        <v>1020</v>
      </c>
      <c r="C60" s="598" t="s">
        <v>527</v>
      </c>
      <c r="D60" s="599">
        <v>2949</v>
      </c>
      <c r="E60" s="600">
        <v>294900000</v>
      </c>
      <c r="F60" s="604">
        <f t="shared" si="2"/>
        <v>810975000</v>
      </c>
      <c r="G60" s="602">
        <v>100000</v>
      </c>
      <c r="H60" s="602">
        <v>810975000</v>
      </c>
      <c r="I60" s="603">
        <v>2277496.8777649999</v>
      </c>
      <c r="J60" s="603">
        <v>284114.41404300003</v>
      </c>
      <c r="K60" s="603">
        <v>7405988.445506</v>
      </c>
    </row>
    <row r="61" spans="1:11">
      <c r="A61" s="204"/>
      <c r="B61" s="393" t="s">
        <v>1020</v>
      </c>
      <c r="C61" s="598" t="s">
        <v>527</v>
      </c>
      <c r="D61" s="599">
        <v>3000</v>
      </c>
      <c r="E61" s="600">
        <v>300000000</v>
      </c>
      <c r="F61" s="604">
        <f t="shared" si="2"/>
        <v>825000000</v>
      </c>
      <c r="G61" s="602">
        <v>100000</v>
      </c>
      <c r="H61" s="602">
        <v>825000000</v>
      </c>
      <c r="I61" s="603">
        <v>2277496.8777649999</v>
      </c>
      <c r="J61" s="603">
        <v>284114.41404300003</v>
      </c>
      <c r="K61" s="603">
        <v>7405988.445506</v>
      </c>
    </row>
    <row r="62" spans="1:11">
      <c r="A62" s="204"/>
      <c r="B62" s="393" t="s">
        <v>963</v>
      </c>
      <c r="C62" s="598" t="s">
        <v>527</v>
      </c>
      <c r="D62" s="599">
        <v>100</v>
      </c>
      <c r="E62" s="600">
        <v>100000000</v>
      </c>
      <c r="F62" s="604">
        <f t="shared" si="2"/>
        <v>10400000</v>
      </c>
      <c r="G62" s="602">
        <v>1000000</v>
      </c>
      <c r="H62" s="602">
        <v>10400000</v>
      </c>
      <c r="I62" s="603">
        <v>2277496.8777649999</v>
      </c>
      <c r="J62" s="603">
        <v>284114.41404300003</v>
      </c>
      <c r="K62" s="603">
        <v>7405988.445506</v>
      </c>
    </row>
    <row r="63" spans="1:11">
      <c r="A63" s="204"/>
      <c r="B63" s="393" t="s">
        <v>1020</v>
      </c>
      <c r="C63" s="598" t="s">
        <v>527</v>
      </c>
      <c r="D63" s="599">
        <v>76</v>
      </c>
      <c r="E63" s="600">
        <v>7600000</v>
      </c>
      <c r="F63" s="604">
        <f t="shared" si="2"/>
        <v>23712000</v>
      </c>
      <c r="G63" s="602">
        <v>100000</v>
      </c>
      <c r="H63" s="602">
        <v>23712000</v>
      </c>
      <c r="I63" s="603">
        <v>2277496.8777649999</v>
      </c>
      <c r="J63" s="603">
        <v>284114.41404300003</v>
      </c>
      <c r="K63" s="603">
        <v>7405988.445506</v>
      </c>
    </row>
    <row r="64" spans="1:11">
      <c r="A64" s="204"/>
      <c r="B64" s="393" t="s">
        <v>1020</v>
      </c>
      <c r="C64" s="598" t="s">
        <v>527</v>
      </c>
      <c r="D64" s="599">
        <v>162</v>
      </c>
      <c r="E64" s="600">
        <v>16200000</v>
      </c>
      <c r="F64" s="604">
        <f t="shared" si="2"/>
        <v>50544000</v>
      </c>
      <c r="G64" s="602">
        <v>100000</v>
      </c>
      <c r="H64" s="602">
        <v>50544000</v>
      </c>
      <c r="I64" s="603">
        <v>2277496.8777649999</v>
      </c>
      <c r="J64" s="603">
        <v>284114.41404300003</v>
      </c>
      <c r="K64" s="603">
        <v>7405988.445506</v>
      </c>
    </row>
    <row r="65" spans="1:11">
      <c r="A65" s="204"/>
      <c r="B65" s="393" t="s">
        <v>1020</v>
      </c>
      <c r="C65" s="598" t="s">
        <v>527</v>
      </c>
      <c r="D65" s="599">
        <v>162</v>
      </c>
      <c r="E65" s="600">
        <v>16200000</v>
      </c>
      <c r="F65" s="604">
        <f t="shared" si="2"/>
        <v>50544000</v>
      </c>
      <c r="G65" s="602">
        <v>100000</v>
      </c>
      <c r="H65" s="602">
        <v>50544000</v>
      </c>
      <c r="I65" s="603">
        <v>2277496.8777649999</v>
      </c>
      <c r="J65" s="603">
        <v>284114.41404300003</v>
      </c>
      <c r="K65" s="603">
        <v>7405988.445506</v>
      </c>
    </row>
    <row r="66" spans="1:11">
      <c r="A66" s="204"/>
      <c r="B66" s="393" t="s">
        <v>1020</v>
      </c>
      <c r="C66" s="598" t="s">
        <v>527</v>
      </c>
      <c r="D66" s="599">
        <v>132</v>
      </c>
      <c r="E66" s="600">
        <v>13200000</v>
      </c>
      <c r="F66" s="604">
        <f t="shared" si="2"/>
        <v>41184000</v>
      </c>
      <c r="G66" s="602">
        <v>100000</v>
      </c>
      <c r="H66" s="602">
        <v>41184000</v>
      </c>
      <c r="I66" s="603">
        <v>2277496.8777649999</v>
      </c>
      <c r="J66" s="603">
        <v>284114.41404300003</v>
      </c>
      <c r="K66" s="603">
        <v>7405988.445506</v>
      </c>
    </row>
    <row r="67" spans="1:11">
      <c r="A67" s="204"/>
      <c r="B67" s="393" t="s">
        <v>1020</v>
      </c>
      <c r="C67" s="598" t="s">
        <v>527</v>
      </c>
      <c r="D67" s="599">
        <v>234</v>
      </c>
      <c r="E67" s="600">
        <v>23400000</v>
      </c>
      <c r="F67" s="604">
        <f t="shared" si="2"/>
        <v>73008000</v>
      </c>
      <c r="G67" s="602">
        <v>100000</v>
      </c>
      <c r="H67" s="602">
        <v>73008000</v>
      </c>
      <c r="I67" s="603">
        <v>2277496.8777649999</v>
      </c>
      <c r="J67" s="603">
        <v>284114.41404300003</v>
      </c>
      <c r="K67" s="603">
        <v>7405988.445506</v>
      </c>
    </row>
    <row r="68" spans="1:11">
      <c r="A68" s="204"/>
      <c r="B68" s="393" t="s">
        <v>1020</v>
      </c>
      <c r="C68" s="598" t="s">
        <v>527</v>
      </c>
      <c r="D68" s="599">
        <v>185</v>
      </c>
      <c r="E68" s="600">
        <v>18500000</v>
      </c>
      <c r="F68" s="604">
        <f t="shared" si="2"/>
        <v>57720000</v>
      </c>
      <c r="G68" s="602">
        <v>100000</v>
      </c>
      <c r="H68" s="602">
        <v>57720000</v>
      </c>
      <c r="I68" s="603">
        <v>2277496.8777649999</v>
      </c>
      <c r="J68" s="603">
        <v>284114.41404300003</v>
      </c>
      <c r="K68" s="603">
        <v>7405988.445506</v>
      </c>
    </row>
    <row r="69" spans="1:11">
      <c r="A69" s="204"/>
      <c r="B69" s="393" t="s">
        <v>1020</v>
      </c>
      <c r="C69" s="598" t="s">
        <v>527</v>
      </c>
      <c r="D69" s="599">
        <v>167</v>
      </c>
      <c r="E69" s="600">
        <v>16700000</v>
      </c>
      <c r="F69" s="604">
        <f t="shared" si="2"/>
        <v>52104000</v>
      </c>
      <c r="G69" s="602">
        <v>100000</v>
      </c>
      <c r="H69" s="602">
        <v>52104000</v>
      </c>
      <c r="I69" s="603">
        <v>2277496.8777649999</v>
      </c>
      <c r="J69" s="603">
        <v>284114.41404300003</v>
      </c>
      <c r="K69" s="603">
        <v>7405988.445506</v>
      </c>
    </row>
    <row r="70" spans="1:11">
      <c r="A70" s="204"/>
      <c r="B70" s="393" t="s">
        <v>1020</v>
      </c>
      <c r="C70" s="598" t="s">
        <v>527</v>
      </c>
      <c r="D70" s="599">
        <v>436</v>
      </c>
      <c r="E70" s="600">
        <v>43600000</v>
      </c>
      <c r="F70" s="604">
        <f t="shared" si="2"/>
        <v>136032000</v>
      </c>
      <c r="G70" s="602">
        <v>100000</v>
      </c>
      <c r="H70" s="602">
        <v>136032000</v>
      </c>
      <c r="I70" s="603">
        <v>2277496.8777649999</v>
      </c>
      <c r="J70" s="603">
        <v>284114.41404300003</v>
      </c>
      <c r="K70" s="603">
        <v>7405988.445506</v>
      </c>
    </row>
    <row r="71" spans="1:11">
      <c r="A71" s="204"/>
      <c r="B71" s="393" t="s">
        <v>1020</v>
      </c>
      <c r="C71" s="598" t="s">
        <v>527</v>
      </c>
      <c r="D71" s="599">
        <v>149</v>
      </c>
      <c r="E71" s="600">
        <v>14900000</v>
      </c>
      <c r="F71" s="604">
        <f t="shared" si="2"/>
        <v>46488000</v>
      </c>
      <c r="G71" s="602">
        <v>100000</v>
      </c>
      <c r="H71" s="602">
        <v>46488000</v>
      </c>
      <c r="I71" s="603">
        <v>2277496.8777649999</v>
      </c>
      <c r="J71" s="603">
        <v>284114.41404300003</v>
      </c>
      <c r="K71" s="603">
        <v>7405988.445506</v>
      </c>
    </row>
    <row r="72" spans="1:11">
      <c r="A72" s="204"/>
      <c r="B72" s="393" t="s">
        <v>1020</v>
      </c>
      <c r="C72" s="598" t="s">
        <v>527</v>
      </c>
      <c r="D72" s="599">
        <v>208</v>
      </c>
      <c r="E72" s="600">
        <v>20800000</v>
      </c>
      <c r="F72" s="604">
        <f t="shared" si="2"/>
        <v>64896000</v>
      </c>
      <c r="G72" s="602">
        <v>100000</v>
      </c>
      <c r="H72" s="602">
        <v>64896000</v>
      </c>
      <c r="I72" s="603">
        <v>2277496.8777649999</v>
      </c>
      <c r="J72" s="603">
        <v>284114.41404300003</v>
      </c>
      <c r="K72" s="603">
        <v>7405988.445506</v>
      </c>
    </row>
    <row r="73" spans="1:11">
      <c r="A73" s="204"/>
      <c r="B73" s="393" t="s">
        <v>1020</v>
      </c>
      <c r="C73" s="598" t="s">
        <v>527</v>
      </c>
      <c r="D73" s="599">
        <v>236</v>
      </c>
      <c r="E73" s="600">
        <v>23600000</v>
      </c>
      <c r="F73" s="604">
        <f t="shared" si="2"/>
        <v>59000000</v>
      </c>
      <c r="G73" s="602">
        <v>100000</v>
      </c>
      <c r="H73" s="602">
        <v>59000000</v>
      </c>
      <c r="I73" s="603">
        <v>2277496.8777649999</v>
      </c>
      <c r="J73" s="603">
        <v>284114.41404300003</v>
      </c>
      <c r="K73" s="603">
        <v>7405988.445506</v>
      </c>
    </row>
    <row r="74" spans="1:11">
      <c r="A74" s="204"/>
      <c r="B74" s="393" t="s">
        <v>1020</v>
      </c>
      <c r="C74" s="598" t="s">
        <v>527</v>
      </c>
      <c r="D74" s="599">
        <v>1797</v>
      </c>
      <c r="E74" s="600">
        <v>179700000</v>
      </c>
      <c r="F74" s="604">
        <f t="shared" si="2"/>
        <v>494175000</v>
      </c>
      <c r="G74" s="602">
        <v>100000</v>
      </c>
      <c r="H74" s="602">
        <v>494175000</v>
      </c>
      <c r="I74" s="603">
        <v>2277496.8777649999</v>
      </c>
      <c r="J74" s="603">
        <v>284114.41404300003</v>
      </c>
      <c r="K74" s="603">
        <v>7405988.445506</v>
      </c>
    </row>
    <row r="75" spans="1:11" s="680" customFormat="1">
      <c r="A75" s="675"/>
      <c r="B75" s="676" t="s">
        <v>1022</v>
      </c>
      <c r="C75" s="677"/>
      <c r="D75" s="678">
        <f>+D37+D9</f>
        <v>69069</v>
      </c>
      <c r="E75" s="678">
        <f t="shared" ref="E75:H75" si="3">+E37+E9</f>
        <v>57380208286</v>
      </c>
      <c r="F75" s="678">
        <f t="shared" si="3"/>
        <v>63051535008</v>
      </c>
      <c r="G75" s="678">
        <f t="shared" si="3"/>
        <v>0</v>
      </c>
      <c r="H75" s="678">
        <f t="shared" si="3"/>
        <v>63051535008</v>
      </c>
      <c r="I75" s="679"/>
      <c r="J75" s="679"/>
      <c r="K75" s="679"/>
    </row>
    <row r="76" spans="1:11">
      <c r="A76" s="204"/>
      <c r="B76" s="393"/>
      <c r="C76" s="598"/>
      <c r="D76" s="599"/>
      <c r="E76" s="600"/>
      <c r="F76" s="601"/>
      <c r="G76" s="602"/>
      <c r="H76" s="602"/>
      <c r="I76" s="603"/>
      <c r="J76" s="603"/>
      <c r="K76" s="603"/>
    </row>
    <row r="77" spans="1:11">
      <c r="A77" s="25"/>
      <c r="B77" s="386" t="s">
        <v>390</v>
      </c>
      <c r="C77" s="74" t="s">
        <v>527</v>
      </c>
      <c r="D77" s="75">
        <f>SUM(D78:D84)</f>
        <v>257837</v>
      </c>
      <c r="E77" s="75">
        <f>SUM(E78:E84)</f>
        <v>35317500000</v>
      </c>
      <c r="F77" s="75">
        <f>SUM(F78:F84)</f>
        <v>36064951703</v>
      </c>
      <c r="G77" s="441"/>
      <c r="H77" s="352"/>
      <c r="I77" s="442"/>
      <c r="J77" s="442"/>
      <c r="K77" s="442"/>
    </row>
    <row r="78" spans="1:11">
      <c r="A78" s="25"/>
      <c r="B78" s="393" t="s">
        <v>651</v>
      </c>
      <c r="C78" s="394" t="s">
        <v>527</v>
      </c>
      <c r="D78" s="595">
        <v>499</v>
      </c>
      <c r="E78" s="76">
        <f>1000000*D78</f>
        <v>499000000</v>
      </c>
      <c r="F78" s="76">
        <f>+E78</f>
        <v>499000000</v>
      </c>
      <c r="G78" s="441">
        <f t="shared" ref="G78:G83" si="4">+E78/D78</f>
        <v>1000000</v>
      </c>
      <c r="H78" s="441" t="s">
        <v>704</v>
      </c>
      <c r="I78" s="605">
        <v>500000000</v>
      </c>
      <c r="J78" s="605">
        <v>-254196815</v>
      </c>
      <c r="K78" s="605">
        <v>245803185</v>
      </c>
    </row>
    <row r="79" spans="1:11">
      <c r="A79" s="25"/>
      <c r="B79" s="393" t="s">
        <v>652</v>
      </c>
      <c r="C79" s="394" t="s">
        <v>527</v>
      </c>
      <c r="D79" s="595">
        <f>+E79/1000000</f>
        <v>5355</v>
      </c>
      <c r="E79" s="76">
        <f>+'[4]EEFF '!$B$68</f>
        <v>5355000000</v>
      </c>
      <c r="F79" s="76">
        <f>+'[4]EEFF '!$B$68+'[4]EEFF '!$B$73</f>
        <v>5402451703</v>
      </c>
      <c r="G79" s="441">
        <f t="shared" si="4"/>
        <v>1000000</v>
      </c>
      <c r="H79" s="441" t="s">
        <v>704</v>
      </c>
      <c r="I79" s="605">
        <v>6141817146</v>
      </c>
      <c r="J79" s="605">
        <f>461723934+2120830002</f>
        <v>2582553936</v>
      </c>
      <c r="K79" s="605">
        <v>9081080470</v>
      </c>
    </row>
    <row r="80" spans="1:11">
      <c r="A80" s="25"/>
      <c r="B80" s="393" t="s">
        <v>653</v>
      </c>
      <c r="C80" s="394" t="s">
        <v>527</v>
      </c>
      <c r="D80" s="595">
        <v>3467</v>
      </c>
      <c r="E80" s="76">
        <f>1000000*D80</f>
        <v>3467000000</v>
      </c>
      <c r="F80" s="76">
        <f>+E80</f>
        <v>3467000000</v>
      </c>
      <c r="G80" s="441">
        <f t="shared" si="4"/>
        <v>1000000</v>
      </c>
      <c r="H80" s="441" t="s">
        <v>704</v>
      </c>
      <c r="I80" s="605">
        <v>5406000000</v>
      </c>
      <c r="J80" s="605">
        <v>1773284855</v>
      </c>
      <c r="K80" s="605">
        <v>7296621679</v>
      </c>
    </row>
    <row r="81" spans="1:11">
      <c r="A81" s="25"/>
      <c r="B81" s="393" t="s">
        <v>654</v>
      </c>
      <c r="C81" s="394" t="s">
        <v>527</v>
      </c>
      <c r="D81" s="595">
        <v>1050</v>
      </c>
      <c r="E81" s="89">
        <f>1000000*D81</f>
        <v>1050000000</v>
      </c>
      <c r="F81" s="76">
        <f>+E81</f>
        <v>1050000000</v>
      </c>
      <c r="G81" s="441">
        <f t="shared" si="4"/>
        <v>1000000</v>
      </c>
      <c r="H81" s="441" t="s">
        <v>704</v>
      </c>
      <c r="I81" s="605">
        <v>1500000000</v>
      </c>
      <c r="J81" s="605">
        <v>966416514</v>
      </c>
      <c r="K81" s="605">
        <v>2568057985</v>
      </c>
    </row>
    <row r="82" spans="1:11">
      <c r="A82" s="25"/>
      <c r="B82" s="393" t="s">
        <v>964</v>
      </c>
      <c r="C82" s="394" t="s">
        <v>527</v>
      </c>
      <c r="D82" s="595">
        <f>+E82/100000</f>
        <v>237465</v>
      </c>
      <c r="E82" s="89">
        <f>+'[4]EEFF '!$B$71</f>
        <v>23746500000</v>
      </c>
      <c r="F82" s="76">
        <f>+'[4]EEFF '!$B$71</f>
        <v>23746500000</v>
      </c>
      <c r="G82" s="441">
        <f>+E82/D82</f>
        <v>100000</v>
      </c>
      <c r="H82" s="441" t="s">
        <v>704</v>
      </c>
      <c r="I82" s="605">
        <v>46955000000</v>
      </c>
      <c r="J82" s="605">
        <v>877688866</v>
      </c>
      <c r="K82" s="605">
        <v>47919924073</v>
      </c>
    </row>
    <row r="83" spans="1:11">
      <c r="A83" s="25"/>
      <c r="B83" s="393" t="s">
        <v>655</v>
      </c>
      <c r="C83" s="394" t="s">
        <v>648</v>
      </c>
      <c r="D83" s="595">
        <v>1</v>
      </c>
      <c r="E83" s="89">
        <v>200000000</v>
      </c>
      <c r="F83" s="89">
        <v>900000000</v>
      </c>
      <c r="G83" s="441">
        <f t="shared" si="4"/>
        <v>200000000</v>
      </c>
      <c r="H83" s="441" t="s">
        <v>704</v>
      </c>
      <c r="I83" s="606">
        <v>8800000000</v>
      </c>
      <c r="J83" s="606">
        <v>10671560278</v>
      </c>
      <c r="K83" s="606">
        <v>22528059291</v>
      </c>
    </row>
    <row r="84" spans="1:11" ht="15" thickBot="1">
      <c r="A84" s="25"/>
      <c r="B84" s="393" t="s">
        <v>897</v>
      </c>
      <c r="C84" s="394" t="s">
        <v>527</v>
      </c>
      <c r="D84" s="595">
        <v>10000</v>
      </c>
      <c r="E84" s="89">
        <f>100000*D84</f>
        <v>1000000000</v>
      </c>
      <c r="F84" s="76">
        <f>+E84</f>
        <v>1000000000</v>
      </c>
      <c r="G84" s="441">
        <f>+E84/D84</f>
        <v>100000</v>
      </c>
      <c r="H84" s="441" t="s">
        <v>704</v>
      </c>
      <c r="I84" s="441" t="s">
        <v>704</v>
      </c>
      <c r="J84" s="441" t="s">
        <v>704</v>
      </c>
      <c r="K84" s="441" t="s">
        <v>704</v>
      </c>
    </row>
    <row r="85" spans="1:11" ht="15" thickBot="1">
      <c r="A85" s="25"/>
      <c r="B85" s="398" t="s">
        <v>1021</v>
      </c>
      <c r="C85" s="399"/>
      <c r="D85" s="678">
        <f>+D75+D77</f>
        <v>326906</v>
      </c>
      <c r="E85" s="678">
        <f t="shared" ref="E85:G85" si="5">+E75+E77</f>
        <v>92697708286</v>
      </c>
      <c r="F85" s="678">
        <f t="shared" si="5"/>
        <v>99116486711</v>
      </c>
      <c r="G85" s="678">
        <f t="shared" si="5"/>
        <v>0</v>
      </c>
      <c r="H85" s="440"/>
      <c r="I85" s="440"/>
      <c r="J85" s="440"/>
      <c r="K85" s="440"/>
    </row>
    <row r="86" spans="1:11" ht="15" thickBot="1">
      <c r="A86" s="25"/>
      <c r="B86" s="398" t="s">
        <v>896</v>
      </c>
      <c r="C86" s="400"/>
      <c r="D86" s="401">
        <v>291791</v>
      </c>
      <c r="E86" s="402">
        <v>151109000576</v>
      </c>
      <c r="F86" s="403">
        <v>154015336488</v>
      </c>
      <c r="G86" s="90"/>
      <c r="H86" s="440"/>
      <c r="I86" s="440"/>
      <c r="J86" s="83"/>
      <c r="K86" s="83"/>
    </row>
    <row r="87" spans="1:11">
      <c r="A87" s="25"/>
      <c r="B87" s="79"/>
      <c r="C87" s="80"/>
      <c r="D87" s="81"/>
      <c r="E87" s="82"/>
      <c r="F87" s="82"/>
      <c r="G87" s="82"/>
      <c r="H87" s="440"/>
      <c r="I87" s="440"/>
      <c r="J87" s="83"/>
      <c r="K87" s="83"/>
    </row>
    <row r="88" spans="1:11">
      <c r="A88" s="25"/>
      <c r="B88" s="84"/>
      <c r="C88" s="85"/>
      <c r="D88" s="86"/>
      <c r="E88" s="82"/>
      <c r="F88" s="82"/>
      <c r="G88" s="86"/>
      <c r="H88" s="440"/>
      <c r="I88" s="440"/>
      <c r="J88" s="86"/>
      <c r="K88" s="86"/>
    </row>
    <row r="89" spans="1:11" ht="15" thickBot="1">
      <c r="A89" s="25"/>
      <c r="B89" s="25"/>
      <c r="C89" s="25"/>
      <c r="D89" s="72"/>
      <c r="E89" s="72"/>
      <c r="F89" s="72"/>
      <c r="G89" s="72"/>
      <c r="H89" s="440"/>
      <c r="I89" s="440"/>
      <c r="J89" s="72"/>
      <c r="K89" s="72"/>
    </row>
    <row r="90" spans="1:11" ht="15" thickBot="1">
      <c r="A90" s="25"/>
      <c r="B90" s="756" t="s">
        <v>655</v>
      </c>
      <c r="C90" s="757"/>
      <c r="D90" s="758"/>
      <c r="E90" s="72"/>
      <c r="F90" s="72"/>
      <c r="G90" s="72"/>
      <c r="H90" s="72"/>
      <c r="I90" s="72"/>
      <c r="J90" s="72"/>
      <c r="K90" s="72"/>
    </row>
    <row r="91" spans="1:11" ht="15" thickBot="1">
      <c r="A91" s="25"/>
      <c r="B91" s="404" t="s">
        <v>387</v>
      </c>
      <c r="C91" s="405" t="s">
        <v>388</v>
      </c>
      <c r="D91" s="406" t="s">
        <v>649</v>
      </c>
      <c r="E91" s="391"/>
      <c r="F91" s="72"/>
      <c r="G91" s="72"/>
      <c r="H91" s="72"/>
      <c r="I91" s="72"/>
      <c r="J91" s="72"/>
      <c r="K91" s="72"/>
    </row>
    <row r="92" spans="1:11">
      <c r="A92" s="25"/>
      <c r="B92" s="388">
        <v>1</v>
      </c>
      <c r="C92" s="389">
        <f>+E83</f>
        <v>200000000</v>
      </c>
      <c r="D92" s="396">
        <f>+F83</f>
        <v>900000000</v>
      </c>
      <c r="E92" s="392"/>
      <c r="F92" s="72"/>
      <c r="G92" s="72"/>
      <c r="H92" s="72"/>
      <c r="I92" s="72"/>
      <c r="J92" s="72"/>
      <c r="K92" s="72"/>
    </row>
    <row r="93" spans="1:11">
      <c r="A93" s="25"/>
      <c r="B93" s="87" t="str">
        <f>+B85</f>
        <v>Total al 30/06/2022</v>
      </c>
      <c r="C93" s="390">
        <f>+C92</f>
        <v>200000000</v>
      </c>
      <c r="D93" s="390">
        <f>+D92</f>
        <v>900000000</v>
      </c>
      <c r="E93" s="72"/>
      <c r="F93" s="72"/>
      <c r="G93" s="72"/>
      <c r="H93" s="72"/>
      <c r="I93" s="72"/>
      <c r="J93" s="72"/>
      <c r="K93" s="72"/>
    </row>
    <row r="94" spans="1:11">
      <c r="A94" s="25"/>
      <c r="B94" s="78" t="s">
        <v>896</v>
      </c>
      <c r="C94" s="585">
        <v>200000000</v>
      </c>
      <c r="D94" s="586">
        <v>900000000</v>
      </c>
      <c r="E94" s="72"/>
      <c r="F94" s="72"/>
      <c r="G94" s="72"/>
      <c r="H94" s="72"/>
      <c r="I94" s="72"/>
      <c r="J94" s="72"/>
      <c r="K94" s="72"/>
    </row>
    <row r="95" spans="1:11">
      <c r="A95" s="25"/>
      <c r="B95" s="25"/>
      <c r="C95" s="25"/>
      <c r="D95" s="72"/>
      <c r="E95" s="72"/>
      <c r="F95" s="72"/>
      <c r="G95" s="72"/>
      <c r="H95" s="72"/>
      <c r="I95" s="72"/>
      <c r="J95" s="72"/>
      <c r="K95" s="72"/>
    </row>
  </sheetData>
  <autoFilter ref="B8:K75" xr:uid="{00000000-0001-0000-0A00-000000000000}"/>
  <mergeCells count="6">
    <mergeCell ref="B90:D90"/>
    <mergeCell ref="B3:K3"/>
    <mergeCell ref="B5:F5"/>
    <mergeCell ref="G5:K5"/>
    <mergeCell ref="B6:K6"/>
    <mergeCell ref="B34:K34"/>
  </mergeCells>
  <hyperlinks>
    <hyperlink ref="B4" location="'Balance Gral. Resol. 30'!A1" display="'Balance Gral. Resol. 30'!A1" xr:uid="{00000000-0004-0000-0A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rgb="FF002060"/>
  </sheetPr>
  <dimension ref="B1:H59"/>
  <sheetViews>
    <sheetView showGridLines="0" topLeftCell="B28" zoomScale="117" zoomScaleNormal="117" workbookViewId="0">
      <selection activeCell="E92" sqref="E92"/>
    </sheetView>
  </sheetViews>
  <sheetFormatPr baseColWidth="10" defaultColWidth="67.44140625" defaultRowHeight="12"/>
  <cols>
    <col min="1" max="1" width="5.33203125" style="93" customWidth="1"/>
    <col min="2" max="2" width="44" style="93" customWidth="1"/>
    <col min="3" max="3" width="17.6640625" style="92" bestFit="1" customWidth="1"/>
    <col min="4" max="4" width="21.44140625" style="92" bestFit="1" customWidth="1"/>
    <col min="5" max="5" width="10.88671875" style="93" bestFit="1" customWidth="1"/>
    <col min="6" max="6" width="13.6640625" style="93" hidden="1" customWidth="1"/>
    <col min="7" max="7" width="22.109375" style="93" hidden="1" customWidth="1"/>
    <col min="8" max="8" width="26" style="93" hidden="1" customWidth="1"/>
    <col min="9" max="16384" width="67.44140625" style="93"/>
  </cols>
  <sheetData>
    <row r="1" spans="2:8" ht="31.2" customHeight="1"/>
    <row r="3" spans="2:8" ht="15.6">
      <c r="B3" s="774" t="s">
        <v>664</v>
      </c>
      <c r="C3" s="774"/>
      <c r="D3" s="774"/>
    </row>
    <row r="4" spans="2:8">
      <c r="B4" s="94"/>
    </row>
    <row r="5" spans="2:8" ht="45.75" customHeight="1">
      <c r="B5" s="775" t="s">
        <v>965</v>
      </c>
      <c r="C5" s="775"/>
      <c r="D5" s="775"/>
    </row>
    <row r="7" spans="2:8" ht="14.4">
      <c r="B7" s="409" t="s">
        <v>665</v>
      </c>
    </row>
    <row r="8" spans="2:8">
      <c r="B8" s="776" t="s">
        <v>391</v>
      </c>
      <c r="C8" s="776"/>
      <c r="D8" s="776"/>
    </row>
    <row r="9" spans="2:8">
      <c r="B9" s="770" t="s">
        <v>392</v>
      </c>
      <c r="C9" s="771"/>
      <c r="D9" s="772"/>
    </row>
    <row r="10" spans="2:8">
      <c r="B10" s="201" t="s">
        <v>338</v>
      </c>
      <c r="C10" s="202" t="s">
        <v>393</v>
      </c>
      <c r="D10" s="202" t="s">
        <v>394</v>
      </c>
      <c r="E10" s="95"/>
      <c r="F10" s="95"/>
      <c r="G10" s="95"/>
      <c r="H10" s="95"/>
    </row>
    <row r="11" spans="2:8">
      <c r="B11" s="96" t="s">
        <v>898</v>
      </c>
      <c r="C11" s="97">
        <f>+'[4]EEFF '!$B$41</f>
        <v>14677059283</v>
      </c>
      <c r="D11" s="97">
        <v>0</v>
      </c>
    </row>
    <row r="12" spans="2:8">
      <c r="B12" s="96" t="s">
        <v>899</v>
      </c>
      <c r="C12" s="97">
        <f>+'[4]EEFF '!$B$42</f>
        <v>198490424</v>
      </c>
      <c r="D12" s="97">
        <v>0</v>
      </c>
    </row>
    <row r="13" spans="2:8">
      <c r="B13" s="96" t="s">
        <v>900</v>
      </c>
      <c r="C13" s="97">
        <v>0</v>
      </c>
      <c r="D13" s="97">
        <v>0</v>
      </c>
    </row>
    <row r="14" spans="2:8">
      <c r="B14" s="98" t="s">
        <v>1021</v>
      </c>
      <c r="C14" s="99">
        <f>SUM(C11:C13)</f>
        <v>14875549707</v>
      </c>
      <c r="D14" s="99">
        <f>SUM(D11:D13)</f>
        <v>0</v>
      </c>
      <c r="E14" s="100"/>
      <c r="F14" s="101"/>
    </row>
    <row r="15" spans="2:8">
      <c r="B15" s="98" t="s">
        <v>896</v>
      </c>
      <c r="C15" s="99">
        <v>11358134441</v>
      </c>
      <c r="D15" s="99">
        <v>0</v>
      </c>
    </row>
    <row r="16" spans="2:8">
      <c r="B16" s="102"/>
      <c r="C16" s="92">
        <f>+'Balance Gral. Resol. 30'!D24-'NOTA F - CREDITOS'!C14</f>
        <v>0</v>
      </c>
      <c r="D16" s="103">
        <f>+'Balance Gral. Resol. 30'!D52-'NOTA F - CREDITOS'!D14</f>
        <v>0</v>
      </c>
      <c r="F16" s="101"/>
    </row>
    <row r="17" spans="2:7">
      <c r="B17" s="770" t="s">
        <v>662</v>
      </c>
      <c r="C17" s="771"/>
      <c r="D17" s="772"/>
    </row>
    <row r="18" spans="2:7">
      <c r="B18" s="770" t="s">
        <v>392</v>
      </c>
      <c r="C18" s="771"/>
      <c r="D18" s="772"/>
    </row>
    <row r="19" spans="2:7">
      <c r="B19" s="201" t="s">
        <v>338</v>
      </c>
      <c r="C19" s="202" t="s">
        <v>393</v>
      </c>
      <c r="D19" s="202" t="s">
        <v>394</v>
      </c>
    </row>
    <row r="20" spans="2:7">
      <c r="B20" s="96" t="s">
        <v>901</v>
      </c>
      <c r="C20" s="97">
        <f>+'[4]EEFF '!$B$45</f>
        <v>514077553</v>
      </c>
      <c r="D20" s="97">
        <v>0</v>
      </c>
      <c r="E20" s="101"/>
    </row>
    <row r="21" spans="2:7" ht="14.4">
      <c r="B21" s="96" t="s">
        <v>902</v>
      </c>
      <c r="C21" s="97">
        <f>+'[4]EEFF '!$B$46</f>
        <v>244159273</v>
      </c>
      <c r="D21" s="97">
        <v>0</v>
      </c>
      <c r="E21" s="336"/>
    </row>
    <row r="22" spans="2:7" ht="14.4">
      <c r="B22" s="96" t="s">
        <v>903</v>
      </c>
      <c r="C22" s="97">
        <f>+'[4]EEFF '!$B$47</f>
        <v>50204968</v>
      </c>
      <c r="D22" s="97">
        <v>0</v>
      </c>
      <c r="E22" s="336"/>
    </row>
    <row r="23" spans="2:7">
      <c r="B23" s="96" t="s">
        <v>904</v>
      </c>
      <c r="C23" s="97">
        <f>+'[4]EEFF '!$B$48</f>
        <v>128278703</v>
      </c>
      <c r="D23" s="97">
        <v>0</v>
      </c>
      <c r="E23" s="101"/>
    </row>
    <row r="24" spans="2:7">
      <c r="B24" s="96" t="s">
        <v>905</v>
      </c>
      <c r="C24" s="97">
        <f>+'[4]EEFF '!$B$50</f>
        <v>252818545</v>
      </c>
      <c r="D24" s="97">
        <v>0</v>
      </c>
    </row>
    <row r="25" spans="2:7">
      <c r="B25" s="96" t="s">
        <v>906</v>
      </c>
      <c r="C25" s="97">
        <f>+'[4]EEFF '!$B$51</f>
        <v>134492792</v>
      </c>
      <c r="D25" s="97"/>
    </row>
    <row r="26" spans="2:7">
      <c r="B26" s="98" t="str">
        <f>+B14</f>
        <v>Total al 30/06/2022</v>
      </c>
      <c r="C26" s="99">
        <f>SUM(C20:C25)</f>
        <v>1324031834</v>
      </c>
      <c r="D26" s="99">
        <f>SUM(D20:D25)</f>
        <v>0</v>
      </c>
      <c r="G26" s="104"/>
    </row>
    <row r="27" spans="2:7">
      <c r="B27" s="98" t="str">
        <f>+B15</f>
        <v>Total al 31/12/2021</v>
      </c>
      <c r="C27" s="99">
        <v>922158467</v>
      </c>
      <c r="D27" s="97">
        <v>0</v>
      </c>
    </row>
    <row r="28" spans="2:7">
      <c r="B28" s="105"/>
      <c r="C28" s="92">
        <f>+C26-'Balance Gral. Resol. 30'!D25</f>
        <v>0</v>
      </c>
      <c r="D28" s="92">
        <f>+D26-'Balance Gral. Resol. 30'!D53</f>
        <v>0</v>
      </c>
    </row>
    <row r="29" spans="2:7">
      <c r="B29" s="770" t="s">
        <v>675</v>
      </c>
      <c r="C29" s="771"/>
      <c r="D29" s="772"/>
    </row>
    <row r="30" spans="2:7">
      <c r="B30" s="770" t="s">
        <v>392</v>
      </c>
      <c r="C30" s="771"/>
      <c r="D30" s="772"/>
    </row>
    <row r="31" spans="2:7">
      <c r="B31" s="353" t="s">
        <v>338</v>
      </c>
      <c r="C31" s="354" t="s">
        <v>393</v>
      </c>
      <c r="D31" s="354" t="s">
        <v>394</v>
      </c>
    </row>
    <row r="32" spans="2:7">
      <c r="B32" s="96" t="s">
        <v>676</v>
      </c>
      <c r="C32" s="97">
        <v>3200000</v>
      </c>
      <c r="D32" s="97">
        <v>0</v>
      </c>
    </row>
    <row r="33" spans="2:8">
      <c r="B33" s="96"/>
      <c r="C33" s="97">
        <v>0</v>
      </c>
      <c r="D33" s="97">
        <v>0</v>
      </c>
    </row>
    <row r="34" spans="2:8">
      <c r="B34" s="98" t="str">
        <f>+B14</f>
        <v>Total al 30/06/2022</v>
      </c>
      <c r="C34" s="99">
        <f>SUM(C32:C33)</f>
        <v>3200000</v>
      </c>
      <c r="D34" s="99">
        <v>0</v>
      </c>
    </row>
    <row r="35" spans="2:8">
      <c r="B35" s="98" t="str">
        <f>+B15</f>
        <v>Total al 31/12/2021</v>
      </c>
      <c r="C35" s="99">
        <v>3200000</v>
      </c>
      <c r="D35" s="97">
        <v>0</v>
      </c>
    </row>
    <row r="36" spans="2:8">
      <c r="B36" s="414"/>
      <c r="C36" s="415">
        <f>+C34-'Balance Gral. Resol. 30'!D26</f>
        <v>0</v>
      </c>
      <c r="D36" s="416"/>
    </row>
    <row r="37" spans="2:8">
      <c r="B37" s="770" t="s">
        <v>663</v>
      </c>
      <c r="C37" s="771"/>
      <c r="D37" s="772"/>
    </row>
    <row r="38" spans="2:8">
      <c r="B38" s="770" t="s">
        <v>392</v>
      </c>
      <c r="C38" s="771"/>
      <c r="D38" s="772"/>
    </row>
    <row r="39" spans="2:8">
      <c r="B39" s="201" t="s">
        <v>338</v>
      </c>
      <c r="C39" s="202" t="s">
        <v>393</v>
      </c>
      <c r="D39" s="202" t="s">
        <v>394</v>
      </c>
    </row>
    <row r="40" spans="2:8">
      <c r="B40" s="96" t="s">
        <v>395</v>
      </c>
      <c r="C40" s="97">
        <f>+'[4]EEFF '!$B$58+'[4]EEFF '!$B$59</f>
        <v>1155411935</v>
      </c>
      <c r="D40" s="97">
        <v>0</v>
      </c>
    </row>
    <row r="41" spans="2:8">
      <c r="B41" s="96" t="s">
        <v>396</v>
      </c>
      <c r="C41" s="97">
        <v>0</v>
      </c>
      <c r="D41" s="97">
        <v>0</v>
      </c>
    </row>
    <row r="42" spans="2:8">
      <c r="B42" s="96" t="s">
        <v>674</v>
      </c>
      <c r="C42" s="97">
        <f>+'[4]EEFF '!$B$57</f>
        <v>1500000000</v>
      </c>
      <c r="D42" s="97">
        <v>0</v>
      </c>
    </row>
    <row r="43" spans="2:8">
      <c r="B43" s="98" t="str">
        <f>+B14</f>
        <v>Total al 30/06/2022</v>
      </c>
      <c r="C43" s="99">
        <f>SUM(C40:C42)</f>
        <v>2655411935</v>
      </c>
      <c r="D43" s="97">
        <v>0</v>
      </c>
      <c r="F43" s="93" t="s">
        <v>397</v>
      </c>
    </row>
    <row r="44" spans="2:8">
      <c r="B44" s="98" t="str">
        <f>+B27</f>
        <v>Total al 31/12/2021</v>
      </c>
      <c r="C44" s="99">
        <v>1309229323</v>
      </c>
      <c r="D44" s="97">
        <v>0</v>
      </c>
    </row>
    <row r="45" spans="2:8">
      <c r="B45" s="105"/>
      <c r="C45" s="92">
        <f>+C43-'Balance Gral. Resol. 30'!D28</f>
        <v>0</v>
      </c>
    </row>
    <row r="46" spans="2:8">
      <c r="B46" s="105"/>
    </row>
    <row r="47" spans="2:8">
      <c r="B47" s="105"/>
    </row>
    <row r="48" spans="2:8">
      <c r="B48" s="773" t="s">
        <v>398</v>
      </c>
      <c r="C48" s="773"/>
      <c r="D48" s="773"/>
      <c r="E48" s="773"/>
      <c r="F48" s="773"/>
      <c r="G48" s="773"/>
      <c r="H48" s="773"/>
    </row>
    <row r="49" spans="2:8">
      <c r="B49" s="768" t="s">
        <v>381</v>
      </c>
      <c r="C49" s="769" t="s">
        <v>399</v>
      </c>
      <c r="D49" s="769" t="s">
        <v>400</v>
      </c>
      <c r="E49" s="201" t="s">
        <v>378</v>
      </c>
      <c r="F49" s="201" t="s">
        <v>401</v>
      </c>
      <c r="G49" s="768" t="s">
        <v>402</v>
      </c>
      <c r="H49" s="768"/>
    </row>
    <row r="50" spans="2:8">
      <c r="B50" s="768"/>
      <c r="C50" s="769"/>
      <c r="D50" s="769"/>
      <c r="E50" s="201" t="s">
        <v>403</v>
      </c>
      <c r="F50" s="201" t="s">
        <v>404</v>
      </c>
      <c r="G50" s="768"/>
      <c r="H50" s="768"/>
    </row>
    <row r="51" spans="2:8">
      <c r="B51" s="768"/>
      <c r="C51" s="769"/>
      <c r="D51" s="769"/>
      <c r="E51" s="106"/>
      <c r="F51" s="201" t="s">
        <v>405</v>
      </c>
      <c r="G51" s="768"/>
      <c r="H51" s="768"/>
    </row>
    <row r="52" spans="2:8">
      <c r="B52" s="107"/>
      <c r="C52" s="768" t="s">
        <v>406</v>
      </c>
      <c r="D52" s="768"/>
      <c r="E52" s="768"/>
      <c r="F52" s="768"/>
      <c r="G52" s="768"/>
      <c r="H52" s="201"/>
    </row>
    <row r="53" spans="2:8">
      <c r="B53" s="107" t="s">
        <v>407</v>
      </c>
      <c r="C53" s="768"/>
      <c r="D53" s="768"/>
      <c r="E53" s="768"/>
      <c r="F53" s="768"/>
      <c r="G53" s="768"/>
      <c r="H53" s="107"/>
    </row>
    <row r="54" spans="2:8">
      <c r="B54" s="107" t="s">
        <v>408</v>
      </c>
      <c r="C54" s="768"/>
      <c r="D54" s="768"/>
      <c r="E54" s="768"/>
      <c r="F54" s="768"/>
      <c r="G54" s="768"/>
      <c r="H54" s="107"/>
    </row>
    <row r="55" spans="2:8">
      <c r="B55" s="417"/>
      <c r="C55" s="418"/>
      <c r="D55" s="418"/>
      <c r="E55" s="418"/>
      <c r="F55" s="418"/>
      <c r="G55" s="418"/>
      <c r="H55" s="417"/>
    </row>
    <row r="57" spans="2:8">
      <c r="B57" s="353" t="s">
        <v>338</v>
      </c>
      <c r="C57" s="354" t="s">
        <v>393</v>
      </c>
      <c r="D57" s="354" t="s">
        <v>394</v>
      </c>
    </row>
    <row r="58" spans="2:8">
      <c r="B58" s="98" t="s">
        <v>943</v>
      </c>
      <c r="C58" s="99">
        <f>+C43+C34+C26+C14</f>
        <v>18858193476</v>
      </c>
      <c r="D58" s="99">
        <f>+D43+D34+D26+D14</f>
        <v>0</v>
      </c>
    </row>
    <row r="59" spans="2:8">
      <c r="C59" s="92">
        <f>+C58-'Balance Gral. Resol. 30'!D31</f>
        <v>0</v>
      </c>
      <c r="D59" s="92">
        <f>+D58-'Balance Gral. Resol. 30'!D60</f>
        <v>0</v>
      </c>
    </row>
  </sheetData>
  <mergeCells count="17">
    <mergeCell ref="B3:D3"/>
    <mergeCell ref="B29:D29"/>
    <mergeCell ref="B30:D30"/>
    <mergeCell ref="H49:H51"/>
    <mergeCell ref="B5:D5"/>
    <mergeCell ref="B8:D8"/>
    <mergeCell ref="B9:D9"/>
    <mergeCell ref="C52:G54"/>
    <mergeCell ref="B49:B51"/>
    <mergeCell ref="C49:C51"/>
    <mergeCell ref="D49:D51"/>
    <mergeCell ref="B17:D17"/>
    <mergeCell ref="B18:D18"/>
    <mergeCell ref="B37:D37"/>
    <mergeCell ref="G49:G51"/>
    <mergeCell ref="B38:D38"/>
    <mergeCell ref="B48:H48"/>
  </mergeCells>
  <hyperlinks>
    <hyperlink ref="B7" location="'Balance Gral. Resol. 30'!A1" display="Balance Gral. Resol. 6'!A1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002060"/>
  </sheetPr>
  <dimension ref="A6:Q34"/>
  <sheetViews>
    <sheetView showGridLines="0" topLeftCell="B1" zoomScaleNormal="100" workbookViewId="0">
      <pane xSplit="1" ySplit="12" topLeftCell="C13" activePane="bottomRight" state="frozen"/>
      <selection activeCell="E92" sqref="E92"/>
      <selection pane="topRight" activeCell="E92" sqref="E92"/>
      <selection pane="bottomLeft" activeCell="E92" sqref="E92"/>
      <selection pane="bottomRight" activeCell="E92" sqref="E92"/>
    </sheetView>
  </sheetViews>
  <sheetFormatPr baseColWidth="10" defaultColWidth="11.44140625" defaultRowHeight="12"/>
  <cols>
    <col min="1" max="1" width="2.44140625" style="25" customWidth="1"/>
    <col min="2" max="2" width="23" style="108" customWidth="1"/>
    <col min="3" max="3" width="20.6640625" style="25" bestFit="1" customWidth="1"/>
    <col min="4" max="4" width="14.109375" style="25" bestFit="1" customWidth="1"/>
    <col min="5" max="5" width="12.44140625" style="25" customWidth="1"/>
    <col min="6" max="6" width="10.33203125" style="25" hidden="1" customWidth="1"/>
    <col min="7" max="7" width="14.44140625" style="25" hidden="1" customWidth="1"/>
    <col min="8" max="8" width="13" style="25" hidden="1" customWidth="1"/>
    <col min="9" max="9" width="10.6640625" style="25" bestFit="1" customWidth="1"/>
    <col min="10" max="10" width="9.33203125" style="25" bestFit="1" customWidth="1"/>
    <col min="11" max="11" width="13.33203125" style="25" customWidth="1"/>
    <col min="12" max="12" width="13.109375" style="25" bestFit="1" customWidth="1"/>
    <col min="13" max="13" width="14.109375" style="25" bestFit="1" customWidth="1"/>
    <col min="14" max="14" width="11.33203125" style="25" customWidth="1"/>
    <col min="15" max="15" width="13.33203125" style="25" customWidth="1"/>
    <col min="16" max="16384" width="11.44140625" style="25"/>
  </cols>
  <sheetData>
    <row r="6" spans="2:16" s="195" customFormat="1" ht="20.25" customHeight="1">
      <c r="B6" s="108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110"/>
    </row>
    <row r="7" spans="2:16" ht="15.6">
      <c r="B7" s="742" t="s">
        <v>677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112"/>
    </row>
    <row r="8" spans="2:16">
      <c r="B8" s="108" t="s">
        <v>678</v>
      </c>
      <c r="C8" s="109"/>
      <c r="N8" s="114"/>
      <c r="O8" s="115"/>
    </row>
    <row r="9" spans="2:16">
      <c r="C9" s="109"/>
      <c r="N9" s="114"/>
      <c r="O9" s="115"/>
    </row>
    <row r="10" spans="2:16" ht="14.4">
      <c r="B10" s="419" t="s">
        <v>666</v>
      </c>
      <c r="C10" s="109"/>
      <c r="N10" s="112"/>
    </row>
    <row r="11" spans="2:16">
      <c r="B11" s="43"/>
      <c r="C11" s="198" t="s">
        <v>409</v>
      </c>
      <c r="D11" s="199"/>
      <c r="E11" s="199"/>
      <c r="F11" s="199"/>
      <c r="G11" s="199"/>
      <c r="H11" s="777" t="s">
        <v>410</v>
      </c>
      <c r="I11" s="778"/>
      <c r="J11" s="778"/>
      <c r="K11" s="778"/>
      <c r="L11" s="778"/>
      <c r="M11" s="200"/>
      <c r="N11" s="112"/>
    </row>
    <row r="12" spans="2:16" ht="36">
      <c r="B12" s="35" t="s">
        <v>253</v>
      </c>
      <c r="C12" s="111" t="s">
        <v>411</v>
      </c>
      <c r="D12" s="35" t="s">
        <v>412</v>
      </c>
      <c r="E12" s="35" t="s">
        <v>413</v>
      </c>
      <c r="F12" s="35" t="s">
        <v>414</v>
      </c>
      <c r="G12" s="35" t="s">
        <v>415</v>
      </c>
      <c r="H12" s="35" t="s">
        <v>416</v>
      </c>
      <c r="I12" s="35" t="s">
        <v>412</v>
      </c>
      <c r="J12" s="35" t="s">
        <v>413</v>
      </c>
      <c r="K12" s="35" t="s">
        <v>414</v>
      </c>
      <c r="L12" s="35" t="s">
        <v>417</v>
      </c>
      <c r="M12" s="35" t="s">
        <v>418</v>
      </c>
      <c r="N12" s="114"/>
    </row>
    <row r="13" spans="2:16">
      <c r="B13" s="113" t="s">
        <v>907</v>
      </c>
      <c r="C13" s="97">
        <v>487067851</v>
      </c>
      <c r="D13" s="53">
        <v>0</v>
      </c>
      <c r="E13" s="53">
        <v>0</v>
      </c>
      <c r="F13" s="53">
        <v>0</v>
      </c>
      <c r="G13" s="53">
        <f>+'[4]EEFF '!$B$80</f>
        <v>487067851</v>
      </c>
      <c r="H13" s="53">
        <v>176328707.52347407</v>
      </c>
      <c r="I13" s="97"/>
      <c r="J13" s="97"/>
      <c r="K13" s="97">
        <v>0</v>
      </c>
      <c r="L13" s="53"/>
      <c r="M13" s="53">
        <f>+G13-H13</f>
        <v>310739143.4765259</v>
      </c>
      <c r="N13" s="575"/>
      <c r="O13" s="55"/>
      <c r="P13" s="55"/>
    </row>
    <row r="14" spans="2:16">
      <c r="B14" s="116" t="s">
        <v>908</v>
      </c>
      <c r="C14" s="97">
        <v>210957210</v>
      </c>
      <c r="D14" s="53">
        <f>+G14-C14</f>
        <v>0</v>
      </c>
      <c r="E14" s="53">
        <v>0</v>
      </c>
      <c r="F14" s="53">
        <v>0</v>
      </c>
      <c r="G14" s="53">
        <f>+'[4]EEFF '!$B$79</f>
        <v>210957210</v>
      </c>
      <c r="H14" s="97">
        <v>88943969.799999982</v>
      </c>
      <c r="I14" s="97"/>
      <c r="J14" s="97"/>
      <c r="K14" s="97">
        <v>0</v>
      </c>
      <c r="L14" s="53"/>
      <c r="M14" s="53">
        <f t="shared" ref="M14:M20" si="0">+G14-H14</f>
        <v>122013240.20000002</v>
      </c>
      <c r="N14" s="575"/>
      <c r="O14" s="55"/>
      <c r="P14" s="55"/>
    </row>
    <row r="15" spans="2:16">
      <c r="B15" s="116" t="s">
        <v>909</v>
      </c>
      <c r="C15" s="97">
        <v>387212086</v>
      </c>
      <c r="D15" s="53">
        <f t="shared" ref="D15:D20" si="1">+G15-C15</f>
        <v>26566362</v>
      </c>
      <c r="E15" s="53">
        <v>0</v>
      </c>
      <c r="F15" s="53">
        <v>0</v>
      </c>
      <c r="G15" s="53">
        <f>+'[4]EEFF '!$B$81</f>
        <v>413778448</v>
      </c>
      <c r="H15" s="53">
        <v>242198675.01060611</v>
      </c>
      <c r="I15" s="97">
        <v>0</v>
      </c>
      <c r="J15" s="97"/>
      <c r="K15" s="97">
        <v>0</v>
      </c>
      <c r="L15" s="53"/>
      <c r="M15" s="53">
        <f t="shared" si="0"/>
        <v>171579772.98939389</v>
      </c>
      <c r="N15" s="575"/>
      <c r="O15" s="55"/>
      <c r="P15" s="55"/>
    </row>
    <row r="16" spans="2:16">
      <c r="B16" s="116" t="s">
        <v>910</v>
      </c>
      <c r="C16" s="97">
        <v>31158573</v>
      </c>
      <c r="D16" s="53">
        <f t="shared" si="1"/>
        <v>0</v>
      </c>
      <c r="E16" s="53">
        <v>0</v>
      </c>
      <c r="F16" s="53">
        <v>0</v>
      </c>
      <c r="G16" s="53">
        <f>+'[4]EEFF '!$B$82</f>
        <v>31158573</v>
      </c>
      <c r="H16" s="53">
        <v>14293583.210000001</v>
      </c>
      <c r="I16" s="97"/>
      <c r="J16" s="97"/>
      <c r="K16" s="97">
        <v>0</v>
      </c>
      <c r="L16" s="53"/>
      <c r="M16" s="53">
        <f t="shared" si="0"/>
        <v>16864989.789999999</v>
      </c>
      <c r="N16" s="575"/>
      <c r="O16" s="55"/>
      <c r="P16" s="55"/>
    </row>
    <row r="17" spans="2:17">
      <c r="B17" s="116" t="s">
        <v>911</v>
      </c>
      <c r="C17" s="97">
        <v>61154819</v>
      </c>
      <c r="D17" s="53">
        <f t="shared" si="1"/>
        <v>32411545</v>
      </c>
      <c r="E17" s="53"/>
      <c r="F17" s="53">
        <v>0</v>
      </c>
      <c r="G17" s="53">
        <f>+'[4]EEFF '!$B$83</f>
        <v>93566364</v>
      </c>
      <c r="H17" s="53">
        <v>5330248.9000000004</v>
      </c>
      <c r="I17" s="97">
        <v>0</v>
      </c>
      <c r="J17" s="97"/>
      <c r="K17" s="97">
        <v>0</v>
      </c>
      <c r="L17" s="53"/>
      <c r="M17" s="53">
        <f t="shared" si="0"/>
        <v>88236115.099999994</v>
      </c>
      <c r="N17" s="575"/>
      <c r="O17" s="55"/>
      <c r="P17" s="55"/>
      <c r="Q17" s="55"/>
    </row>
    <row r="18" spans="2:17">
      <c r="B18" s="116" t="s">
        <v>912</v>
      </c>
      <c r="C18" s="97">
        <v>11010456</v>
      </c>
      <c r="D18" s="53">
        <f t="shared" si="1"/>
        <v>0</v>
      </c>
      <c r="E18" s="97">
        <v>0</v>
      </c>
      <c r="F18" s="97">
        <v>0</v>
      </c>
      <c r="G18" s="53">
        <f>+'[4]EEFF '!$B$84</f>
        <v>11010456</v>
      </c>
      <c r="H18" s="97">
        <v>4514609.67</v>
      </c>
      <c r="I18" s="97"/>
      <c r="J18" s="97"/>
      <c r="K18" s="97">
        <v>0</v>
      </c>
      <c r="L18" s="53"/>
      <c r="M18" s="53">
        <f t="shared" si="0"/>
        <v>6495846.3300000001</v>
      </c>
      <c r="N18" s="575"/>
      <c r="O18" s="55"/>
      <c r="P18" s="55"/>
    </row>
    <row r="19" spans="2:17">
      <c r="B19" s="116" t="s">
        <v>913</v>
      </c>
      <c r="C19" s="53">
        <v>1900000000</v>
      </c>
      <c r="D19" s="53">
        <f t="shared" si="1"/>
        <v>10202212443</v>
      </c>
      <c r="E19" s="97"/>
      <c r="F19" s="97">
        <v>0</v>
      </c>
      <c r="G19" s="53">
        <f>+'[4]EEFF '!$B$78</f>
        <v>12102212443</v>
      </c>
      <c r="H19" s="97">
        <v>425749253.32000005</v>
      </c>
      <c r="I19" s="97"/>
      <c r="J19" s="97"/>
      <c r="K19" s="97">
        <v>0</v>
      </c>
      <c r="L19" s="53"/>
      <c r="M19" s="53">
        <f t="shared" si="0"/>
        <v>11676463189.68</v>
      </c>
      <c r="N19" s="575"/>
      <c r="O19" s="55"/>
      <c r="P19" s="55"/>
    </row>
    <row r="20" spans="2:17">
      <c r="B20" s="116" t="s">
        <v>914</v>
      </c>
      <c r="C20" s="53">
        <v>10202212443</v>
      </c>
      <c r="D20" s="53">
        <f t="shared" si="1"/>
        <v>-10202212443</v>
      </c>
      <c r="E20" s="97">
        <v>0</v>
      </c>
      <c r="F20" s="97">
        <v>0</v>
      </c>
      <c r="G20" s="53">
        <v>0</v>
      </c>
      <c r="H20" s="53">
        <v>0</v>
      </c>
      <c r="I20" s="97"/>
      <c r="J20" s="97"/>
      <c r="K20" s="97">
        <v>0</v>
      </c>
      <c r="L20" s="53"/>
      <c r="M20" s="53">
        <f t="shared" si="0"/>
        <v>0</v>
      </c>
      <c r="N20" s="575"/>
      <c r="O20" s="55"/>
      <c r="P20" s="55"/>
    </row>
    <row r="21" spans="2:17">
      <c r="B21" s="117" t="s">
        <v>1021</v>
      </c>
      <c r="C21" s="612">
        <f>SUM(C13:C20)</f>
        <v>13290773438</v>
      </c>
      <c r="D21" s="612">
        <f t="shared" ref="D21:M21" si="2">SUM(D13:D20)</f>
        <v>58977907</v>
      </c>
      <c r="E21" s="612">
        <f t="shared" si="2"/>
        <v>0</v>
      </c>
      <c r="F21" s="612">
        <f t="shared" si="2"/>
        <v>0</v>
      </c>
      <c r="G21" s="612">
        <f t="shared" si="2"/>
        <v>13349751345</v>
      </c>
      <c r="H21" s="612">
        <f t="shared" si="2"/>
        <v>957359047.43408012</v>
      </c>
      <c r="I21" s="612">
        <f t="shared" si="2"/>
        <v>0</v>
      </c>
      <c r="J21" s="612">
        <f t="shared" si="2"/>
        <v>0</v>
      </c>
      <c r="K21" s="612">
        <f t="shared" si="2"/>
        <v>0</v>
      </c>
      <c r="L21" s="612">
        <f t="shared" si="2"/>
        <v>0</v>
      </c>
      <c r="M21" s="612">
        <f t="shared" si="2"/>
        <v>12392392297.56592</v>
      </c>
      <c r="O21" s="55"/>
      <c r="P21" s="55"/>
    </row>
    <row r="22" spans="2:17">
      <c r="B22" s="117" t="s">
        <v>896</v>
      </c>
      <c r="C22" s="118">
        <v>13160414143.818182</v>
      </c>
      <c r="D22" s="118">
        <v>130359294.18181831</v>
      </c>
      <c r="E22" s="118">
        <v>0</v>
      </c>
      <c r="F22" s="118">
        <v>0</v>
      </c>
      <c r="G22" s="118">
        <v>13290773438</v>
      </c>
      <c r="H22" s="118">
        <v>642081072.18181825</v>
      </c>
      <c r="I22" s="118">
        <v>315277975.25226194</v>
      </c>
      <c r="J22" s="118">
        <v>0</v>
      </c>
      <c r="K22" s="118">
        <v>0</v>
      </c>
      <c r="L22" s="118">
        <v>957359047.43408012</v>
      </c>
      <c r="M22" s="118">
        <v>12333414390.56592</v>
      </c>
    </row>
    <row r="25" spans="2:17">
      <c r="M25" s="39">
        <f>+K34-'Balance Gral. Resol. 30'!D64</f>
        <v>-0.43408012390136719</v>
      </c>
    </row>
    <row r="26" spans="2:17">
      <c r="M26" s="39">
        <f>+M22-'Balance Gral. Resol. 30'!E64</f>
        <v>-0.43408012390136719</v>
      </c>
    </row>
    <row r="27" spans="2:17">
      <c r="M27" s="39"/>
    </row>
    <row r="34" spans="1:11">
      <c r="A34" s="118">
        <f t="shared" ref="A34:K34" si="3">SUM(C13:C20)</f>
        <v>13290773438</v>
      </c>
      <c r="B34" s="118">
        <f>SUM(D13:D20)</f>
        <v>58977907</v>
      </c>
      <c r="C34" s="118">
        <f t="shared" si="3"/>
        <v>0</v>
      </c>
      <c r="D34" s="118">
        <f t="shared" si="3"/>
        <v>0</v>
      </c>
      <c r="E34" s="118">
        <f>SUM(G13:G20)</f>
        <v>13349751345</v>
      </c>
      <c r="F34" s="118">
        <f t="shared" si="3"/>
        <v>957359047.43408012</v>
      </c>
      <c r="G34" s="118">
        <f t="shared" si="3"/>
        <v>0</v>
      </c>
      <c r="H34" s="118">
        <f t="shared" si="3"/>
        <v>0</v>
      </c>
      <c r="I34" s="118">
        <f t="shared" si="3"/>
        <v>0</v>
      </c>
      <c r="J34" s="118">
        <f t="shared" si="3"/>
        <v>0</v>
      </c>
      <c r="K34" s="118">
        <f t="shared" si="3"/>
        <v>12392392297.56592</v>
      </c>
    </row>
  </sheetData>
  <mergeCells count="2">
    <mergeCell ref="B7:M7"/>
    <mergeCell ref="H11:L11"/>
  </mergeCells>
  <hyperlinks>
    <hyperlink ref="B10" location="'Balance Gral. Resol. 30'!A1" display="'Balance Gral. Resol. 30'!A1" xr:uid="{00000000-0004-0000-0C00-000000000000}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rgb="FF002060"/>
  </sheetPr>
  <dimension ref="B1:H18"/>
  <sheetViews>
    <sheetView showGridLines="0" zoomScale="134" workbookViewId="0">
      <selection activeCell="E92" sqref="E92"/>
    </sheetView>
  </sheetViews>
  <sheetFormatPr baseColWidth="10" defaultColWidth="20.109375" defaultRowHeight="12"/>
  <cols>
    <col min="1" max="1" width="6.33203125" style="25" customWidth="1"/>
    <col min="2" max="2" width="28.33203125" style="25" bestFit="1" customWidth="1"/>
    <col min="3" max="3" width="13.44140625" style="25" bestFit="1" customWidth="1"/>
    <col min="4" max="4" width="12.33203125" style="25" bestFit="1" customWidth="1"/>
    <col min="5" max="5" width="16.33203125" style="25" bestFit="1" customWidth="1"/>
    <col min="6" max="6" width="17.6640625" style="25" hidden="1" customWidth="1"/>
    <col min="7" max="8" width="0" style="25" hidden="1" customWidth="1"/>
    <col min="9" max="16384" width="20.109375" style="25"/>
  </cols>
  <sheetData>
    <row r="1" spans="2:8" ht="41.4" customHeight="1"/>
    <row r="3" spans="2:8" ht="15.6">
      <c r="B3" s="742" t="s">
        <v>672</v>
      </c>
      <c r="C3" s="742"/>
      <c r="D3" s="742"/>
      <c r="E3" s="742"/>
      <c r="F3" s="742"/>
    </row>
    <row r="4" spans="2:8" ht="14.4">
      <c r="B4" s="779" t="s">
        <v>673</v>
      </c>
      <c r="C4" s="779"/>
      <c r="D4" s="779"/>
      <c r="E4" s="779"/>
      <c r="F4" s="779"/>
    </row>
    <row r="5" spans="2:8" ht="14.4">
      <c r="B5" s="355"/>
      <c r="C5" s="355"/>
      <c r="D5" s="355"/>
      <c r="E5" s="355"/>
      <c r="F5" s="355"/>
    </row>
    <row r="6" spans="2:8" ht="14.4">
      <c r="B6" s="420" t="s">
        <v>666</v>
      </c>
    </row>
    <row r="7" spans="2:8">
      <c r="B7" s="196" t="s">
        <v>338</v>
      </c>
      <c r="C7" s="196" t="s">
        <v>419</v>
      </c>
      <c r="D7" s="196" t="s">
        <v>420</v>
      </c>
      <c r="E7" s="196" t="s">
        <v>421</v>
      </c>
      <c r="F7" s="196" t="s">
        <v>422</v>
      </c>
    </row>
    <row r="8" spans="2:8">
      <c r="B8" s="33" t="s">
        <v>581</v>
      </c>
      <c r="C8" s="53">
        <v>6582803</v>
      </c>
      <c r="D8" s="53">
        <f>+F8-C8</f>
        <v>6271998</v>
      </c>
      <c r="E8" s="97"/>
      <c r="F8" s="53">
        <f>+'[4]EEFF '!$B$61</f>
        <v>12854801</v>
      </c>
      <c r="G8" s="55"/>
      <c r="H8" s="115"/>
    </row>
    <row r="9" spans="2:8">
      <c r="B9" s="33" t="s">
        <v>582</v>
      </c>
      <c r="C9" s="53">
        <v>179129769</v>
      </c>
      <c r="D9" s="53">
        <f>+F9-C9</f>
        <v>151799232</v>
      </c>
      <c r="E9" s="97"/>
      <c r="F9" s="53">
        <f>+'[4]EEFF '!$B$62</f>
        <v>330929001</v>
      </c>
      <c r="G9" s="120"/>
      <c r="H9" s="77"/>
    </row>
    <row r="10" spans="2:8">
      <c r="B10" s="33" t="s">
        <v>583</v>
      </c>
      <c r="C10" s="53">
        <v>272885487</v>
      </c>
      <c r="D10" s="53">
        <v>0</v>
      </c>
      <c r="E10" s="97">
        <f>+F10-C10</f>
        <v>-153022228</v>
      </c>
      <c r="F10" s="53">
        <f>+'[4]EEFF '!$B$63</f>
        <v>119863259</v>
      </c>
      <c r="G10" s="120"/>
      <c r="H10" s="77"/>
    </row>
    <row r="11" spans="2:8">
      <c r="B11" s="33" t="s">
        <v>607</v>
      </c>
      <c r="C11" s="53">
        <v>0</v>
      </c>
      <c r="D11" s="53">
        <v>0</v>
      </c>
      <c r="E11" s="97">
        <v>0</v>
      </c>
      <c r="F11" s="53">
        <f>+C11+D11-E11</f>
        <v>0</v>
      </c>
      <c r="G11" s="120"/>
      <c r="H11" s="77"/>
    </row>
    <row r="12" spans="2:8">
      <c r="B12" s="121" t="str">
        <f>+'NOTA G BIENES DE USO'!B21</f>
        <v>Total al 30/06/2022</v>
      </c>
      <c r="C12" s="118">
        <f>SUM(C8:C11)</f>
        <v>458598059</v>
      </c>
      <c r="D12" s="118">
        <f>SUM(D8:D11)</f>
        <v>158071230</v>
      </c>
      <c r="E12" s="118">
        <f>SUM(E8:E11)</f>
        <v>-153022228</v>
      </c>
      <c r="F12" s="118">
        <f>SUM(F8:F11)</f>
        <v>463647061</v>
      </c>
      <c r="G12" s="115"/>
      <c r="H12" s="115"/>
    </row>
    <row r="13" spans="2:8">
      <c r="B13" s="121" t="str">
        <f>+'NOTA G BIENES DE USO'!B22</f>
        <v>Total al 31/12/2021</v>
      </c>
      <c r="C13" s="118">
        <v>754727435</v>
      </c>
      <c r="D13" s="118">
        <v>1127724475</v>
      </c>
      <c r="E13" s="118">
        <v>1423853851</v>
      </c>
      <c r="F13" s="118">
        <v>458598059</v>
      </c>
      <c r="G13" s="115"/>
    </row>
    <row r="15" spans="2:8" ht="13.8">
      <c r="E15" s="299"/>
      <c r="F15" s="55">
        <f>+F12-'Balance Gral. Resol. 30'!D38</f>
        <v>0</v>
      </c>
    </row>
    <row r="16" spans="2:8" ht="13.8">
      <c r="E16" s="300"/>
      <c r="F16" s="55">
        <f>+F13-'Balance Gral. Resol. 30'!E38</f>
        <v>0</v>
      </c>
    </row>
    <row r="17" spans="5:5" ht="13.8">
      <c r="E17" s="300"/>
    </row>
    <row r="18" spans="5:5">
      <c r="E18" s="115"/>
    </row>
  </sheetData>
  <mergeCells count="2">
    <mergeCell ref="B3:F3"/>
    <mergeCell ref="B4:F4"/>
  </mergeCells>
  <hyperlinks>
    <hyperlink ref="B6" location="'Balance Gral. Resol. 30'!A1" display="'Balance Gral. Resol. 30'!A1" xr:uid="{00000000-0004-0000-0D00-000000000000}"/>
  </hyperlink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rgb="FF002060"/>
  </sheetPr>
  <dimension ref="B1:M32"/>
  <sheetViews>
    <sheetView showGridLines="0" workbookViewId="0">
      <selection activeCell="E92" sqref="E92"/>
    </sheetView>
  </sheetViews>
  <sheetFormatPr baseColWidth="10" defaultColWidth="11.44140625" defaultRowHeight="12"/>
  <cols>
    <col min="1" max="1" width="6.88671875" style="25" customWidth="1"/>
    <col min="2" max="2" width="29.44140625" style="25" customWidth="1"/>
    <col min="3" max="3" width="41.33203125" style="25" customWidth="1"/>
    <col min="4" max="4" width="22" style="25" customWidth="1"/>
    <col min="5" max="5" width="13.44140625" style="25" bestFit="1" customWidth="1"/>
    <col min="6" max="6" width="13.44140625" style="25" hidden="1" customWidth="1"/>
    <col min="7" max="7" width="12" style="25" hidden="1" customWidth="1"/>
    <col min="8" max="8" width="0" style="25" hidden="1" customWidth="1"/>
    <col min="9" max="16384" width="11.44140625" style="25"/>
  </cols>
  <sheetData>
    <row r="1" spans="2:5" ht="33.6" customHeight="1"/>
    <row r="4" spans="2:5" ht="15.6">
      <c r="B4" s="780" t="s">
        <v>679</v>
      </c>
      <c r="C4" s="780"/>
      <c r="D4" s="780"/>
    </row>
    <row r="5" spans="2:5">
      <c r="B5" s="25" t="s">
        <v>680</v>
      </c>
    </row>
    <row r="7" spans="2:5" ht="14.4">
      <c r="B7" s="420" t="s">
        <v>666</v>
      </c>
    </row>
    <row r="8" spans="2:5">
      <c r="B8" s="35" t="s">
        <v>423</v>
      </c>
      <c r="C8" s="35" t="s">
        <v>338</v>
      </c>
      <c r="D8" s="122" t="str">
        <f>+'NOTA H CARGOS DIFERIDOS'!B12</f>
        <v>Total al 30/06/2022</v>
      </c>
    </row>
    <row r="9" spans="2:5">
      <c r="B9" s="116" t="s">
        <v>424</v>
      </c>
      <c r="C9" s="116" t="s">
        <v>425</v>
      </c>
      <c r="D9" s="123">
        <v>900000</v>
      </c>
    </row>
    <row r="10" spans="2:5">
      <c r="B10" s="116" t="s">
        <v>424</v>
      </c>
      <c r="C10" s="116" t="s">
        <v>683</v>
      </c>
      <c r="D10" s="123">
        <f>22088235+13532214+9775316</f>
        <v>45395765</v>
      </c>
    </row>
    <row r="11" spans="2:5">
      <c r="B11" s="116" t="s">
        <v>426</v>
      </c>
      <c r="C11" s="116" t="s">
        <v>427</v>
      </c>
      <c r="D11" s="124">
        <v>104084949</v>
      </c>
    </row>
    <row r="12" spans="2:5">
      <c r="B12" s="116" t="s">
        <v>428</v>
      </c>
      <c r="C12" s="116" t="s">
        <v>429</v>
      </c>
      <c r="D12" s="124">
        <v>2752296184</v>
      </c>
      <c r="E12" s="115"/>
    </row>
    <row r="13" spans="2:5">
      <c r="B13" s="116" t="s">
        <v>120</v>
      </c>
      <c r="C13" s="116" t="s">
        <v>120</v>
      </c>
      <c r="D13" s="124">
        <v>27866433</v>
      </c>
    </row>
    <row r="14" spans="2:5">
      <c r="B14" s="116" t="s">
        <v>430</v>
      </c>
      <c r="C14" s="116" t="s">
        <v>430</v>
      </c>
      <c r="D14" s="124">
        <v>76495056</v>
      </c>
    </row>
    <row r="15" spans="2:5">
      <c r="B15" s="116" t="s">
        <v>681</v>
      </c>
      <c r="C15" s="116" t="s">
        <v>682</v>
      </c>
      <c r="D15" s="124">
        <v>4448595000</v>
      </c>
    </row>
    <row r="16" spans="2:5">
      <c r="B16" s="116" t="s">
        <v>915</v>
      </c>
      <c r="C16" s="116"/>
      <c r="D16" s="124">
        <v>-2634196428</v>
      </c>
    </row>
    <row r="17" spans="2:13">
      <c r="B17" s="121" t="str">
        <f>+'NOTA H CARGOS DIFERIDOS'!B12</f>
        <v>Total al 30/06/2022</v>
      </c>
      <c r="C17" s="121"/>
      <c r="D17" s="125">
        <f>SUM(D9:D16)</f>
        <v>4821436959</v>
      </c>
      <c r="E17" s="115"/>
    </row>
    <row r="18" spans="2:13">
      <c r="B18" s="121" t="str">
        <f>+'NOTA H CARGOS DIFERIDOS'!B13</f>
        <v>Total al 31/12/2021</v>
      </c>
      <c r="C18" s="125"/>
      <c r="D18" s="125">
        <f>+'Balance Gral. Resol. 30'!E72</f>
        <v>4798129429</v>
      </c>
    </row>
    <row r="20" spans="2:13">
      <c r="D20" s="39">
        <f>+D17-'Balance Gral. Resol. 30'!D72</f>
        <v>0</v>
      </c>
    </row>
    <row r="21" spans="2:13">
      <c r="D21" s="55">
        <v>0</v>
      </c>
    </row>
    <row r="22" spans="2:13">
      <c r="F22" s="39"/>
      <c r="J22" s="25" t="s">
        <v>373</v>
      </c>
      <c r="M22" s="25" t="s">
        <v>373</v>
      </c>
    </row>
    <row r="23" spans="2:13">
      <c r="F23" s="39"/>
      <c r="J23" s="25" t="s">
        <v>373</v>
      </c>
      <c r="M23" s="25" t="s">
        <v>373</v>
      </c>
    </row>
    <row r="24" spans="2:13">
      <c r="F24" s="39"/>
      <c r="J24" s="25" t="s">
        <v>373</v>
      </c>
      <c r="M24" s="25" t="s">
        <v>373</v>
      </c>
    </row>
    <row r="25" spans="2:13">
      <c r="F25" s="39"/>
      <c r="J25" s="25" t="s">
        <v>373</v>
      </c>
      <c r="M25" s="25" t="s">
        <v>373</v>
      </c>
    </row>
    <row r="26" spans="2:13">
      <c r="F26" s="39"/>
      <c r="G26" s="55"/>
      <c r="J26" s="25" t="s">
        <v>373</v>
      </c>
      <c r="M26" s="25" t="s">
        <v>373</v>
      </c>
    </row>
    <row r="27" spans="2:13">
      <c r="F27" s="39"/>
      <c r="J27" s="25" t="s">
        <v>373</v>
      </c>
      <c r="M27" s="25" t="s">
        <v>373</v>
      </c>
    </row>
    <row r="28" spans="2:13">
      <c r="F28" s="39"/>
      <c r="G28" s="55"/>
      <c r="J28" s="25" t="s">
        <v>373</v>
      </c>
      <c r="M28" s="25" t="s">
        <v>373</v>
      </c>
    </row>
    <row r="29" spans="2:13">
      <c r="F29" s="39"/>
      <c r="J29" s="25" t="s">
        <v>373</v>
      </c>
      <c r="M29" s="25" t="s">
        <v>373</v>
      </c>
    </row>
    <row r="30" spans="2:13">
      <c r="F30" s="39"/>
      <c r="G30" s="55"/>
      <c r="J30" s="25" t="s">
        <v>373</v>
      </c>
      <c r="M30" s="25" t="s">
        <v>373</v>
      </c>
    </row>
    <row r="31" spans="2:13">
      <c r="F31" s="39"/>
      <c r="J31" s="25" t="s">
        <v>373</v>
      </c>
      <c r="M31" s="25" t="s">
        <v>373</v>
      </c>
    </row>
    <row r="32" spans="2:13">
      <c r="F32" s="39"/>
      <c r="G32" s="55"/>
      <c r="J32" s="25" t="s">
        <v>373</v>
      </c>
      <c r="M32" s="25" t="s">
        <v>373</v>
      </c>
    </row>
  </sheetData>
  <mergeCells count="1">
    <mergeCell ref="B4:D4"/>
  </mergeCells>
  <hyperlinks>
    <hyperlink ref="B7" location="'Balance Gral. Resol. 30'!A1" display="'Balance Gral. Resol. 30'!A1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rgb="FF002060"/>
  </sheetPr>
  <dimension ref="B1:G13"/>
  <sheetViews>
    <sheetView showGridLines="0" workbookViewId="0">
      <selection activeCell="E92" sqref="E92"/>
    </sheetView>
  </sheetViews>
  <sheetFormatPr baseColWidth="10" defaultColWidth="11.44140625" defaultRowHeight="12"/>
  <cols>
    <col min="1" max="1" width="8.33203125" style="25" customWidth="1"/>
    <col min="2" max="2" width="37.88671875" style="25" bestFit="1" customWidth="1"/>
    <col min="3" max="3" width="11.33203125" style="25" bestFit="1" customWidth="1"/>
    <col min="4" max="4" width="10.33203125" style="25" bestFit="1" customWidth="1"/>
    <col min="5" max="5" width="14" style="25" bestFit="1" customWidth="1"/>
    <col min="6" max="6" width="14.88671875" style="25" hidden="1" customWidth="1"/>
    <col min="7" max="7" width="8.109375" style="25" hidden="1" customWidth="1"/>
    <col min="8" max="8" width="0" style="25" hidden="1" customWidth="1"/>
    <col min="9" max="16384" width="11.44140625" style="25"/>
  </cols>
  <sheetData>
    <row r="1" spans="2:7" ht="42" customHeight="1">
      <c r="B1" s="109"/>
    </row>
    <row r="2" spans="2:7">
      <c r="B2" s="109"/>
    </row>
    <row r="3" spans="2:7">
      <c r="B3" s="109" t="s">
        <v>514</v>
      </c>
    </row>
    <row r="4" spans="2:7">
      <c r="B4" s="109"/>
    </row>
    <row r="5" spans="2:7" ht="14.4">
      <c r="B5" s="420" t="s">
        <v>666</v>
      </c>
    </row>
    <row r="6" spans="2:7">
      <c r="B6" s="119" t="s">
        <v>338</v>
      </c>
      <c r="C6" s="119" t="s">
        <v>419</v>
      </c>
      <c r="D6" s="119" t="s">
        <v>420</v>
      </c>
      <c r="E6" s="119" t="s">
        <v>421</v>
      </c>
      <c r="F6" s="119" t="s">
        <v>422</v>
      </c>
    </row>
    <row r="7" spans="2:7">
      <c r="B7" s="33" t="s">
        <v>324</v>
      </c>
      <c r="C7" s="126">
        <v>0</v>
      </c>
      <c r="D7" s="126">
        <v>0</v>
      </c>
      <c r="E7" s="126">
        <v>0</v>
      </c>
      <c r="F7" s="126">
        <f t="shared" ref="F7:F12" si="0">+C7+D7-E7</f>
        <v>0</v>
      </c>
    </row>
    <row r="8" spans="2:7">
      <c r="B8" s="33" t="s">
        <v>431</v>
      </c>
      <c r="C8" s="126">
        <v>0</v>
      </c>
      <c r="D8" s="126">
        <v>0</v>
      </c>
      <c r="E8" s="126">
        <v>0</v>
      </c>
      <c r="F8" s="126">
        <f t="shared" si="0"/>
        <v>0</v>
      </c>
    </row>
    <row r="9" spans="2:7">
      <c r="B9" s="33" t="s">
        <v>432</v>
      </c>
      <c r="C9" s="126">
        <v>0</v>
      </c>
      <c r="D9" s="126">
        <v>0</v>
      </c>
      <c r="E9" s="126">
        <v>0</v>
      </c>
      <c r="F9" s="126">
        <f t="shared" si="0"/>
        <v>0</v>
      </c>
    </row>
    <row r="10" spans="2:7">
      <c r="B10" s="33" t="s">
        <v>433</v>
      </c>
      <c r="C10" s="126">
        <v>0</v>
      </c>
      <c r="D10" s="126">
        <v>0</v>
      </c>
      <c r="E10" s="126">
        <v>0</v>
      </c>
      <c r="F10" s="126">
        <f t="shared" si="0"/>
        <v>0</v>
      </c>
    </row>
    <row r="11" spans="2:7">
      <c r="B11" s="33" t="s">
        <v>434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2:7">
      <c r="B12" s="121" t="str">
        <f>+' NOTA I INTANGIBLES'!B17</f>
        <v>Total al 30/06/2022</v>
      </c>
      <c r="C12" s="127">
        <f>SUM(C7:C11)</f>
        <v>0</v>
      </c>
      <c r="D12" s="127">
        <f>SUM(D7:D11)</f>
        <v>0</v>
      </c>
      <c r="E12" s="127">
        <f>SUM(E7:E11)</f>
        <v>0</v>
      </c>
      <c r="F12" s="127">
        <f t="shared" si="0"/>
        <v>0</v>
      </c>
      <c r="G12" s="128"/>
    </row>
    <row r="13" spans="2:7">
      <c r="B13" s="121" t="str">
        <f>+'NOTA H CARGOS DIFERIDOS'!B13</f>
        <v>Total al 31/12/2021</v>
      </c>
      <c r="C13" s="127">
        <v>0</v>
      </c>
      <c r="D13" s="127">
        <v>0</v>
      </c>
      <c r="E13" s="127">
        <v>0</v>
      </c>
      <c r="F13" s="127">
        <v>0</v>
      </c>
      <c r="G13" s="128"/>
    </row>
  </sheetData>
  <hyperlinks>
    <hyperlink ref="B5" location="'Balance Gral. Resol. 30'!A1" display="'Balance Gral. Resol. 30'!A1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rgb="FF002060"/>
  </sheetPr>
  <dimension ref="B1:E53"/>
  <sheetViews>
    <sheetView showGridLines="0" topLeftCell="A7" zoomScale="125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42.44140625" style="25" bestFit="1" customWidth="1"/>
    <col min="3" max="4" width="13.88671875" style="25" bestFit="1" customWidth="1"/>
    <col min="5" max="5" width="2.44140625" style="25" bestFit="1" customWidth="1"/>
    <col min="6" max="8" width="0" style="25" hidden="1" customWidth="1"/>
    <col min="9" max="16384" width="11.44140625" style="25"/>
  </cols>
  <sheetData>
    <row r="1" spans="2:4" ht="27.6" customHeight="1"/>
    <row r="5" spans="2:4">
      <c r="B5" s="109" t="s">
        <v>515</v>
      </c>
    </row>
    <row r="7" spans="2:4">
      <c r="B7" s="29" t="s">
        <v>435</v>
      </c>
      <c r="C7" s="193" t="s">
        <v>436</v>
      </c>
      <c r="D7" s="29" t="s">
        <v>437</v>
      </c>
    </row>
    <row r="8" spans="2:4">
      <c r="B8" s="29" t="s">
        <v>1024</v>
      </c>
      <c r="C8" s="422">
        <f>+C10+C20</f>
        <v>30596490858.354</v>
      </c>
      <c r="D8" s="29"/>
    </row>
    <row r="9" spans="2:4">
      <c r="B9" s="29"/>
      <c r="C9" s="422"/>
      <c r="D9" s="29"/>
    </row>
    <row r="10" spans="2:4">
      <c r="B10" s="29" t="s">
        <v>684</v>
      </c>
      <c r="C10" s="422">
        <f>SUM(C11:C18)</f>
        <v>25901031350</v>
      </c>
      <c r="D10" s="29"/>
    </row>
    <row r="11" spans="2:4">
      <c r="B11" s="33" t="s">
        <v>916</v>
      </c>
      <c r="C11" s="189">
        <v>4050000000</v>
      </c>
      <c r="D11" s="97">
        <v>0</v>
      </c>
    </row>
    <row r="12" spans="2:4">
      <c r="B12" s="33" t="s">
        <v>917</v>
      </c>
      <c r="C12" s="189">
        <v>1656000000</v>
      </c>
      <c r="D12" s="97">
        <v>0</v>
      </c>
    </row>
    <row r="13" spans="2:4">
      <c r="B13" s="33" t="s">
        <v>917</v>
      </c>
      <c r="C13" s="189">
        <v>1500000000</v>
      </c>
      <c r="D13" s="97">
        <v>0</v>
      </c>
    </row>
    <row r="14" spans="2:4">
      <c r="B14" s="33" t="s">
        <v>917</v>
      </c>
      <c r="C14" s="576">
        <v>1600000000</v>
      </c>
      <c r="D14" s="97">
        <v>0</v>
      </c>
    </row>
    <row r="15" spans="2:4">
      <c r="B15" s="33" t="s">
        <v>916</v>
      </c>
      <c r="C15" s="381">
        <v>2250000000</v>
      </c>
      <c r="D15" s="97">
        <v>0</v>
      </c>
    </row>
    <row r="16" spans="2:4">
      <c r="B16" s="33" t="s">
        <v>916</v>
      </c>
      <c r="C16" s="381">
        <v>2700000000</v>
      </c>
      <c r="D16" s="97">
        <v>0</v>
      </c>
    </row>
    <row r="17" spans="2:4">
      <c r="B17" s="33" t="s">
        <v>916</v>
      </c>
      <c r="C17" s="381">
        <v>1000000000</v>
      </c>
      <c r="D17" s="97">
        <v>0</v>
      </c>
    </row>
    <row r="18" spans="2:4">
      <c r="B18" s="33" t="s">
        <v>919</v>
      </c>
      <c r="C18" s="381">
        <v>11145031350</v>
      </c>
      <c r="D18" s="97"/>
    </row>
    <row r="19" spans="2:4">
      <c r="B19" s="116"/>
      <c r="C19" s="180"/>
      <c r="D19" s="97"/>
    </row>
    <row r="20" spans="2:4">
      <c r="B20" s="29" t="s">
        <v>1023</v>
      </c>
      <c r="C20" s="421">
        <f>+C21+C22</f>
        <v>4695459508.3540001</v>
      </c>
      <c r="D20" s="97"/>
    </row>
    <row r="21" spans="2:4">
      <c r="B21" s="683" t="str">
        <f>+'NOTA D - DISPONIBILIDADES'!B44</f>
        <v>Itau Cta Cte. Gs  571</v>
      </c>
      <c r="C21" s="180">
        <f>-'NOTA D - DISPONIBILIDADES'!C44</f>
        <v>3806291404</v>
      </c>
      <c r="D21" s="97"/>
    </row>
    <row r="22" spans="2:4">
      <c r="B22" s="684" t="str">
        <f>+'NOTA D - DISPONIBILIDADES'!B51</f>
        <v>Itau Internacional Usd 75080363-6</v>
      </c>
      <c r="C22" s="180">
        <f>-'NOTA D - DISPONIBILIDADES'!C51</f>
        <v>889168104.35399997</v>
      </c>
      <c r="D22" s="97"/>
    </row>
    <row r="23" spans="2:4">
      <c r="B23" s="116"/>
      <c r="C23" s="180"/>
      <c r="D23" s="97"/>
    </row>
    <row r="24" spans="2:4">
      <c r="B24" s="116"/>
      <c r="C24" s="180"/>
      <c r="D24" s="97"/>
    </row>
    <row r="25" spans="2:4">
      <c r="B25" s="29" t="s">
        <v>438</v>
      </c>
      <c r="C25" s="421">
        <f>SUM(C26:C37)</f>
        <v>36072471762.190002</v>
      </c>
      <c r="D25" s="97">
        <v>0</v>
      </c>
    </row>
    <row r="26" spans="2:4">
      <c r="B26" s="91" t="s">
        <v>918</v>
      </c>
      <c r="C26" s="180">
        <v>4655810958.8999996</v>
      </c>
      <c r="D26" s="97">
        <v>0</v>
      </c>
    </row>
    <row r="27" spans="2:4">
      <c r="B27" s="91" t="s">
        <v>918</v>
      </c>
      <c r="C27" s="180">
        <v>4656686301.3699999</v>
      </c>
      <c r="D27" s="97">
        <v>0</v>
      </c>
    </row>
    <row r="28" spans="2:4">
      <c r="B28" s="91" t="s">
        <v>918</v>
      </c>
      <c r="C28" s="180">
        <v>1402964383.5599999</v>
      </c>
      <c r="D28" s="97">
        <v>0</v>
      </c>
    </row>
    <row r="29" spans="2:4">
      <c r="B29" s="91" t="s">
        <v>918</v>
      </c>
      <c r="C29" s="180">
        <v>1830772602.74</v>
      </c>
      <c r="D29" s="97">
        <v>0</v>
      </c>
    </row>
    <row r="30" spans="2:4">
      <c r="B30" s="91" t="s">
        <v>918</v>
      </c>
      <c r="C30" s="180">
        <v>1060407123.29</v>
      </c>
      <c r="D30" s="97">
        <v>0</v>
      </c>
    </row>
    <row r="31" spans="2:4">
      <c r="B31" s="91" t="s">
        <v>918</v>
      </c>
      <c r="C31" s="180">
        <v>3807462191.7800002</v>
      </c>
      <c r="D31" s="97"/>
    </row>
    <row r="32" spans="2:4">
      <c r="B32" s="91" t="s">
        <v>918</v>
      </c>
      <c r="C32" s="180">
        <v>457212328.76999998</v>
      </c>
      <c r="D32" s="97"/>
    </row>
    <row r="33" spans="2:5">
      <c r="B33" s="91" t="s">
        <v>918</v>
      </c>
      <c r="C33" s="180">
        <v>4563172602.7399998</v>
      </c>
      <c r="D33" s="97"/>
    </row>
    <row r="34" spans="2:5">
      <c r="B34" s="91" t="s">
        <v>918</v>
      </c>
      <c r="C34" s="180">
        <v>4735143544</v>
      </c>
      <c r="D34" s="97"/>
    </row>
    <row r="35" spans="2:5">
      <c r="B35" s="91" t="s">
        <v>895</v>
      </c>
      <c r="C35" s="180">
        <v>4500000000</v>
      </c>
      <c r="D35" s="97"/>
    </row>
    <row r="36" spans="2:5">
      <c r="B36" s="91" t="s">
        <v>918</v>
      </c>
      <c r="C36" s="180">
        <v>6944030136.9899998</v>
      </c>
      <c r="D36" s="97"/>
    </row>
    <row r="37" spans="2:5">
      <c r="B37" s="116" t="s">
        <v>976</v>
      </c>
      <c r="C37" s="180">
        <f>-2541190410.95-1</f>
        <v>-2541190411.9499998</v>
      </c>
      <c r="D37" s="97">
        <v>0</v>
      </c>
    </row>
    <row r="38" spans="2:5">
      <c r="B38" s="116"/>
      <c r="C38" s="180"/>
      <c r="D38" s="97"/>
    </row>
    <row r="39" spans="2:5">
      <c r="B39" s="121" t="str">
        <f>+'NOTA J OTROS ACTIVOS CTES y NO '!B12</f>
        <v>Total al 30/06/2022</v>
      </c>
      <c r="C39" s="301">
        <f>+C25+C8</f>
        <v>66668962620.544006</v>
      </c>
      <c r="D39" s="97">
        <v>0</v>
      </c>
      <c r="E39" s="39"/>
    </row>
    <row r="40" spans="2:5">
      <c r="B40" s="121" t="str">
        <f>+'NOTA J OTROS ACTIVOS CTES y NO '!B13</f>
        <v>Total al 31/12/2021</v>
      </c>
      <c r="C40" s="301">
        <v>131306947284.74202</v>
      </c>
      <c r="D40" s="97">
        <v>0</v>
      </c>
      <c r="E40" s="39"/>
    </row>
    <row r="41" spans="2:5">
      <c r="C41" s="39"/>
    </row>
    <row r="42" spans="2:5">
      <c r="C42" s="39"/>
      <c r="D42" s="39"/>
    </row>
    <row r="43" spans="2:5">
      <c r="B43" s="29" t="s">
        <v>338</v>
      </c>
      <c r="C43" s="129" t="s">
        <v>436</v>
      </c>
      <c r="D43" s="129" t="s">
        <v>437</v>
      </c>
    </row>
    <row r="44" spans="2:5">
      <c r="B44" s="33" t="s">
        <v>920</v>
      </c>
      <c r="C44" s="53">
        <f>+'[4]EEFF '!$B$107</f>
        <v>552828248</v>
      </c>
      <c r="D44" s="53"/>
    </row>
    <row r="45" spans="2:5">
      <c r="B45" s="33" t="s">
        <v>921</v>
      </c>
      <c r="C45" s="53">
        <f>+'[4]EEFF '!$B$108</f>
        <v>151144983</v>
      </c>
      <c r="D45" s="53">
        <v>0</v>
      </c>
    </row>
    <row r="46" spans="2:5">
      <c r="B46" s="33" t="s">
        <v>922</v>
      </c>
      <c r="C46" s="53">
        <f>+'[4]EEFF '!$B$112</f>
        <v>1866625148</v>
      </c>
      <c r="D46" s="53">
        <v>0</v>
      </c>
    </row>
    <row r="47" spans="2:5">
      <c r="B47" s="33" t="s">
        <v>923</v>
      </c>
      <c r="C47" s="53">
        <v>0</v>
      </c>
      <c r="D47" s="53"/>
    </row>
    <row r="48" spans="2:5">
      <c r="B48" s="33" t="s">
        <v>52</v>
      </c>
      <c r="C48" s="53">
        <v>0</v>
      </c>
      <c r="D48" s="53"/>
    </row>
    <row r="49" spans="2:4">
      <c r="B49" s="121" t="str">
        <f>+B39</f>
        <v>Total al 30/06/2022</v>
      </c>
      <c r="C49" s="118">
        <f>SUM(C44:C48)</f>
        <v>2570598379</v>
      </c>
      <c r="D49" s="53">
        <v>0</v>
      </c>
    </row>
    <row r="50" spans="2:4">
      <c r="B50" s="121" t="str">
        <f>+B40</f>
        <v>Total al 31/12/2021</v>
      </c>
      <c r="C50" s="118">
        <v>-240243328</v>
      </c>
      <c r="D50" s="118">
        <v>0</v>
      </c>
    </row>
    <row r="52" spans="2:4">
      <c r="C52" s="39">
        <f>+C39+C49-'Balance Gral. Resol. 30'!G22</f>
        <v>-0.45599365234375</v>
      </c>
    </row>
    <row r="53" spans="2:4">
      <c r="C53" s="39">
        <f>+C40+C50-'Balance Gral. Resol. 30'!H22</f>
        <v>-0.2579803466796875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tabColor rgb="FF002060"/>
  </sheetPr>
  <dimension ref="B1:H17"/>
  <sheetViews>
    <sheetView showGridLines="0" zoomScale="112" zoomScaleNormal="112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28" style="25" bestFit="1" customWidth="1"/>
    <col min="3" max="3" width="15" style="25" customWidth="1"/>
    <col min="4" max="4" width="15" style="112" customWidth="1"/>
    <col min="5" max="5" width="13.44140625" style="25" customWidth="1"/>
    <col min="6" max="6" width="14" style="25" hidden="1" customWidth="1"/>
    <col min="7" max="7" width="23.33203125" style="25" hidden="1" customWidth="1"/>
    <col min="8" max="8" width="14.33203125" style="25" hidden="1" customWidth="1"/>
    <col min="9" max="9" width="14.33203125" style="25" customWidth="1"/>
    <col min="10" max="16384" width="11.44140625" style="25"/>
  </cols>
  <sheetData>
    <row r="1" spans="2:8" ht="37.200000000000003" customHeight="1">
      <c r="C1" s="203"/>
    </row>
    <row r="2" spans="2:8" ht="14.4">
      <c r="C2" s="357"/>
    </row>
    <row r="3" spans="2:8">
      <c r="B3" s="699" t="s">
        <v>516</v>
      </c>
      <c r="C3" s="699"/>
      <c r="D3" s="699"/>
    </row>
    <row r="4" spans="2:8">
      <c r="B4" s="356"/>
      <c r="C4" s="356"/>
      <c r="D4" s="356"/>
    </row>
    <row r="5" spans="2:8" ht="14.4">
      <c r="B5" s="420" t="s">
        <v>666</v>
      </c>
    </row>
    <row r="6" spans="2:8" ht="34.5" customHeight="1">
      <c r="B6" s="29" t="s">
        <v>338</v>
      </c>
      <c r="C6" s="129" t="s">
        <v>436</v>
      </c>
      <c r="D6" s="129" t="s">
        <v>437</v>
      </c>
    </row>
    <row r="7" spans="2:8">
      <c r="B7" s="33" t="s">
        <v>924</v>
      </c>
      <c r="C7" s="53">
        <f>191297494-109998</f>
        <v>191187496</v>
      </c>
      <c r="D7" s="53"/>
      <c r="H7" s="130"/>
    </row>
    <row r="8" spans="2:8">
      <c r="B8" s="33" t="s">
        <v>925</v>
      </c>
      <c r="C8" s="53">
        <v>17538663</v>
      </c>
      <c r="D8" s="53">
        <v>0</v>
      </c>
      <c r="H8" s="130"/>
    </row>
    <row r="9" spans="2:8">
      <c r="B9" s="33" t="s">
        <v>926</v>
      </c>
      <c r="C9" s="53">
        <v>2378429</v>
      </c>
      <c r="D9" s="53">
        <v>0</v>
      </c>
      <c r="H9" s="130"/>
    </row>
    <row r="10" spans="2:8">
      <c r="B10" s="33" t="s">
        <v>927</v>
      </c>
      <c r="C10" s="53">
        <v>1021050</v>
      </c>
      <c r="D10" s="53"/>
      <c r="E10" s="115"/>
      <c r="F10" s="115"/>
      <c r="H10" s="130"/>
    </row>
    <row r="11" spans="2:8">
      <c r="B11" s="33" t="s">
        <v>928</v>
      </c>
      <c r="C11" s="53">
        <v>4770946</v>
      </c>
      <c r="D11" s="53"/>
      <c r="E11" s="115"/>
      <c r="F11" s="115"/>
      <c r="H11" s="130"/>
    </row>
    <row r="12" spans="2:8">
      <c r="B12" s="33" t="s">
        <v>929</v>
      </c>
      <c r="C12" s="53">
        <v>1602203</v>
      </c>
      <c r="D12" s="53"/>
      <c r="E12" s="115"/>
      <c r="F12" s="115"/>
      <c r="H12" s="130"/>
    </row>
    <row r="13" spans="2:8">
      <c r="B13" s="121" t="str">
        <f>+'NOTA K PRESTAMOS'!B39</f>
        <v>Total al 30/06/2022</v>
      </c>
      <c r="C13" s="118">
        <f>SUM(C7:C12)</f>
        <v>218498787</v>
      </c>
      <c r="D13" s="53">
        <v>0</v>
      </c>
      <c r="E13" s="39">
        <v>0</v>
      </c>
      <c r="F13" s="131"/>
      <c r="G13" s="55"/>
    </row>
    <row r="14" spans="2:8">
      <c r="B14" s="121" t="str">
        <f>+'NOTA K PRESTAMOS'!B40</f>
        <v>Total al 31/12/2021</v>
      </c>
      <c r="C14" s="118">
        <v>535305930</v>
      </c>
      <c r="D14" s="118">
        <v>0</v>
      </c>
      <c r="E14" s="39"/>
    </row>
    <row r="15" spans="2:8">
      <c r="C15" s="112"/>
    </row>
    <row r="16" spans="2:8">
      <c r="C16" s="55">
        <f>+C13-'Balance Gral. Resol. 30'!G12</f>
        <v>0</v>
      </c>
    </row>
    <row r="17" spans="3:3">
      <c r="C17" s="55"/>
    </row>
  </sheetData>
  <mergeCells count="1">
    <mergeCell ref="B3:D3"/>
  </mergeCells>
  <hyperlinks>
    <hyperlink ref="B5" location="'Balance Gral. Resol. 30'!A1" display="'Balance Gral. Resol. 30'!A1" xr:uid="{00000000-0004-0000-1100-000000000000}"/>
  </hyperlink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tabColor rgb="FF002060"/>
  </sheetPr>
  <dimension ref="B1:H46"/>
  <sheetViews>
    <sheetView showGridLines="0" topLeftCell="A19" zoomScale="125" zoomScaleNormal="85" workbookViewId="0">
      <selection activeCell="E92" sqref="E92"/>
    </sheetView>
  </sheetViews>
  <sheetFormatPr baseColWidth="10" defaultColWidth="11.44140625" defaultRowHeight="12"/>
  <cols>
    <col min="1" max="1" width="4.6640625" style="132" customWidth="1"/>
    <col min="2" max="2" width="47.109375" style="132" customWidth="1"/>
    <col min="3" max="4" width="20.6640625" style="132" customWidth="1"/>
    <col min="5" max="5" width="11.44140625" style="132"/>
    <col min="6" max="6" width="11.6640625" style="132" hidden="1" customWidth="1"/>
    <col min="7" max="7" width="13.33203125" style="132" hidden="1" customWidth="1"/>
    <col min="8" max="8" width="16.44140625" style="132" hidden="1" customWidth="1"/>
    <col min="9" max="9" width="11.44140625" style="132"/>
    <col min="10" max="10" width="13.44140625" style="132" customWidth="1"/>
    <col min="11" max="16384" width="11.44140625" style="132"/>
  </cols>
  <sheetData>
    <row r="1" spans="2:4" ht="49.95" customHeight="1">
      <c r="C1" s="203"/>
    </row>
    <row r="2" spans="2:4" ht="14.4">
      <c r="B2" s="423" t="s">
        <v>666</v>
      </c>
      <c r="C2" s="357"/>
    </row>
    <row r="3" spans="2:4" ht="14.4">
      <c r="B3" s="423"/>
      <c r="C3" s="357"/>
    </row>
    <row r="4" spans="2:4" ht="24">
      <c r="B4" s="133" t="s">
        <v>1025</v>
      </c>
    </row>
    <row r="6" spans="2:4">
      <c r="B6" s="122" t="s">
        <v>338</v>
      </c>
      <c r="C6" s="122" t="s">
        <v>439</v>
      </c>
      <c r="D6" s="122" t="s">
        <v>440</v>
      </c>
    </row>
    <row r="7" spans="2:4" ht="24">
      <c r="B7" s="134" t="s">
        <v>1026</v>
      </c>
      <c r="C7" s="135">
        <v>0</v>
      </c>
      <c r="D7" s="136">
        <v>0</v>
      </c>
    </row>
    <row r="8" spans="2:4" ht="24">
      <c r="B8" s="134" t="s">
        <v>1027</v>
      </c>
      <c r="C8" s="135">
        <v>0</v>
      </c>
      <c r="D8" s="136">
        <v>0</v>
      </c>
    </row>
    <row r="9" spans="2:4">
      <c r="B9" s="137" t="str">
        <f>+'NOTA L DOCUM y CTAS A PAG'!B13</f>
        <v>Total al 30/06/2022</v>
      </c>
      <c r="C9" s="138">
        <f>SUM(C7:C8)</f>
        <v>0</v>
      </c>
      <c r="D9" s="136">
        <v>0</v>
      </c>
    </row>
    <row r="10" spans="2:4">
      <c r="B10" s="137" t="str">
        <f>+'NOTA L DOCUM y CTAS A PAG'!B14</f>
        <v>Total al 31/12/2021</v>
      </c>
      <c r="C10" s="139">
        <v>5726846168</v>
      </c>
      <c r="D10" s="136">
        <v>0</v>
      </c>
    </row>
    <row r="11" spans="2:4">
      <c r="C11" s="151">
        <f>+C9-'Balance Gral. Resol. 30'!G11</f>
        <v>0</v>
      </c>
    </row>
    <row r="12" spans="2:4">
      <c r="B12" s="133" t="s">
        <v>517</v>
      </c>
      <c r="C12" s="587">
        <f>+C10-'Balance Gral. Resol. 30'!H11</f>
        <v>0</v>
      </c>
    </row>
    <row r="13" spans="2:4" ht="24" customHeight="1">
      <c r="B13" s="781" t="s">
        <v>441</v>
      </c>
      <c r="C13" s="781"/>
      <c r="D13" s="781"/>
    </row>
    <row r="14" spans="2:4">
      <c r="B14" s="140"/>
    </row>
    <row r="15" spans="2:4" ht="24" customHeight="1">
      <c r="B15" s="782" t="s">
        <v>518</v>
      </c>
      <c r="C15" s="782"/>
      <c r="D15" s="782"/>
    </row>
    <row r="16" spans="2:4">
      <c r="B16" s="133"/>
    </row>
    <row r="17" spans="2:7" ht="24">
      <c r="B17" s="122" t="s">
        <v>447</v>
      </c>
      <c r="C17" s="122" t="s">
        <v>448</v>
      </c>
      <c r="D17" s="122" t="s">
        <v>449</v>
      </c>
      <c r="E17" s="122" t="s">
        <v>454</v>
      </c>
      <c r="F17" s="122" t="s">
        <v>439</v>
      </c>
      <c r="G17" s="122" t="s">
        <v>440</v>
      </c>
    </row>
    <row r="18" spans="2:7" ht="24">
      <c r="B18" s="134" t="s">
        <v>1028</v>
      </c>
      <c r="C18" s="134" t="s">
        <v>1029</v>
      </c>
      <c r="D18" s="134" t="s">
        <v>1030</v>
      </c>
      <c r="E18" s="424" t="s">
        <v>1031</v>
      </c>
      <c r="F18" s="135">
        <v>200055</v>
      </c>
      <c r="G18" s="135">
        <v>0</v>
      </c>
    </row>
    <row r="19" spans="2:7">
      <c r="B19" s="134"/>
      <c r="C19" s="134"/>
      <c r="D19" s="134"/>
      <c r="E19" s="424">
        <v>0</v>
      </c>
      <c r="F19" s="135">
        <v>0</v>
      </c>
      <c r="G19" s="135">
        <v>0</v>
      </c>
    </row>
    <row r="20" spans="2:7">
      <c r="B20" s="137" t="str">
        <f>+B9</f>
        <v>Total al 30/06/2022</v>
      </c>
      <c r="C20" s="137"/>
      <c r="D20" s="137"/>
      <c r="E20" s="425"/>
      <c r="F20" s="350">
        <f>SUM(F18:F19)</f>
        <v>200055</v>
      </c>
      <c r="G20" s="350">
        <v>0</v>
      </c>
    </row>
    <row r="21" spans="2:7">
      <c r="B21" s="137" t="str">
        <f>+B10</f>
        <v>Total al 31/12/2021</v>
      </c>
      <c r="C21" s="137"/>
      <c r="D21" s="137"/>
      <c r="E21" s="137"/>
      <c r="F21" s="139">
        <v>110000</v>
      </c>
      <c r="G21" s="139">
        <v>0</v>
      </c>
    </row>
    <row r="22" spans="2:7">
      <c r="F22" s="161">
        <f>+F20-'Balance Gral. Resol. 30'!G13</f>
        <v>0</v>
      </c>
    </row>
    <row r="23" spans="2:7">
      <c r="B23" s="141"/>
      <c r="C23" s="142"/>
      <c r="D23" s="143"/>
      <c r="F23" s="587">
        <f>+F21-'Balance Gral. Resol. 30'!H13</f>
        <v>0</v>
      </c>
    </row>
    <row r="24" spans="2:7" ht="24" customHeight="1">
      <c r="B24" s="782" t="s">
        <v>519</v>
      </c>
      <c r="C24" s="782"/>
      <c r="D24" s="782"/>
      <c r="E24" s="782"/>
      <c r="F24" s="782"/>
      <c r="G24" s="782"/>
    </row>
    <row r="25" spans="2:7">
      <c r="B25" s="781" t="s">
        <v>442</v>
      </c>
      <c r="C25" s="781"/>
      <c r="D25" s="781"/>
      <c r="E25" s="781"/>
      <c r="F25" s="781"/>
      <c r="G25" s="781"/>
    </row>
    <row r="27" spans="2:7">
      <c r="B27" s="133" t="s">
        <v>520</v>
      </c>
    </row>
    <row r="29" spans="2:7">
      <c r="B29" s="35" t="s">
        <v>338</v>
      </c>
      <c r="C29" s="129" t="s">
        <v>443</v>
      </c>
      <c r="D29" s="129" t="s">
        <v>444</v>
      </c>
    </row>
    <row r="30" spans="2:7">
      <c r="B30" s="144" t="s">
        <v>685</v>
      </c>
      <c r="C30" s="147">
        <v>56413477</v>
      </c>
      <c r="D30" s="146">
        <v>0</v>
      </c>
    </row>
    <row r="31" spans="2:7">
      <c r="B31" s="144" t="s">
        <v>537</v>
      </c>
      <c r="C31" s="147">
        <v>-1</v>
      </c>
      <c r="D31" s="146">
        <v>0</v>
      </c>
    </row>
    <row r="32" spans="2:7">
      <c r="B32" s="144" t="s">
        <v>332</v>
      </c>
      <c r="C32" s="148">
        <v>0</v>
      </c>
      <c r="D32" s="146">
        <v>0</v>
      </c>
    </row>
    <row r="33" spans="2:4">
      <c r="B33" s="137" t="str">
        <f>+B20</f>
        <v>Total al 30/06/2022</v>
      </c>
      <c r="C33" s="138">
        <f>SUM(C30:C32)</f>
        <v>56413476</v>
      </c>
      <c r="D33" s="146">
        <v>0</v>
      </c>
    </row>
    <row r="34" spans="2:4">
      <c r="B34" s="137" t="str">
        <f>+B21</f>
        <v>Total al 31/12/2021</v>
      </c>
      <c r="C34" s="149">
        <f>+'Balance Gral. Resol. 30'!H31</f>
        <v>1790587334</v>
      </c>
      <c r="D34" s="146">
        <v>0</v>
      </c>
    </row>
    <row r="36" spans="2:4">
      <c r="C36" s="151">
        <f>+C33-'Balance Gral. Resol. 30'!G31</f>
        <v>0</v>
      </c>
    </row>
    <row r="37" spans="2:4">
      <c r="C37" s="587">
        <f>+C34-'Balance Gral. Resol. 30'!H31</f>
        <v>0</v>
      </c>
    </row>
    <row r="38" spans="2:4">
      <c r="B38" s="35" t="s">
        <v>338</v>
      </c>
      <c r="C38" s="129" t="s">
        <v>443</v>
      </c>
      <c r="D38" s="129" t="s">
        <v>444</v>
      </c>
    </row>
    <row r="39" spans="2:4">
      <c r="B39" s="144" t="s">
        <v>977</v>
      </c>
      <c r="C39" s="145">
        <f>+'[4]EEFF '!$B$125</f>
        <v>10682000000</v>
      </c>
      <c r="D39" s="146">
        <v>0</v>
      </c>
    </row>
    <row r="40" spans="2:4">
      <c r="B40" s="144" t="s">
        <v>978</v>
      </c>
      <c r="C40" s="145">
        <v>0</v>
      </c>
      <c r="D40" s="146"/>
    </row>
    <row r="41" spans="2:4">
      <c r="B41" s="144" t="s">
        <v>979</v>
      </c>
      <c r="C41" s="145">
        <f>+'[4]EEFF '!$B$127+'[4]EEFF '!$B$128</f>
        <v>16887304</v>
      </c>
      <c r="D41" s="146"/>
    </row>
    <row r="42" spans="2:4">
      <c r="B42" s="144" t="s">
        <v>1032</v>
      </c>
      <c r="C42" s="145">
        <f>+'[4]EEFF '!$B$126</f>
        <v>2541190411</v>
      </c>
      <c r="D42" s="146"/>
    </row>
    <row r="43" spans="2:4">
      <c r="B43" s="137" t="str">
        <f>+B33</f>
        <v>Total al 30/06/2022</v>
      </c>
      <c r="C43" s="138">
        <f>SUM(C39:C42)</f>
        <v>13240077715</v>
      </c>
      <c r="D43" s="146">
        <v>0</v>
      </c>
    </row>
    <row r="44" spans="2:4">
      <c r="B44" s="137" t="str">
        <f>+B34</f>
        <v>Total al 31/12/2021</v>
      </c>
      <c r="C44" s="149">
        <f>+'Balance Gral. Resol. 30'!H38</f>
        <v>14244884</v>
      </c>
      <c r="D44" s="146">
        <v>0</v>
      </c>
    </row>
    <row r="46" spans="2:4">
      <c r="C46" s="151">
        <f>+C43-'Balance Gral. Resol. 30'!G38</f>
        <v>0</v>
      </c>
    </row>
  </sheetData>
  <mergeCells count="4">
    <mergeCell ref="B13:D13"/>
    <mergeCell ref="B15:D15"/>
    <mergeCell ref="B24:G24"/>
    <mergeCell ref="B25:G25"/>
  </mergeCells>
  <hyperlinks>
    <hyperlink ref="B2" location="'Balance Gral. Resol. 30'!A1" display="'Balance Gral. Resol. 30'!A1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5D8F-87BF-4F85-BFAA-B4C43A476FEC}">
  <sheetPr>
    <tabColor rgb="FF002060"/>
  </sheetPr>
  <dimension ref="A1:K323"/>
  <sheetViews>
    <sheetView showGridLines="0" topLeftCell="A154" zoomScaleNormal="100" workbookViewId="0">
      <selection activeCell="E92" sqref="E92"/>
    </sheetView>
  </sheetViews>
  <sheetFormatPr baseColWidth="10" defaultColWidth="11.5546875" defaultRowHeight="14.4"/>
  <cols>
    <col min="1" max="1" width="18.5546875" style="614" customWidth="1"/>
    <col min="2" max="2" width="24.33203125" style="614" customWidth="1"/>
    <col min="3" max="3" width="23.33203125" style="614" bestFit="1" customWidth="1"/>
    <col min="4" max="4" width="20.44140625" style="614" customWidth="1"/>
    <col min="5" max="5" width="16" style="614" customWidth="1"/>
    <col min="6" max="6" width="11.6640625" customWidth="1"/>
    <col min="7" max="7" width="22.109375" customWidth="1"/>
    <col min="8" max="8" width="11.6640625" customWidth="1"/>
    <col min="9" max="9" width="16.5546875" style="623" bestFit="1" customWidth="1"/>
    <col min="10" max="10" width="12.109375" bestFit="1" customWidth="1"/>
  </cols>
  <sheetData>
    <row r="1" spans="1:6" ht="70.2" customHeight="1">
      <c r="A1" s="613"/>
    </row>
    <row r="2" spans="1:6" ht="21">
      <c r="A2" s="338" t="s">
        <v>981</v>
      </c>
    </row>
    <row r="3" spans="1:6" ht="15" thickBot="1">
      <c r="A3" s="339"/>
      <c r="B3" s="108"/>
      <c r="C3" s="108"/>
      <c r="D3" s="108"/>
      <c r="E3" s="108"/>
    </row>
    <row r="4" spans="1:6" ht="20.399999999999999" customHeight="1">
      <c r="A4" s="729" t="s">
        <v>550</v>
      </c>
      <c r="B4" s="730"/>
      <c r="C4" s="731" t="s">
        <v>551</v>
      </c>
      <c r="D4" s="731"/>
      <c r="E4" s="731"/>
      <c r="F4" s="615"/>
    </row>
    <row r="5" spans="1:6" ht="20.399999999999999" customHeight="1">
      <c r="A5" s="706"/>
      <c r="B5" s="726"/>
      <c r="C5" s="707" t="s">
        <v>982</v>
      </c>
      <c r="D5" s="707"/>
      <c r="E5" s="707"/>
      <c r="F5" s="616"/>
    </row>
    <row r="6" spans="1:6" ht="20.399999999999999" customHeight="1">
      <c r="A6" s="706"/>
      <c r="B6" s="726"/>
      <c r="C6" s="707" t="s">
        <v>983</v>
      </c>
      <c r="D6" s="707"/>
      <c r="E6" s="707"/>
      <c r="F6" s="616"/>
    </row>
    <row r="7" spans="1:6" ht="20.399999999999999" customHeight="1">
      <c r="A7" s="706"/>
      <c r="B7" s="726"/>
      <c r="C7" s="707" t="s">
        <v>984</v>
      </c>
      <c r="D7" s="707"/>
      <c r="E7" s="707"/>
      <c r="F7" s="616"/>
    </row>
    <row r="8" spans="1:6" ht="20.399999999999999" customHeight="1">
      <c r="A8" s="706"/>
      <c r="B8" s="726"/>
      <c r="C8" s="707" t="s">
        <v>985</v>
      </c>
      <c r="D8" s="707"/>
      <c r="E8" s="707"/>
      <c r="F8" s="616"/>
    </row>
    <row r="9" spans="1:6">
      <c r="A9" s="706"/>
      <c r="B9" s="726"/>
      <c r="C9" s="707" t="s">
        <v>986</v>
      </c>
      <c r="D9" s="707"/>
      <c r="E9" s="707"/>
      <c r="F9" s="616"/>
    </row>
    <row r="10" spans="1:6" ht="14.4" customHeight="1">
      <c r="A10" s="706"/>
      <c r="B10" s="726"/>
      <c r="C10" s="732" t="s">
        <v>552</v>
      </c>
      <c r="D10" s="732"/>
      <c r="E10" s="732"/>
      <c r="F10" s="616"/>
    </row>
    <row r="11" spans="1:6">
      <c r="A11" s="706"/>
      <c r="B11" s="726"/>
      <c r="C11" s="707" t="s">
        <v>987</v>
      </c>
      <c r="D11" s="707"/>
      <c r="E11" s="707"/>
      <c r="F11" s="616"/>
    </row>
    <row r="12" spans="1:6">
      <c r="A12" s="722"/>
      <c r="B12" s="723"/>
      <c r="C12" s="725" t="s">
        <v>988</v>
      </c>
      <c r="D12" s="725"/>
      <c r="E12" s="725"/>
      <c r="F12" s="617"/>
    </row>
    <row r="13" spans="1:6" ht="20.399999999999999" customHeight="1">
      <c r="A13" s="720" t="s">
        <v>553</v>
      </c>
      <c r="B13" s="721"/>
      <c r="C13" s="724" t="s">
        <v>989</v>
      </c>
      <c r="D13" s="724"/>
      <c r="E13" s="724"/>
      <c r="F13" s="618"/>
    </row>
    <row r="14" spans="1:6" ht="20.399999999999999" customHeight="1">
      <c r="A14" s="706"/>
      <c r="B14" s="726"/>
      <c r="C14" s="707" t="s">
        <v>990</v>
      </c>
      <c r="D14" s="707"/>
      <c r="E14" s="707"/>
      <c r="F14" s="616"/>
    </row>
    <row r="15" spans="1:6" ht="40.950000000000003" customHeight="1">
      <c r="A15" s="722"/>
      <c r="B15" s="723"/>
      <c r="C15" s="728" t="s">
        <v>991</v>
      </c>
      <c r="D15" s="728"/>
      <c r="E15" s="728"/>
      <c r="F15" s="617"/>
    </row>
    <row r="16" spans="1:6">
      <c r="A16" s="720" t="s">
        <v>554</v>
      </c>
      <c r="B16" s="721"/>
      <c r="C16" s="724" t="s">
        <v>992</v>
      </c>
      <c r="D16" s="724"/>
      <c r="E16" s="724"/>
      <c r="F16" s="618"/>
    </row>
    <row r="17" spans="1:6">
      <c r="A17" s="706"/>
      <c r="B17" s="726"/>
      <c r="C17" s="707" t="s">
        <v>993</v>
      </c>
      <c r="D17" s="707"/>
      <c r="E17" s="707"/>
      <c r="F17" s="616"/>
    </row>
    <row r="18" spans="1:6">
      <c r="A18" s="706"/>
      <c r="B18" s="726"/>
      <c r="C18" s="707" t="s">
        <v>994</v>
      </c>
      <c r="D18" s="707"/>
      <c r="E18" s="707"/>
      <c r="F18" s="616"/>
    </row>
    <row r="19" spans="1:6">
      <c r="A19" s="706"/>
      <c r="B19" s="726"/>
      <c r="C19" s="707" t="s">
        <v>995</v>
      </c>
      <c r="D19" s="707"/>
      <c r="E19" s="707"/>
      <c r="F19" s="616"/>
    </row>
    <row r="20" spans="1:6">
      <c r="A20" s="706"/>
      <c r="B20" s="726"/>
      <c r="C20" s="707" t="s">
        <v>996</v>
      </c>
      <c r="D20" s="707"/>
      <c r="E20" s="707"/>
      <c r="F20" s="616"/>
    </row>
    <row r="21" spans="1:6">
      <c r="A21" s="706"/>
      <c r="B21" s="726"/>
      <c r="C21" s="707" t="s">
        <v>997</v>
      </c>
      <c r="D21" s="707"/>
      <c r="E21" s="707"/>
      <c r="F21" s="616"/>
    </row>
    <row r="22" spans="1:6">
      <c r="A22" s="722"/>
      <c r="B22" s="723"/>
      <c r="C22" s="719"/>
      <c r="D22" s="719"/>
      <c r="E22" s="719"/>
      <c r="F22" s="617"/>
    </row>
    <row r="23" spans="1:6" ht="20.399999999999999" customHeight="1">
      <c r="A23" s="720" t="s">
        <v>555</v>
      </c>
      <c r="B23" s="721"/>
      <c r="C23" s="724" t="s">
        <v>998</v>
      </c>
      <c r="D23" s="724"/>
      <c r="E23" s="724"/>
      <c r="F23" s="618"/>
    </row>
    <row r="24" spans="1:6" ht="20.399999999999999" customHeight="1">
      <c r="A24" s="722"/>
      <c r="B24" s="723"/>
      <c r="C24" s="725" t="s">
        <v>999</v>
      </c>
      <c r="D24" s="725"/>
      <c r="E24" s="725"/>
      <c r="F24" s="617"/>
    </row>
    <row r="25" spans="1:6">
      <c r="A25" s="706"/>
      <c r="B25" s="726"/>
      <c r="C25" s="727"/>
      <c r="D25" s="727"/>
      <c r="E25" s="727"/>
      <c r="F25" s="616"/>
    </row>
    <row r="26" spans="1:6">
      <c r="A26" s="706" t="s">
        <v>556</v>
      </c>
      <c r="B26" s="726"/>
      <c r="C26" s="362" t="s">
        <v>557</v>
      </c>
      <c r="D26" s="363" t="s">
        <v>558</v>
      </c>
      <c r="E26" s="364" t="s">
        <v>706</v>
      </c>
      <c r="F26" s="616"/>
    </row>
    <row r="27" spans="1:6">
      <c r="A27" s="712"/>
      <c r="B27" s="713"/>
      <c r="C27" s="360" t="s">
        <v>559</v>
      </c>
      <c r="D27" s="361" t="s">
        <v>560</v>
      </c>
      <c r="E27" s="365">
        <v>7173993</v>
      </c>
      <c r="F27" s="616"/>
    </row>
    <row r="28" spans="1:6">
      <c r="A28" s="712"/>
      <c r="B28" s="713"/>
      <c r="C28" s="360" t="s">
        <v>545</v>
      </c>
      <c r="D28" s="361" t="s">
        <v>561</v>
      </c>
      <c r="E28" s="365">
        <v>2034661</v>
      </c>
      <c r="F28" s="616"/>
    </row>
    <row r="29" spans="1:6">
      <c r="A29" s="712"/>
      <c r="B29" s="713"/>
      <c r="C29" s="360" t="s">
        <v>562</v>
      </c>
      <c r="D29" s="361" t="s">
        <v>563</v>
      </c>
      <c r="E29" s="365">
        <v>2040166</v>
      </c>
      <c r="F29" s="616"/>
    </row>
    <row r="30" spans="1:6">
      <c r="A30" s="712"/>
      <c r="B30" s="713"/>
      <c r="C30" s="360" t="s">
        <v>564</v>
      </c>
      <c r="D30" s="361" t="s">
        <v>565</v>
      </c>
      <c r="E30" s="365">
        <v>1488472</v>
      </c>
      <c r="F30" s="616"/>
    </row>
    <row r="31" spans="1:6">
      <c r="A31" s="712"/>
      <c r="B31" s="713"/>
      <c r="C31" s="360" t="s">
        <v>566</v>
      </c>
      <c r="D31" s="361" t="s">
        <v>565</v>
      </c>
      <c r="E31" s="365">
        <v>3357156</v>
      </c>
      <c r="F31" s="616"/>
    </row>
    <row r="32" spans="1:6">
      <c r="A32" s="712"/>
      <c r="B32" s="713"/>
      <c r="C32" s="360" t="s">
        <v>567</v>
      </c>
      <c r="D32" s="361" t="s">
        <v>568</v>
      </c>
      <c r="E32" s="365">
        <v>1246577</v>
      </c>
      <c r="F32" s="616"/>
    </row>
    <row r="33" spans="1:11">
      <c r="A33" s="592"/>
      <c r="B33" s="593"/>
      <c r="C33" s="619" t="s">
        <v>967</v>
      </c>
      <c r="D33" s="620" t="s">
        <v>569</v>
      </c>
      <c r="E33" s="621">
        <v>4305137</v>
      </c>
      <c r="F33" s="622"/>
    </row>
    <row r="34" spans="1:11">
      <c r="A34" s="712"/>
      <c r="B34" s="713"/>
      <c r="C34" s="619" t="s">
        <v>968</v>
      </c>
      <c r="D34" s="620" t="s">
        <v>570</v>
      </c>
      <c r="E34" s="621">
        <v>3958177</v>
      </c>
      <c r="F34" s="616"/>
    </row>
    <row r="35" spans="1:11">
      <c r="A35" s="712"/>
      <c r="B35" s="713"/>
      <c r="C35" s="624" t="s">
        <v>969</v>
      </c>
      <c r="D35" s="625" t="s">
        <v>571</v>
      </c>
      <c r="E35" s="626">
        <v>3830885</v>
      </c>
      <c r="F35" s="616"/>
    </row>
    <row r="36" spans="1:11">
      <c r="A36" s="712"/>
      <c r="B36" s="713"/>
      <c r="C36" s="709"/>
      <c r="D36" s="709"/>
      <c r="E36" s="709"/>
      <c r="F36" s="616"/>
    </row>
    <row r="37" spans="1:11">
      <c r="A37" s="712"/>
      <c r="B37" s="713"/>
      <c r="C37" s="362" t="s">
        <v>572</v>
      </c>
      <c r="D37" s="363" t="s">
        <v>610</v>
      </c>
      <c r="E37" s="363" t="s">
        <v>611</v>
      </c>
      <c r="F37" s="368" t="s">
        <v>573</v>
      </c>
      <c r="H37" s="623"/>
      <c r="I37"/>
      <c r="K37" s="623"/>
    </row>
    <row r="38" spans="1:11">
      <c r="A38" s="712"/>
      <c r="B38" s="713"/>
      <c r="C38" s="366" t="s">
        <v>574</v>
      </c>
      <c r="D38" s="367" t="s">
        <v>612</v>
      </c>
      <c r="E38" s="367" t="s">
        <v>614</v>
      </c>
      <c r="F38" s="369">
        <v>0.85</v>
      </c>
      <c r="H38" s="623"/>
      <c r="I38"/>
      <c r="K38" s="623"/>
    </row>
    <row r="39" spans="1:11">
      <c r="A39" s="712"/>
      <c r="B39" s="713"/>
      <c r="C39" s="360" t="s">
        <v>533</v>
      </c>
      <c r="D39" s="361" t="s">
        <v>612</v>
      </c>
      <c r="E39" s="361" t="s">
        <v>615</v>
      </c>
      <c r="F39" s="370">
        <v>0.7</v>
      </c>
      <c r="H39" s="623"/>
      <c r="I39" s="627"/>
      <c r="K39" s="623"/>
    </row>
    <row r="40" spans="1:11">
      <c r="A40" s="592"/>
      <c r="B40" s="593"/>
      <c r="C40" s="619" t="s">
        <v>575</v>
      </c>
      <c r="D40" s="620" t="s">
        <v>612</v>
      </c>
      <c r="E40" s="620" t="s">
        <v>613</v>
      </c>
      <c r="F40" s="628">
        <v>0.998</v>
      </c>
      <c r="H40" s="623"/>
      <c r="I40" s="627"/>
      <c r="K40" s="623"/>
    </row>
    <row r="41" spans="1:11">
      <c r="A41" s="592"/>
      <c r="B41" s="593"/>
      <c r="C41" s="619" t="s">
        <v>1000</v>
      </c>
      <c r="D41" s="620" t="s">
        <v>612</v>
      </c>
      <c r="E41" s="620" t="s">
        <v>1001</v>
      </c>
      <c r="F41" s="628">
        <v>0.66400000000000003</v>
      </c>
      <c r="H41" s="623"/>
      <c r="I41" s="627"/>
      <c r="K41" s="623"/>
    </row>
    <row r="42" spans="1:11" ht="15" thickBot="1">
      <c r="A42" s="714"/>
      <c r="B42" s="713"/>
      <c r="C42" s="360" t="s">
        <v>577</v>
      </c>
      <c r="D42" s="361" t="s">
        <v>612</v>
      </c>
      <c r="E42" s="361" t="s">
        <v>705</v>
      </c>
      <c r="F42" s="370">
        <v>0.7</v>
      </c>
      <c r="H42" s="623"/>
      <c r="I42" s="627"/>
      <c r="K42" s="623"/>
    </row>
    <row r="43" spans="1:11">
      <c r="A43" s="591"/>
      <c r="B43" s="715"/>
      <c r="C43" s="716"/>
      <c r="D43" s="716"/>
      <c r="E43" s="716"/>
      <c r="F43" s="615"/>
      <c r="H43" s="623"/>
    </row>
    <row r="44" spans="1:11" ht="66" customHeight="1">
      <c r="A44" s="591" t="s">
        <v>576</v>
      </c>
      <c r="B44" s="717" t="s">
        <v>1002</v>
      </c>
      <c r="C44" s="718"/>
      <c r="D44" s="718"/>
      <c r="E44" s="718"/>
      <c r="F44" s="616"/>
      <c r="H44" s="623"/>
    </row>
    <row r="45" spans="1:11" ht="26.4" customHeight="1">
      <c r="A45" s="591"/>
      <c r="B45" s="706" t="s">
        <v>1003</v>
      </c>
      <c r="C45" s="707"/>
      <c r="D45" s="707"/>
      <c r="E45" s="707"/>
      <c r="F45" s="616"/>
    </row>
    <row r="46" spans="1:11" ht="26.4" customHeight="1">
      <c r="A46" s="592"/>
      <c r="B46" s="706" t="s">
        <v>1004</v>
      </c>
      <c r="C46" s="707"/>
      <c r="D46" s="707"/>
      <c r="E46" s="707"/>
      <c r="F46" s="616"/>
    </row>
    <row r="47" spans="1:11" ht="26.4" customHeight="1">
      <c r="A47" s="592"/>
      <c r="B47" s="706" t="s">
        <v>1005</v>
      </c>
      <c r="C47" s="707"/>
      <c r="D47" s="707"/>
      <c r="E47" s="707"/>
      <c r="F47" s="616"/>
    </row>
    <row r="48" spans="1:11" ht="26.4" customHeight="1">
      <c r="A48" s="592"/>
      <c r="B48" s="706" t="s">
        <v>1006</v>
      </c>
      <c r="C48" s="707"/>
      <c r="D48" s="707"/>
      <c r="E48" s="707"/>
      <c r="F48" s="616"/>
    </row>
    <row r="49" spans="1:10">
      <c r="A49" s="592"/>
      <c r="B49" s="708"/>
      <c r="C49" s="709"/>
      <c r="D49" s="709"/>
      <c r="E49" s="709"/>
      <c r="F49" s="616"/>
    </row>
    <row r="50" spans="1:10" ht="15" thickBot="1">
      <c r="A50" s="594"/>
      <c r="B50" s="710"/>
      <c r="C50" s="711"/>
      <c r="D50" s="711"/>
      <c r="E50" s="711"/>
      <c r="F50" s="629"/>
    </row>
    <row r="51" spans="1:10">
      <c r="A51" s="339"/>
      <c r="B51" s="339"/>
      <c r="C51" s="709"/>
      <c r="D51" s="709"/>
      <c r="E51" s="709"/>
    </row>
    <row r="52" spans="1:10" ht="15" thickBot="1">
      <c r="A52" s="339"/>
      <c r="B52" s="108"/>
      <c r="C52" s="108"/>
      <c r="D52" s="108"/>
      <c r="E52" s="108"/>
    </row>
    <row r="53" spans="1:10" ht="15" thickBot="1">
      <c r="A53" s="700" t="s">
        <v>1007</v>
      </c>
      <c r="B53" s="701"/>
      <c r="C53" s="701"/>
      <c r="D53" s="701"/>
      <c r="E53" s="701"/>
      <c r="F53" s="701"/>
      <c r="G53" s="701"/>
      <c r="H53" s="701"/>
      <c r="I53" s="701"/>
      <c r="J53" s="702"/>
    </row>
    <row r="54" spans="1:10" s="25" customFormat="1" ht="48.6" thickBot="1">
      <c r="A54" s="630" t="s">
        <v>591</v>
      </c>
      <c r="B54" s="631" t="s">
        <v>592</v>
      </c>
      <c r="C54" s="631" t="s">
        <v>593</v>
      </c>
      <c r="D54" s="631" t="s">
        <v>594</v>
      </c>
      <c r="E54" s="631" t="s">
        <v>595</v>
      </c>
      <c r="F54" s="631" t="s">
        <v>596</v>
      </c>
      <c r="G54" s="631" t="s">
        <v>597</v>
      </c>
      <c r="H54" s="631" t="s">
        <v>598</v>
      </c>
      <c r="I54" s="631" t="s">
        <v>599</v>
      </c>
      <c r="J54" s="632" t="s">
        <v>1008</v>
      </c>
    </row>
    <row r="55" spans="1:10" s="373" customFormat="1" ht="12">
      <c r="A55" s="633">
        <v>1</v>
      </c>
      <c r="B55" s="634" t="s">
        <v>600</v>
      </c>
      <c r="C55" s="635">
        <v>1</v>
      </c>
      <c r="D55" s="635">
        <v>1</v>
      </c>
      <c r="E55" s="635">
        <v>126</v>
      </c>
      <c r="F55" s="635">
        <f t="shared" ref="F55:F118" si="0">E55-D55+1</f>
        <v>126</v>
      </c>
      <c r="G55" s="634" t="s">
        <v>601</v>
      </c>
      <c r="H55" s="635">
        <f t="shared" ref="H55:H118" si="1">F55</f>
        <v>126</v>
      </c>
      <c r="I55" s="635">
        <f>F55*1000000</f>
        <v>126000000</v>
      </c>
      <c r="J55" s="636">
        <f>I55/$I$144*100</f>
        <v>0.29464035169768965</v>
      </c>
    </row>
    <row r="56" spans="1:10" s="25" customFormat="1" ht="12">
      <c r="A56" s="637">
        <v>2</v>
      </c>
      <c r="B56" s="33" t="s">
        <v>600</v>
      </c>
      <c r="C56" s="189">
        <v>1</v>
      </c>
      <c r="D56" s="189">
        <v>127</v>
      </c>
      <c r="E56" s="189">
        <v>252</v>
      </c>
      <c r="F56" s="189">
        <f t="shared" si="0"/>
        <v>126</v>
      </c>
      <c r="G56" s="33" t="s">
        <v>601</v>
      </c>
      <c r="H56" s="189">
        <f t="shared" si="1"/>
        <v>126</v>
      </c>
      <c r="I56" s="189">
        <f t="shared" ref="I56:I119" si="2">F56*1000000</f>
        <v>126000000</v>
      </c>
      <c r="J56" s="636">
        <f t="shared" ref="J56:J119" si="3">I56/$I$144*100</f>
        <v>0.29464035169768965</v>
      </c>
    </row>
    <row r="57" spans="1:10" s="25" customFormat="1" ht="12">
      <c r="A57" s="637">
        <v>3</v>
      </c>
      <c r="B57" s="33" t="s">
        <v>600</v>
      </c>
      <c r="C57" s="189">
        <v>1</v>
      </c>
      <c r="D57" s="189">
        <v>253</v>
      </c>
      <c r="E57" s="189">
        <v>378</v>
      </c>
      <c r="F57" s="189">
        <f t="shared" si="0"/>
        <v>126</v>
      </c>
      <c r="G57" s="33" t="s">
        <v>601</v>
      </c>
      <c r="H57" s="189">
        <f t="shared" si="1"/>
        <v>126</v>
      </c>
      <c r="I57" s="189">
        <f t="shared" si="2"/>
        <v>126000000</v>
      </c>
      <c r="J57" s="636">
        <f t="shared" si="3"/>
        <v>0.29464035169768965</v>
      </c>
    </row>
    <row r="58" spans="1:10" s="25" customFormat="1" ht="12">
      <c r="A58" s="637">
        <v>4</v>
      </c>
      <c r="B58" s="33" t="s">
        <v>600</v>
      </c>
      <c r="C58" s="189">
        <v>1</v>
      </c>
      <c r="D58" s="189">
        <v>379</v>
      </c>
      <c r="E58" s="189">
        <v>441</v>
      </c>
      <c r="F58" s="189">
        <f>E58-D58+1</f>
        <v>63</v>
      </c>
      <c r="G58" s="33" t="s">
        <v>601</v>
      </c>
      <c r="H58" s="189">
        <f t="shared" si="1"/>
        <v>63</v>
      </c>
      <c r="I58" s="189">
        <f t="shared" si="2"/>
        <v>63000000</v>
      </c>
      <c r="J58" s="636">
        <f t="shared" si="3"/>
        <v>0.14732017584884483</v>
      </c>
    </row>
    <row r="59" spans="1:10" s="25" customFormat="1" ht="12">
      <c r="A59" s="637">
        <v>5</v>
      </c>
      <c r="B59" s="33" t="s">
        <v>602</v>
      </c>
      <c r="C59" s="189">
        <v>1</v>
      </c>
      <c r="D59" s="189">
        <v>442</v>
      </c>
      <c r="E59" s="189">
        <v>448</v>
      </c>
      <c r="F59" s="189">
        <f t="shared" si="0"/>
        <v>7</v>
      </c>
      <c r="G59" s="33" t="s">
        <v>601</v>
      </c>
      <c r="H59" s="189">
        <f t="shared" si="1"/>
        <v>7</v>
      </c>
      <c r="I59" s="189">
        <f t="shared" si="2"/>
        <v>7000000</v>
      </c>
      <c r="J59" s="636">
        <f t="shared" si="3"/>
        <v>1.6368908427649424E-2</v>
      </c>
    </row>
    <row r="60" spans="1:10" s="25" customFormat="1" ht="12">
      <c r="A60" s="637">
        <v>6</v>
      </c>
      <c r="B60" s="33" t="s">
        <v>602</v>
      </c>
      <c r="C60" s="189">
        <v>1</v>
      </c>
      <c r="D60" s="189">
        <v>449</v>
      </c>
      <c r="E60" s="189">
        <v>489</v>
      </c>
      <c r="F60" s="189">
        <f t="shared" si="0"/>
        <v>41</v>
      </c>
      <c r="G60" s="33" t="s">
        <v>601</v>
      </c>
      <c r="H60" s="189">
        <f t="shared" si="1"/>
        <v>41</v>
      </c>
      <c r="I60" s="189">
        <f t="shared" si="2"/>
        <v>41000000</v>
      </c>
      <c r="J60" s="636">
        <f t="shared" si="3"/>
        <v>9.5875035076232351E-2</v>
      </c>
    </row>
    <row r="61" spans="1:10" s="25" customFormat="1" ht="12">
      <c r="A61" s="637">
        <v>7</v>
      </c>
      <c r="B61" s="33" t="s">
        <v>603</v>
      </c>
      <c r="C61" s="189">
        <v>1</v>
      </c>
      <c r="D61" s="189">
        <v>490</v>
      </c>
      <c r="E61" s="189">
        <v>504</v>
      </c>
      <c r="F61" s="189">
        <f t="shared" si="0"/>
        <v>15</v>
      </c>
      <c r="G61" s="33" t="s">
        <v>601</v>
      </c>
      <c r="H61" s="189">
        <f t="shared" si="1"/>
        <v>15</v>
      </c>
      <c r="I61" s="189">
        <f t="shared" si="2"/>
        <v>15000000</v>
      </c>
      <c r="J61" s="636">
        <f t="shared" si="3"/>
        <v>3.5076232344963057E-2</v>
      </c>
    </row>
    <row r="62" spans="1:10" s="25" customFormat="1" ht="12">
      <c r="A62" s="637">
        <v>8</v>
      </c>
      <c r="B62" s="33" t="s">
        <v>602</v>
      </c>
      <c r="C62" s="189">
        <v>1</v>
      </c>
      <c r="D62" s="189">
        <v>505</v>
      </c>
      <c r="E62" s="189">
        <v>567</v>
      </c>
      <c r="F62" s="189">
        <f t="shared" si="0"/>
        <v>63</v>
      </c>
      <c r="G62" s="33" t="s">
        <v>601</v>
      </c>
      <c r="H62" s="189">
        <f t="shared" si="1"/>
        <v>63</v>
      </c>
      <c r="I62" s="189">
        <f t="shared" si="2"/>
        <v>63000000</v>
      </c>
      <c r="J62" s="636">
        <f t="shared" si="3"/>
        <v>0.14732017584884483</v>
      </c>
    </row>
    <row r="63" spans="1:10" s="25" customFormat="1" ht="12">
      <c r="A63" s="637">
        <v>9</v>
      </c>
      <c r="B63" s="33" t="s">
        <v>603</v>
      </c>
      <c r="C63" s="189">
        <v>1</v>
      </c>
      <c r="D63" s="189">
        <v>568</v>
      </c>
      <c r="E63" s="189">
        <v>630</v>
      </c>
      <c r="F63" s="189">
        <f t="shared" si="0"/>
        <v>63</v>
      </c>
      <c r="G63" s="33" t="s">
        <v>601</v>
      </c>
      <c r="H63" s="189">
        <f t="shared" si="1"/>
        <v>63</v>
      </c>
      <c r="I63" s="189">
        <f t="shared" si="2"/>
        <v>63000000</v>
      </c>
      <c r="J63" s="636">
        <f t="shared" si="3"/>
        <v>0.14732017584884483</v>
      </c>
    </row>
    <row r="64" spans="1:10" s="25" customFormat="1" ht="12">
      <c r="A64" s="637">
        <v>10</v>
      </c>
      <c r="B64" s="33" t="s">
        <v>600</v>
      </c>
      <c r="C64" s="189">
        <v>1</v>
      </c>
      <c r="D64" s="189">
        <v>631</v>
      </c>
      <c r="E64" s="189">
        <v>670</v>
      </c>
      <c r="F64" s="189">
        <f t="shared" si="0"/>
        <v>40</v>
      </c>
      <c r="G64" s="33" t="s">
        <v>601</v>
      </c>
      <c r="H64" s="189">
        <f t="shared" si="1"/>
        <v>40</v>
      </c>
      <c r="I64" s="189">
        <f t="shared" si="2"/>
        <v>40000000</v>
      </c>
      <c r="J64" s="636">
        <f t="shared" si="3"/>
        <v>9.3536619586568143E-2</v>
      </c>
    </row>
    <row r="65" spans="1:10" s="25" customFormat="1" ht="12">
      <c r="A65" s="637">
        <v>11</v>
      </c>
      <c r="B65" s="33" t="s">
        <v>600</v>
      </c>
      <c r="C65" s="189">
        <v>1</v>
      </c>
      <c r="D65" s="189">
        <v>671</v>
      </c>
      <c r="E65" s="189">
        <v>710</v>
      </c>
      <c r="F65" s="189">
        <f t="shared" si="0"/>
        <v>40</v>
      </c>
      <c r="G65" s="33" t="s">
        <v>601</v>
      </c>
      <c r="H65" s="189">
        <f t="shared" si="1"/>
        <v>40</v>
      </c>
      <c r="I65" s="189">
        <f t="shared" si="2"/>
        <v>40000000</v>
      </c>
      <c r="J65" s="636">
        <f t="shared" si="3"/>
        <v>9.3536619586568143E-2</v>
      </c>
    </row>
    <row r="66" spans="1:10" s="25" customFormat="1" ht="12">
      <c r="A66" s="637">
        <v>12</v>
      </c>
      <c r="B66" s="33" t="s">
        <v>600</v>
      </c>
      <c r="C66" s="189">
        <v>1</v>
      </c>
      <c r="D66" s="189">
        <v>711</v>
      </c>
      <c r="E66" s="189">
        <v>750</v>
      </c>
      <c r="F66" s="189">
        <f t="shared" si="0"/>
        <v>40</v>
      </c>
      <c r="G66" s="33" t="s">
        <v>601</v>
      </c>
      <c r="H66" s="189">
        <f t="shared" si="1"/>
        <v>40</v>
      </c>
      <c r="I66" s="189">
        <f t="shared" si="2"/>
        <v>40000000</v>
      </c>
      <c r="J66" s="636">
        <f t="shared" si="3"/>
        <v>9.3536619586568143E-2</v>
      </c>
    </row>
    <row r="67" spans="1:10" s="25" customFormat="1" ht="12">
      <c r="A67" s="637">
        <v>13</v>
      </c>
      <c r="B67" s="33" t="s">
        <v>600</v>
      </c>
      <c r="C67" s="189">
        <v>1</v>
      </c>
      <c r="D67" s="189">
        <v>751</v>
      </c>
      <c r="E67" s="189">
        <v>770</v>
      </c>
      <c r="F67" s="189">
        <f t="shared" si="0"/>
        <v>20</v>
      </c>
      <c r="G67" s="33" t="s">
        <v>601</v>
      </c>
      <c r="H67" s="189">
        <f t="shared" si="1"/>
        <v>20</v>
      </c>
      <c r="I67" s="189">
        <f t="shared" si="2"/>
        <v>20000000</v>
      </c>
      <c r="J67" s="636">
        <f t="shared" si="3"/>
        <v>4.6768309793284071E-2</v>
      </c>
    </row>
    <row r="68" spans="1:10" s="25" customFormat="1" ht="12">
      <c r="A68" s="637">
        <v>14</v>
      </c>
      <c r="B68" s="33" t="s">
        <v>602</v>
      </c>
      <c r="C68" s="189">
        <v>1</v>
      </c>
      <c r="D68" s="189">
        <v>771</v>
      </c>
      <c r="E68" s="189">
        <v>780</v>
      </c>
      <c r="F68" s="189">
        <f t="shared" si="0"/>
        <v>10</v>
      </c>
      <c r="G68" s="33" t="s">
        <v>601</v>
      </c>
      <c r="H68" s="189">
        <f t="shared" si="1"/>
        <v>10</v>
      </c>
      <c r="I68" s="189">
        <f t="shared" si="2"/>
        <v>10000000</v>
      </c>
      <c r="J68" s="636">
        <f t="shared" si="3"/>
        <v>2.3384154896642036E-2</v>
      </c>
    </row>
    <row r="69" spans="1:10" s="25" customFormat="1" ht="12">
      <c r="A69" s="637">
        <v>15</v>
      </c>
      <c r="B69" s="33" t="s">
        <v>603</v>
      </c>
      <c r="C69" s="189">
        <v>1</v>
      </c>
      <c r="D69" s="189">
        <v>781</v>
      </c>
      <c r="E69" s="189">
        <v>790</v>
      </c>
      <c r="F69" s="189">
        <f t="shared" si="0"/>
        <v>10</v>
      </c>
      <c r="G69" s="33" t="s">
        <v>601</v>
      </c>
      <c r="H69" s="189">
        <f t="shared" si="1"/>
        <v>10</v>
      </c>
      <c r="I69" s="189">
        <f t="shared" si="2"/>
        <v>10000000</v>
      </c>
      <c r="J69" s="636">
        <f t="shared" si="3"/>
        <v>2.3384154896642036E-2</v>
      </c>
    </row>
    <row r="70" spans="1:10" s="25" customFormat="1" ht="12">
      <c r="A70" s="637">
        <v>16</v>
      </c>
      <c r="B70" s="33" t="s">
        <v>602</v>
      </c>
      <c r="C70" s="189">
        <v>1</v>
      </c>
      <c r="D70" s="189">
        <v>791</v>
      </c>
      <c r="E70" s="189">
        <v>810</v>
      </c>
      <c r="F70" s="189">
        <f t="shared" si="0"/>
        <v>20</v>
      </c>
      <c r="G70" s="33" t="s">
        <v>601</v>
      </c>
      <c r="H70" s="189">
        <f t="shared" si="1"/>
        <v>20</v>
      </c>
      <c r="I70" s="189">
        <f t="shared" si="2"/>
        <v>20000000</v>
      </c>
      <c r="J70" s="636">
        <f t="shared" si="3"/>
        <v>4.6768309793284071E-2</v>
      </c>
    </row>
    <row r="71" spans="1:10" s="25" customFormat="1" ht="12">
      <c r="A71" s="637">
        <v>17</v>
      </c>
      <c r="B71" s="33" t="s">
        <v>603</v>
      </c>
      <c r="C71" s="189">
        <v>1</v>
      </c>
      <c r="D71" s="189">
        <v>811</v>
      </c>
      <c r="E71" s="189">
        <v>830</v>
      </c>
      <c r="F71" s="189">
        <f t="shared" si="0"/>
        <v>20</v>
      </c>
      <c r="G71" s="33" t="s">
        <v>601</v>
      </c>
      <c r="H71" s="189">
        <f t="shared" si="1"/>
        <v>20</v>
      </c>
      <c r="I71" s="189">
        <f t="shared" si="2"/>
        <v>20000000</v>
      </c>
      <c r="J71" s="636">
        <f t="shared" si="3"/>
        <v>4.6768309793284071E-2</v>
      </c>
    </row>
    <row r="72" spans="1:10" s="25" customFormat="1" ht="12">
      <c r="A72" s="637">
        <v>18</v>
      </c>
      <c r="B72" s="33" t="s">
        <v>600</v>
      </c>
      <c r="C72" s="189">
        <v>1</v>
      </c>
      <c r="D72" s="189">
        <v>831</v>
      </c>
      <c r="E72" s="189">
        <v>941</v>
      </c>
      <c r="F72" s="189">
        <f t="shared" si="0"/>
        <v>111</v>
      </c>
      <c r="G72" s="33" t="s">
        <v>601</v>
      </c>
      <c r="H72" s="189">
        <f t="shared" si="1"/>
        <v>111</v>
      </c>
      <c r="I72" s="189">
        <f t="shared" si="2"/>
        <v>111000000</v>
      </c>
      <c r="J72" s="636">
        <f t="shared" si="3"/>
        <v>0.25956411935272661</v>
      </c>
    </row>
    <row r="73" spans="1:10" s="25" customFormat="1" ht="12">
      <c r="A73" s="637">
        <v>19</v>
      </c>
      <c r="B73" s="33" t="s">
        <v>600</v>
      </c>
      <c r="C73" s="189">
        <v>1</v>
      </c>
      <c r="D73" s="189">
        <v>942</v>
      </c>
      <c r="E73" s="189">
        <v>1089</v>
      </c>
      <c r="F73" s="189">
        <f t="shared" si="0"/>
        <v>148</v>
      </c>
      <c r="G73" s="33" t="s">
        <v>601</v>
      </c>
      <c r="H73" s="189">
        <f t="shared" si="1"/>
        <v>148</v>
      </c>
      <c r="I73" s="189">
        <f t="shared" si="2"/>
        <v>148000000</v>
      </c>
      <c r="J73" s="636">
        <f t="shared" si="3"/>
        <v>0.34608549247030213</v>
      </c>
    </row>
    <row r="74" spans="1:10" s="25" customFormat="1" ht="12">
      <c r="A74" s="637">
        <v>20</v>
      </c>
      <c r="B74" s="33" t="s">
        <v>602</v>
      </c>
      <c r="C74" s="189">
        <v>1</v>
      </c>
      <c r="D74" s="189">
        <v>1090</v>
      </c>
      <c r="E74" s="189">
        <v>1133</v>
      </c>
      <c r="F74" s="189">
        <f t="shared" si="0"/>
        <v>44</v>
      </c>
      <c r="G74" s="33" t="s">
        <v>601</v>
      </c>
      <c r="H74" s="189">
        <f t="shared" si="1"/>
        <v>44</v>
      </c>
      <c r="I74" s="189">
        <f t="shared" si="2"/>
        <v>44000000</v>
      </c>
      <c r="J74" s="636">
        <f t="shared" si="3"/>
        <v>0.10289028154522495</v>
      </c>
    </row>
    <row r="75" spans="1:10" s="25" customFormat="1" ht="12">
      <c r="A75" s="637">
        <v>21</v>
      </c>
      <c r="B75" s="33" t="s">
        <v>603</v>
      </c>
      <c r="C75" s="189">
        <v>1</v>
      </c>
      <c r="D75" s="189">
        <v>1134</v>
      </c>
      <c r="E75" s="189">
        <v>1181</v>
      </c>
      <c r="F75" s="189">
        <f t="shared" si="0"/>
        <v>48</v>
      </c>
      <c r="G75" s="33" t="s">
        <v>601</v>
      </c>
      <c r="H75" s="189">
        <f t="shared" si="1"/>
        <v>48</v>
      </c>
      <c r="I75" s="189">
        <f t="shared" si="2"/>
        <v>48000000</v>
      </c>
      <c r="J75" s="636">
        <f t="shared" si="3"/>
        <v>0.11224394350388177</v>
      </c>
    </row>
    <row r="76" spans="1:10" s="25" customFormat="1" ht="12">
      <c r="A76" s="637">
        <v>22</v>
      </c>
      <c r="B76" s="33" t="s">
        <v>603</v>
      </c>
      <c r="C76" s="189">
        <v>1</v>
      </c>
      <c r="D76" s="189">
        <v>1182</v>
      </c>
      <c r="E76" s="189">
        <v>1200</v>
      </c>
      <c r="F76" s="189">
        <f t="shared" si="0"/>
        <v>19</v>
      </c>
      <c r="G76" s="33" t="s">
        <v>601</v>
      </c>
      <c r="H76" s="189">
        <f t="shared" si="1"/>
        <v>19</v>
      </c>
      <c r="I76" s="189">
        <f t="shared" si="2"/>
        <v>19000000</v>
      </c>
      <c r="J76" s="636">
        <f t="shared" si="3"/>
        <v>4.442989430361987E-2</v>
      </c>
    </row>
    <row r="77" spans="1:10" s="25" customFormat="1" ht="12">
      <c r="A77" s="637">
        <v>23</v>
      </c>
      <c r="B77" s="33" t="s">
        <v>600</v>
      </c>
      <c r="C77" s="189">
        <v>1</v>
      </c>
      <c r="D77" s="189">
        <v>1201</v>
      </c>
      <c r="E77" s="189">
        <v>1440</v>
      </c>
      <c r="F77" s="189">
        <f t="shared" si="0"/>
        <v>240</v>
      </c>
      <c r="G77" s="33" t="s">
        <v>601</v>
      </c>
      <c r="H77" s="189">
        <f t="shared" si="1"/>
        <v>240</v>
      </c>
      <c r="I77" s="189">
        <f t="shared" si="2"/>
        <v>240000000</v>
      </c>
      <c r="J77" s="636">
        <f t="shared" si="3"/>
        <v>0.56121971751940891</v>
      </c>
    </row>
    <row r="78" spans="1:10" s="25" customFormat="1" ht="12">
      <c r="A78" s="637">
        <v>24</v>
      </c>
      <c r="B78" s="33" t="s">
        <v>600</v>
      </c>
      <c r="C78" s="189">
        <v>1</v>
      </c>
      <c r="D78" s="189">
        <v>1441</v>
      </c>
      <c r="E78" s="189">
        <v>1620</v>
      </c>
      <c r="F78" s="189">
        <f t="shared" si="0"/>
        <v>180</v>
      </c>
      <c r="G78" s="33" t="s">
        <v>601</v>
      </c>
      <c r="H78" s="189">
        <f t="shared" si="1"/>
        <v>180</v>
      </c>
      <c r="I78" s="189">
        <f t="shared" si="2"/>
        <v>180000000</v>
      </c>
      <c r="J78" s="636">
        <f t="shared" si="3"/>
        <v>0.42091478813955668</v>
      </c>
    </row>
    <row r="79" spans="1:10" s="25" customFormat="1" ht="12">
      <c r="A79" s="637">
        <v>25</v>
      </c>
      <c r="B79" s="33" t="s">
        <v>603</v>
      </c>
      <c r="C79" s="189">
        <v>1</v>
      </c>
      <c r="D79" s="189">
        <v>1621</v>
      </c>
      <c r="E79" s="189">
        <v>1698</v>
      </c>
      <c r="F79" s="189">
        <f t="shared" si="0"/>
        <v>78</v>
      </c>
      <c r="G79" s="33" t="s">
        <v>601</v>
      </c>
      <c r="H79" s="189">
        <f t="shared" si="1"/>
        <v>78</v>
      </c>
      <c r="I79" s="189">
        <f t="shared" si="2"/>
        <v>78000000</v>
      </c>
      <c r="J79" s="636">
        <f t="shared" si="3"/>
        <v>0.18239640819380787</v>
      </c>
    </row>
    <row r="80" spans="1:10" s="25" customFormat="1" ht="12">
      <c r="A80" s="637">
        <v>26</v>
      </c>
      <c r="B80" s="33" t="s">
        <v>602</v>
      </c>
      <c r="C80" s="189">
        <v>1</v>
      </c>
      <c r="D80" s="189">
        <v>1699</v>
      </c>
      <c r="E80" s="189">
        <v>1770</v>
      </c>
      <c r="F80" s="189">
        <f t="shared" si="0"/>
        <v>72</v>
      </c>
      <c r="G80" s="33" t="s">
        <v>601</v>
      </c>
      <c r="H80" s="189">
        <f t="shared" si="1"/>
        <v>72</v>
      </c>
      <c r="I80" s="189">
        <f t="shared" si="2"/>
        <v>72000000</v>
      </c>
      <c r="J80" s="636">
        <f t="shared" si="3"/>
        <v>0.16836591525582265</v>
      </c>
    </row>
    <row r="81" spans="1:10" s="25" customFormat="1" ht="12">
      <c r="A81" s="637">
        <v>27</v>
      </c>
      <c r="B81" s="33" t="s">
        <v>603</v>
      </c>
      <c r="C81" s="189">
        <v>1</v>
      </c>
      <c r="D81" s="189">
        <v>1771</v>
      </c>
      <c r="E81" s="189">
        <v>1800</v>
      </c>
      <c r="F81" s="189">
        <f t="shared" si="0"/>
        <v>30</v>
      </c>
      <c r="G81" s="33" t="s">
        <v>601</v>
      </c>
      <c r="H81" s="189">
        <f t="shared" si="1"/>
        <v>30</v>
      </c>
      <c r="I81" s="189">
        <f t="shared" si="2"/>
        <v>30000000</v>
      </c>
      <c r="J81" s="636">
        <f t="shared" si="3"/>
        <v>7.0152464689926114E-2</v>
      </c>
    </row>
    <row r="82" spans="1:10" s="25" customFormat="1" ht="12">
      <c r="A82" s="637">
        <v>28</v>
      </c>
      <c r="B82" s="33" t="s">
        <v>600</v>
      </c>
      <c r="C82" s="189">
        <v>1</v>
      </c>
      <c r="D82" s="189">
        <v>1801</v>
      </c>
      <c r="E82" s="189">
        <v>1898</v>
      </c>
      <c r="F82" s="189">
        <f t="shared" si="0"/>
        <v>98</v>
      </c>
      <c r="G82" s="33" t="s">
        <v>601</v>
      </c>
      <c r="H82" s="189">
        <f t="shared" si="1"/>
        <v>98</v>
      </c>
      <c r="I82" s="189">
        <f t="shared" si="2"/>
        <v>98000000</v>
      </c>
      <c r="J82" s="636">
        <f t="shared" si="3"/>
        <v>0.22916471798709193</v>
      </c>
    </row>
    <row r="83" spans="1:10" s="25" customFormat="1" ht="12">
      <c r="A83" s="637">
        <v>29</v>
      </c>
      <c r="B83" s="33" t="s">
        <v>602</v>
      </c>
      <c r="C83" s="189">
        <v>1</v>
      </c>
      <c r="D83" s="189">
        <v>1899</v>
      </c>
      <c r="E83" s="189">
        <v>2141</v>
      </c>
      <c r="F83" s="189">
        <f t="shared" si="0"/>
        <v>243</v>
      </c>
      <c r="G83" s="33" t="s">
        <v>601</v>
      </c>
      <c r="H83" s="189">
        <f t="shared" si="1"/>
        <v>243</v>
      </c>
      <c r="I83" s="189">
        <f t="shared" si="2"/>
        <v>243000000</v>
      </c>
      <c r="J83" s="636">
        <f t="shared" si="3"/>
        <v>0.56823496398840145</v>
      </c>
    </row>
    <row r="84" spans="1:10" s="25" customFormat="1" ht="12">
      <c r="A84" s="637">
        <v>30</v>
      </c>
      <c r="B84" s="33" t="s">
        <v>603</v>
      </c>
      <c r="C84" s="189">
        <v>1</v>
      </c>
      <c r="D84" s="189">
        <v>2142</v>
      </c>
      <c r="E84" s="189">
        <f>D84+242</f>
        <v>2384</v>
      </c>
      <c r="F84" s="189">
        <f t="shared" si="0"/>
        <v>243</v>
      </c>
      <c r="G84" s="33" t="s">
        <v>601</v>
      </c>
      <c r="H84" s="189">
        <f t="shared" si="1"/>
        <v>243</v>
      </c>
      <c r="I84" s="189">
        <f t="shared" si="2"/>
        <v>243000000</v>
      </c>
      <c r="J84" s="636">
        <f t="shared" si="3"/>
        <v>0.56823496398840145</v>
      </c>
    </row>
    <row r="85" spans="1:10" s="25" customFormat="1" ht="12">
      <c r="A85" s="637">
        <v>31</v>
      </c>
      <c r="B85" s="33" t="s">
        <v>600</v>
      </c>
      <c r="C85" s="189">
        <v>1</v>
      </c>
      <c r="D85" s="189">
        <v>2385</v>
      </c>
      <c r="E85" s="189">
        <v>2480</v>
      </c>
      <c r="F85" s="189">
        <f t="shared" si="0"/>
        <v>96</v>
      </c>
      <c r="G85" s="33" t="s">
        <v>601</v>
      </c>
      <c r="H85" s="189">
        <f t="shared" si="1"/>
        <v>96</v>
      </c>
      <c r="I85" s="189">
        <f t="shared" si="2"/>
        <v>96000000</v>
      </c>
      <c r="J85" s="636">
        <f t="shared" si="3"/>
        <v>0.22448788700776354</v>
      </c>
    </row>
    <row r="86" spans="1:10" s="25" customFormat="1" ht="12">
      <c r="A86" s="637">
        <v>32</v>
      </c>
      <c r="B86" s="33" t="s">
        <v>600</v>
      </c>
      <c r="C86" s="189">
        <v>1</v>
      </c>
      <c r="D86" s="189">
        <v>2481</v>
      </c>
      <c r="E86" s="189">
        <v>2990</v>
      </c>
      <c r="F86" s="189">
        <f t="shared" si="0"/>
        <v>510</v>
      </c>
      <c r="G86" s="33" t="s">
        <v>601</v>
      </c>
      <c r="H86" s="189">
        <f t="shared" si="1"/>
        <v>510</v>
      </c>
      <c r="I86" s="189">
        <f t="shared" si="2"/>
        <v>510000000</v>
      </c>
      <c r="J86" s="636">
        <f t="shared" si="3"/>
        <v>1.1925918997287437</v>
      </c>
    </row>
    <row r="87" spans="1:10" s="25" customFormat="1" ht="12">
      <c r="A87" s="637">
        <v>33</v>
      </c>
      <c r="B87" s="33" t="s">
        <v>603</v>
      </c>
      <c r="C87" s="189">
        <v>1</v>
      </c>
      <c r="D87" s="189">
        <v>2991</v>
      </c>
      <c r="E87" s="189">
        <v>3211</v>
      </c>
      <c r="F87" s="189">
        <f t="shared" si="0"/>
        <v>221</v>
      </c>
      <c r="G87" s="33" t="s">
        <v>601</v>
      </c>
      <c r="H87" s="189">
        <f t="shared" si="1"/>
        <v>221</v>
      </c>
      <c r="I87" s="189">
        <f t="shared" si="2"/>
        <v>221000000</v>
      </c>
      <c r="J87" s="636">
        <f t="shared" si="3"/>
        <v>0.51678982321578903</v>
      </c>
    </row>
    <row r="88" spans="1:10" s="25" customFormat="1" ht="12">
      <c r="A88" s="637">
        <v>34</v>
      </c>
      <c r="B88" s="33" t="s">
        <v>602</v>
      </c>
      <c r="C88" s="189">
        <v>1</v>
      </c>
      <c r="D88" s="189">
        <v>3212</v>
      </c>
      <c r="E88" s="189">
        <v>3415</v>
      </c>
      <c r="F88" s="189">
        <f t="shared" si="0"/>
        <v>204</v>
      </c>
      <c r="G88" s="33" t="s">
        <v>601</v>
      </c>
      <c r="H88" s="189">
        <f t="shared" si="1"/>
        <v>204</v>
      </c>
      <c r="I88" s="189">
        <f t="shared" si="2"/>
        <v>204000000</v>
      </c>
      <c r="J88" s="636">
        <f t="shared" si="3"/>
        <v>0.47703675989149752</v>
      </c>
    </row>
    <row r="89" spans="1:10" s="25" customFormat="1" ht="12">
      <c r="A89" s="637">
        <v>35</v>
      </c>
      <c r="B89" s="33" t="s">
        <v>603</v>
      </c>
      <c r="C89" s="189">
        <v>1</v>
      </c>
      <c r="D89" s="189">
        <v>3416</v>
      </c>
      <c r="E89" s="189">
        <v>3448</v>
      </c>
      <c r="F89" s="189">
        <f t="shared" si="0"/>
        <v>33</v>
      </c>
      <c r="G89" s="33" t="s">
        <v>601</v>
      </c>
      <c r="H89" s="189">
        <f t="shared" si="1"/>
        <v>33</v>
      </c>
      <c r="I89" s="189">
        <f t="shared" si="2"/>
        <v>33000000</v>
      </c>
      <c r="J89" s="636">
        <f t="shared" si="3"/>
        <v>7.7167711158918711E-2</v>
      </c>
    </row>
    <row r="90" spans="1:10" s="25" customFormat="1" ht="12">
      <c r="A90" s="637">
        <v>36</v>
      </c>
      <c r="B90" s="33" t="s">
        <v>602</v>
      </c>
      <c r="C90" s="189">
        <v>1</v>
      </c>
      <c r="D90" s="189">
        <v>3449</v>
      </c>
      <c r="E90" s="189">
        <v>3500</v>
      </c>
      <c r="F90" s="189">
        <f t="shared" si="0"/>
        <v>52</v>
      </c>
      <c r="G90" s="33" t="s">
        <v>601</v>
      </c>
      <c r="H90" s="189">
        <f t="shared" si="1"/>
        <v>52</v>
      </c>
      <c r="I90" s="189">
        <f t="shared" si="2"/>
        <v>52000000</v>
      </c>
      <c r="J90" s="636">
        <f t="shared" si="3"/>
        <v>0.12159760546253859</v>
      </c>
    </row>
    <row r="91" spans="1:10" s="25" customFormat="1" ht="12">
      <c r="A91" s="637">
        <v>37</v>
      </c>
      <c r="B91" s="33" t="s">
        <v>600</v>
      </c>
      <c r="C91" s="189">
        <v>1</v>
      </c>
      <c r="D91" s="189">
        <v>3501</v>
      </c>
      <c r="E91" s="189">
        <v>3558</v>
      </c>
      <c r="F91" s="189">
        <f t="shared" si="0"/>
        <v>58</v>
      </c>
      <c r="G91" s="33" t="s">
        <v>601</v>
      </c>
      <c r="H91" s="189">
        <f t="shared" si="1"/>
        <v>58</v>
      </c>
      <c r="I91" s="189">
        <f t="shared" si="2"/>
        <v>58000000</v>
      </c>
      <c r="J91" s="636">
        <f t="shared" si="3"/>
        <v>0.13562809840052381</v>
      </c>
    </row>
    <row r="92" spans="1:10" s="25" customFormat="1" ht="12">
      <c r="A92" s="637">
        <v>38</v>
      </c>
      <c r="B92" s="33" t="s">
        <v>602</v>
      </c>
      <c r="C92" s="189">
        <v>1</v>
      </c>
      <c r="D92" s="189">
        <v>3559</v>
      </c>
      <c r="E92" s="189">
        <v>3740</v>
      </c>
      <c r="F92" s="189">
        <f>E92-D92+1</f>
        <v>182</v>
      </c>
      <c r="G92" s="33" t="s">
        <v>601</v>
      </c>
      <c r="H92" s="189">
        <f t="shared" si="1"/>
        <v>182</v>
      </c>
      <c r="I92" s="189">
        <f t="shared" si="2"/>
        <v>182000000</v>
      </c>
      <c r="J92" s="636">
        <f t="shared" si="3"/>
        <v>0.42559161911888505</v>
      </c>
    </row>
    <row r="93" spans="1:10" s="25" customFormat="1" ht="12">
      <c r="A93" s="637">
        <v>39</v>
      </c>
      <c r="B93" s="33" t="s">
        <v>600</v>
      </c>
      <c r="C93" s="189">
        <v>1</v>
      </c>
      <c r="D93" s="189">
        <v>3741</v>
      </c>
      <c r="E93" s="189">
        <v>3920</v>
      </c>
      <c r="F93" s="189">
        <f t="shared" si="0"/>
        <v>180</v>
      </c>
      <c r="G93" s="33" t="s">
        <v>601</v>
      </c>
      <c r="H93" s="189">
        <f t="shared" si="1"/>
        <v>180</v>
      </c>
      <c r="I93" s="189">
        <f t="shared" si="2"/>
        <v>180000000</v>
      </c>
      <c r="J93" s="636">
        <f t="shared" si="3"/>
        <v>0.42091478813955668</v>
      </c>
    </row>
    <row r="94" spans="1:10" s="25" customFormat="1" ht="12">
      <c r="A94" s="637">
        <v>40</v>
      </c>
      <c r="B94" s="33" t="s">
        <v>603</v>
      </c>
      <c r="C94" s="189">
        <v>1</v>
      </c>
      <c r="D94" s="189">
        <v>3921</v>
      </c>
      <c r="E94" s="189">
        <v>3998</v>
      </c>
      <c r="F94" s="189">
        <f t="shared" si="0"/>
        <v>78</v>
      </c>
      <c r="G94" s="33" t="s">
        <v>601</v>
      </c>
      <c r="H94" s="189">
        <f t="shared" si="1"/>
        <v>78</v>
      </c>
      <c r="I94" s="189">
        <f t="shared" si="2"/>
        <v>78000000</v>
      </c>
      <c r="J94" s="636">
        <f t="shared" si="3"/>
        <v>0.18239640819380787</v>
      </c>
    </row>
    <row r="95" spans="1:10" s="25" customFormat="1" ht="12">
      <c r="A95" s="637">
        <v>41</v>
      </c>
      <c r="B95" s="33" t="s">
        <v>602</v>
      </c>
      <c r="C95" s="189">
        <v>1</v>
      </c>
      <c r="D95" s="189">
        <v>3999</v>
      </c>
      <c r="E95" s="189">
        <v>4070</v>
      </c>
      <c r="F95" s="189">
        <f t="shared" si="0"/>
        <v>72</v>
      </c>
      <c r="G95" s="33" t="s">
        <v>601</v>
      </c>
      <c r="H95" s="189">
        <f t="shared" si="1"/>
        <v>72</v>
      </c>
      <c r="I95" s="189">
        <f t="shared" si="2"/>
        <v>72000000</v>
      </c>
      <c r="J95" s="636">
        <f t="shared" si="3"/>
        <v>0.16836591525582265</v>
      </c>
    </row>
    <row r="96" spans="1:10" s="25" customFormat="1" ht="12">
      <c r="A96" s="637">
        <v>42</v>
      </c>
      <c r="B96" s="33" t="s">
        <v>602</v>
      </c>
      <c r="C96" s="189">
        <v>1</v>
      </c>
      <c r="D96" s="189">
        <v>4071</v>
      </c>
      <c r="E96" s="189">
        <v>4100</v>
      </c>
      <c r="F96" s="189">
        <f t="shared" si="0"/>
        <v>30</v>
      </c>
      <c r="G96" s="33" t="s">
        <v>601</v>
      </c>
      <c r="H96" s="189">
        <f t="shared" si="1"/>
        <v>30</v>
      </c>
      <c r="I96" s="189">
        <f t="shared" si="2"/>
        <v>30000000</v>
      </c>
      <c r="J96" s="636">
        <f t="shared" si="3"/>
        <v>7.0152464689926114E-2</v>
      </c>
    </row>
    <row r="97" spans="1:10" s="25" customFormat="1" ht="12">
      <c r="A97" s="637">
        <v>43</v>
      </c>
      <c r="B97" s="33" t="s">
        <v>602</v>
      </c>
      <c r="C97" s="189">
        <v>1</v>
      </c>
      <c r="D97" s="189">
        <v>4101</v>
      </c>
      <c r="E97" s="189">
        <v>4161</v>
      </c>
      <c r="F97" s="189">
        <f t="shared" si="0"/>
        <v>61</v>
      </c>
      <c r="G97" s="33" t="s">
        <v>601</v>
      </c>
      <c r="H97" s="189">
        <f t="shared" si="1"/>
        <v>61</v>
      </c>
      <c r="I97" s="189">
        <f t="shared" si="2"/>
        <v>61000000</v>
      </c>
      <c r="J97" s="636">
        <f t="shared" si="3"/>
        <v>0.14264334486951641</v>
      </c>
    </row>
    <row r="98" spans="1:10" s="25" customFormat="1" ht="12">
      <c r="A98" s="637">
        <v>44</v>
      </c>
      <c r="B98" s="33" t="s">
        <v>603</v>
      </c>
      <c r="C98" s="189">
        <v>1</v>
      </c>
      <c r="D98" s="189">
        <v>4162</v>
      </c>
      <c r="E98" s="189">
        <v>4404</v>
      </c>
      <c r="F98" s="189">
        <f t="shared" si="0"/>
        <v>243</v>
      </c>
      <c r="G98" s="33" t="s">
        <v>601</v>
      </c>
      <c r="H98" s="189">
        <f t="shared" si="1"/>
        <v>243</v>
      </c>
      <c r="I98" s="189">
        <f t="shared" si="2"/>
        <v>243000000</v>
      </c>
      <c r="J98" s="636">
        <f t="shared" si="3"/>
        <v>0.56823496398840145</v>
      </c>
    </row>
    <row r="99" spans="1:10" s="25" customFormat="1" ht="12">
      <c r="A99" s="637">
        <v>45</v>
      </c>
      <c r="B99" s="33" t="s">
        <v>600</v>
      </c>
      <c r="C99" s="189">
        <v>1</v>
      </c>
      <c r="D99" s="189">
        <v>4405</v>
      </c>
      <c r="E99" s="189">
        <v>4632</v>
      </c>
      <c r="F99" s="189">
        <f t="shared" si="0"/>
        <v>228</v>
      </c>
      <c r="G99" s="33" t="s">
        <v>601</v>
      </c>
      <c r="H99" s="189">
        <f t="shared" si="1"/>
        <v>228</v>
      </c>
      <c r="I99" s="189">
        <f t="shared" si="2"/>
        <v>228000000</v>
      </c>
      <c r="J99" s="636">
        <f t="shared" si="3"/>
        <v>0.53315873164343841</v>
      </c>
    </row>
    <row r="100" spans="1:10" s="25" customFormat="1" ht="12">
      <c r="A100" s="637">
        <v>46</v>
      </c>
      <c r="B100" s="33" t="s">
        <v>603</v>
      </c>
      <c r="C100" s="189">
        <v>1</v>
      </c>
      <c r="D100" s="189">
        <v>4633</v>
      </c>
      <c r="E100" s="189">
        <v>4746</v>
      </c>
      <c r="F100" s="189">
        <f t="shared" si="0"/>
        <v>114</v>
      </c>
      <c r="G100" s="33" t="s">
        <v>601</v>
      </c>
      <c r="H100" s="189">
        <f t="shared" si="1"/>
        <v>114</v>
      </c>
      <c r="I100" s="189">
        <f t="shared" si="2"/>
        <v>114000000</v>
      </c>
      <c r="J100" s="636">
        <f t="shared" si="3"/>
        <v>0.26657936582171921</v>
      </c>
    </row>
    <row r="101" spans="1:10" s="25" customFormat="1" ht="12">
      <c r="A101" s="637">
        <v>47</v>
      </c>
      <c r="B101" s="33" t="s">
        <v>602</v>
      </c>
      <c r="C101" s="189">
        <v>1</v>
      </c>
      <c r="D101" s="189">
        <v>4747</v>
      </c>
      <c r="E101" s="189">
        <v>4860</v>
      </c>
      <c r="F101" s="189">
        <f t="shared" si="0"/>
        <v>114</v>
      </c>
      <c r="G101" s="33" t="s">
        <v>601</v>
      </c>
      <c r="H101" s="189">
        <f t="shared" si="1"/>
        <v>114</v>
      </c>
      <c r="I101" s="189">
        <f t="shared" si="2"/>
        <v>114000000</v>
      </c>
      <c r="J101" s="636">
        <f t="shared" si="3"/>
        <v>0.26657936582171921</v>
      </c>
    </row>
    <row r="102" spans="1:10" s="25" customFormat="1" ht="12">
      <c r="A102" s="637">
        <v>48</v>
      </c>
      <c r="B102" s="33" t="s">
        <v>545</v>
      </c>
      <c r="C102" s="189">
        <v>1</v>
      </c>
      <c r="D102" s="189">
        <v>4861</v>
      </c>
      <c r="E102" s="189">
        <f>D102+255</f>
        <v>5116</v>
      </c>
      <c r="F102" s="189">
        <f>E102-D102+1</f>
        <v>256</v>
      </c>
      <c r="G102" s="33" t="s">
        <v>601</v>
      </c>
      <c r="H102" s="189">
        <f>F102</f>
        <v>256</v>
      </c>
      <c r="I102" s="189">
        <f t="shared" si="2"/>
        <v>256000000</v>
      </c>
      <c r="J102" s="636">
        <f t="shared" si="3"/>
        <v>0.59863436535403614</v>
      </c>
    </row>
    <row r="103" spans="1:10" s="25" customFormat="1" ht="12">
      <c r="A103" s="637">
        <v>49</v>
      </c>
      <c r="B103" s="33" t="s">
        <v>600</v>
      </c>
      <c r="C103" s="189">
        <v>1</v>
      </c>
      <c r="D103" s="189">
        <v>5117</v>
      </c>
      <c r="E103" s="189">
        <f>D103+1673</f>
        <v>6790</v>
      </c>
      <c r="F103" s="189">
        <f t="shared" si="0"/>
        <v>1674</v>
      </c>
      <c r="G103" s="33" t="s">
        <v>601</v>
      </c>
      <c r="H103" s="189">
        <f t="shared" si="1"/>
        <v>1674</v>
      </c>
      <c r="I103" s="189">
        <f t="shared" si="2"/>
        <v>1674000000</v>
      </c>
      <c r="J103" s="636">
        <f t="shared" si="3"/>
        <v>3.9145075296978771</v>
      </c>
    </row>
    <row r="104" spans="1:10" s="25" customFormat="1" ht="12">
      <c r="A104" s="637">
        <v>50</v>
      </c>
      <c r="B104" s="33" t="s">
        <v>602</v>
      </c>
      <c r="C104" s="189">
        <v>1</v>
      </c>
      <c r="D104" s="189">
        <f>E103+1</f>
        <v>6791</v>
      </c>
      <c r="E104" s="189">
        <f>D104+836</f>
        <v>7627</v>
      </c>
      <c r="F104" s="189">
        <f t="shared" si="0"/>
        <v>837</v>
      </c>
      <c r="G104" s="33" t="s">
        <v>601</v>
      </c>
      <c r="H104" s="189">
        <f t="shared" si="1"/>
        <v>837</v>
      </c>
      <c r="I104" s="189">
        <f t="shared" si="2"/>
        <v>837000000</v>
      </c>
      <c r="J104" s="636">
        <f t="shared" si="3"/>
        <v>1.9572537648489385</v>
      </c>
    </row>
    <row r="105" spans="1:10" s="25" customFormat="1" ht="12">
      <c r="A105" s="637">
        <v>51</v>
      </c>
      <c r="B105" s="33" t="s">
        <v>603</v>
      </c>
      <c r="C105" s="189">
        <v>1</v>
      </c>
      <c r="D105" s="189">
        <f>E104+1</f>
        <v>7628</v>
      </c>
      <c r="E105" s="189">
        <f>D105+836</f>
        <v>8464</v>
      </c>
      <c r="F105" s="189">
        <f t="shared" si="0"/>
        <v>837</v>
      </c>
      <c r="G105" s="33" t="s">
        <v>601</v>
      </c>
      <c r="H105" s="189">
        <f t="shared" si="1"/>
        <v>837</v>
      </c>
      <c r="I105" s="189">
        <f t="shared" si="2"/>
        <v>837000000</v>
      </c>
      <c r="J105" s="636">
        <f t="shared" si="3"/>
        <v>1.9572537648489385</v>
      </c>
    </row>
    <row r="106" spans="1:10" s="25" customFormat="1" ht="12">
      <c r="A106" s="637">
        <v>52</v>
      </c>
      <c r="B106" s="33" t="s">
        <v>545</v>
      </c>
      <c r="C106" s="189">
        <v>1</v>
      </c>
      <c r="D106" s="189">
        <f>E105+1</f>
        <v>8465</v>
      </c>
      <c r="E106" s="189">
        <f>D106+175</f>
        <v>8640</v>
      </c>
      <c r="F106" s="189">
        <f t="shared" si="0"/>
        <v>176</v>
      </c>
      <c r="G106" s="33" t="s">
        <v>601</v>
      </c>
      <c r="H106" s="189">
        <f t="shared" si="1"/>
        <v>176</v>
      </c>
      <c r="I106" s="189">
        <f t="shared" si="2"/>
        <v>176000000</v>
      </c>
      <c r="J106" s="636">
        <f t="shared" si="3"/>
        <v>0.41156112618089979</v>
      </c>
    </row>
    <row r="107" spans="1:10" s="25" customFormat="1" ht="12">
      <c r="A107" s="637">
        <v>53</v>
      </c>
      <c r="B107" s="33" t="s">
        <v>600</v>
      </c>
      <c r="C107" s="189">
        <v>1</v>
      </c>
      <c r="D107" s="189">
        <v>8641</v>
      </c>
      <c r="E107" s="189">
        <f>D107+25</f>
        <v>8666</v>
      </c>
      <c r="F107" s="189">
        <f t="shared" si="0"/>
        <v>26</v>
      </c>
      <c r="G107" s="33" t="s">
        <v>601</v>
      </c>
      <c r="H107" s="189">
        <f t="shared" si="1"/>
        <v>26</v>
      </c>
      <c r="I107" s="189">
        <f t="shared" si="2"/>
        <v>26000000</v>
      </c>
      <c r="J107" s="636">
        <f t="shared" si="3"/>
        <v>6.0798802731269294E-2</v>
      </c>
    </row>
    <row r="108" spans="1:10" s="25" customFormat="1" ht="12">
      <c r="A108" s="637">
        <v>54</v>
      </c>
      <c r="B108" s="33" t="s">
        <v>602</v>
      </c>
      <c r="C108" s="189">
        <v>1</v>
      </c>
      <c r="D108" s="189">
        <f>E107+1</f>
        <v>8667</v>
      </c>
      <c r="E108" s="189">
        <f>D108+12</f>
        <v>8679</v>
      </c>
      <c r="F108" s="189">
        <f t="shared" si="0"/>
        <v>13</v>
      </c>
      <c r="G108" s="33" t="s">
        <v>601</v>
      </c>
      <c r="H108" s="189">
        <f t="shared" si="1"/>
        <v>13</v>
      </c>
      <c r="I108" s="189">
        <f t="shared" si="2"/>
        <v>13000000</v>
      </c>
      <c r="J108" s="636">
        <f t="shared" si="3"/>
        <v>3.0399401365634647E-2</v>
      </c>
    </row>
    <row r="109" spans="1:10" s="25" customFormat="1" ht="12">
      <c r="A109" s="637">
        <v>55</v>
      </c>
      <c r="B109" s="33" t="s">
        <v>603</v>
      </c>
      <c r="C109" s="189">
        <v>1</v>
      </c>
      <c r="D109" s="189">
        <f>E108+1</f>
        <v>8680</v>
      </c>
      <c r="E109" s="189">
        <f>D109+12</f>
        <v>8692</v>
      </c>
      <c r="F109" s="189">
        <f t="shared" si="0"/>
        <v>13</v>
      </c>
      <c r="G109" s="33" t="s">
        <v>601</v>
      </c>
      <c r="H109" s="189">
        <f t="shared" si="1"/>
        <v>13</v>
      </c>
      <c r="I109" s="189">
        <f t="shared" si="2"/>
        <v>13000000</v>
      </c>
      <c r="J109" s="636">
        <f t="shared" si="3"/>
        <v>3.0399401365634647E-2</v>
      </c>
    </row>
    <row r="110" spans="1:10" s="25" customFormat="1" ht="12">
      <c r="A110" s="637">
        <v>56</v>
      </c>
      <c r="B110" s="33" t="s">
        <v>545</v>
      </c>
      <c r="C110" s="189">
        <v>1</v>
      </c>
      <c r="D110" s="189">
        <f>E109+1</f>
        <v>8693</v>
      </c>
      <c r="E110" s="189">
        <f>D110+39</f>
        <v>8732</v>
      </c>
      <c r="F110" s="189">
        <f t="shared" si="0"/>
        <v>40</v>
      </c>
      <c r="G110" s="33" t="s">
        <v>601</v>
      </c>
      <c r="H110" s="189">
        <f t="shared" si="1"/>
        <v>40</v>
      </c>
      <c r="I110" s="189">
        <f t="shared" si="2"/>
        <v>40000000</v>
      </c>
      <c r="J110" s="636">
        <f t="shared" si="3"/>
        <v>9.3536619586568143E-2</v>
      </c>
    </row>
    <row r="111" spans="1:10" s="25" customFormat="1" ht="12">
      <c r="A111" s="637">
        <v>57</v>
      </c>
      <c r="B111" s="33" t="s">
        <v>604</v>
      </c>
      <c r="C111" s="189">
        <v>1</v>
      </c>
      <c r="D111" s="189">
        <f>E110+1</f>
        <v>8733</v>
      </c>
      <c r="E111" s="189">
        <f>D111+471</f>
        <v>9204</v>
      </c>
      <c r="F111" s="189">
        <f t="shared" si="0"/>
        <v>472</v>
      </c>
      <c r="G111" s="33" t="s">
        <v>601</v>
      </c>
      <c r="H111" s="189">
        <f t="shared" si="1"/>
        <v>472</v>
      </c>
      <c r="I111" s="189">
        <f t="shared" si="2"/>
        <v>472000000</v>
      </c>
      <c r="J111" s="636">
        <f t="shared" si="3"/>
        <v>1.1037321111215039</v>
      </c>
    </row>
    <row r="112" spans="1:10" s="25" customFormat="1" ht="12">
      <c r="A112" s="637">
        <v>58</v>
      </c>
      <c r="B112" s="33" t="s">
        <v>545</v>
      </c>
      <c r="C112" s="189">
        <v>1</v>
      </c>
      <c r="D112" s="189">
        <v>9205</v>
      </c>
      <c r="E112" s="189">
        <v>9380</v>
      </c>
      <c r="F112" s="189">
        <f t="shared" si="0"/>
        <v>176</v>
      </c>
      <c r="G112" s="33" t="s">
        <v>601</v>
      </c>
      <c r="H112" s="189">
        <f t="shared" si="1"/>
        <v>176</v>
      </c>
      <c r="I112" s="189">
        <f t="shared" si="2"/>
        <v>176000000</v>
      </c>
      <c r="J112" s="636">
        <f t="shared" si="3"/>
        <v>0.41156112618089979</v>
      </c>
    </row>
    <row r="113" spans="1:10" s="25" customFormat="1" ht="12">
      <c r="A113" s="637">
        <v>59</v>
      </c>
      <c r="B113" s="33" t="s">
        <v>604</v>
      </c>
      <c r="C113" s="189">
        <v>1</v>
      </c>
      <c r="D113" s="189">
        <v>9381</v>
      </c>
      <c r="E113" s="189">
        <v>9440</v>
      </c>
      <c r="F113" s="189">
        <f t="shared" si="0"/>
        <v>60</v>
      </c>
      <c r="G113" s="33" t="s">
        <v>601</v>
      </c>
      <c r="H113" s="189">
        <f t="shared" si="1"/>
        <v>60</v>
      </c>
      <c r="I113" s="189">
        <f t="shared" si="2"/>
        <v>60000000</v>
      </c>
      <c r="J113" s="636">
        <f t="shared" si="3"/>
        <v>0.14030492937985223</v>
      </c>
    </row>
    <row r="114" spans="1:10" s="25" customFormat="1" ht="12">
      <c r="A114" s="637">
        <v>60</v>
      </c>
      <c r="B114" s="33" t="s">
        <v>600</v>
      </c>
      <c r="C114" s="189">
        <v>1</v>
      </c>
      <c r="D114" s="189">
        <v>9441</v>
      </c>
      <c r="E114" s="189">
        <v>11470</v>
      </c>
      <c r="F114" s="189">
        <f t="shared" si="0"/>
        <v>2030</v>
      </c>
      <c r="G114" s="33" t="s">
        <v>601</v>
      </c>
      <c r="H114" s="189">
        <f t="shared" si="1"/>
        <v>2030</v>
      </c>
      <c r="I114" s="189">
        <f t="shared" si="2"/>
        <v>2030000000</v>
      </c>
      <c r="J114" s="636">
        <f t="shared" si="3"/>
        <v>4.7469834440183334</v>
      </c>
    </row>
    <row r="115" spans="1:10" s="25" customFormat="1" ht="12">
      <c r="A115" s="637">
        <v>61</v>
      </c>
      <c r="B115" s="33" t="s">
        <v>602</v>
      </c>
      <c r="C115" s="189">
        <v>1</v>
      </c>
      <c r="D115" s="189">
        <v>11471</v>
      </c>
      <c r="E115" s="189">
        <v>12485</v>
      </c>
      <c r="F115" s="189">
        <f t="shared" si="0"/>
        <v>1015</v>
      </c>
      <c r="G115" s="33" t="s">
        <v>601</v>
      </c>
      <c r="H115" s="189">
        <f t="shared" si="1"/>
        <v>1015</v>
      </c>
      <c r="I115" s="189">
        <f t="shared" si="2"/>
        <v>1015000000</v>
      </c>
      <c r="J115" s="636">
        <f t="shared" si="3"/>
        <v>2.3734917220091667</v>
      </c>
    </row>
    <row r="116" spans="1:10" s="25" customFormat="1" ht="12">
      <c r="A116" s="637">
        <v>62</v>
      </c>
      <c r="B116" s="33" t="s">
        <v>603</v>
      </c>
      <c r="C116" s="189">
        <v>1</v>
      </c>
      <c r="D116" s="189">
        <v>12486</v>
      </c>
      <c r="E116" s="189">
        <v>13500</v>
      </c>
      <c r="F116" s="189">
        <f t="shared" si="0"/>
        <v>1015</v>
      </c>
      <c r="G116" s="33" t="s">
        <v>601</v>
      </c>
      <c r="H116" s="189">
        <f t="shared" si="1"/>
        <v>1015</v>
      </c>
      <c r="I116" s="189">
        <f t="shared" si="2"/>
        <v>1015000000</v>
      </c>
      <c r="J116" s="636">
        <f t="shared" si="3"/>
        <v>2.3734917220091667</v>
      </c>
    </row>
    <row r="117" spans="1:10" s="25" customFormat="1" ht="12">
      <c r="A117" s="637">
        <v>63</v>
      </c>
      <c r="B117" s="33" t="s">
        <v>545</v>
      </c>
      <c r="C117" s="189">
        <v>1</v>
      </c>
      <c r="D117" s="189">
        <v>13501</v>
      </c>
      <c r="E117" s="189">
        <v>13732</v>
      </c>
      <c r="F117" s="189">
        <f t="shared" si="0"/>
        <v>232</v>
      </c>
      <c r="G117" s="33" t="s">
        <v>601</v>
      </c>
      <c r="H117" s="189">
        <f t="shared" si="1"/>
        <v>232</v>
      </c>
      <c r="I117" s="189">
        <f t="shared" si="2"/>
        <v>232000000</v>
      </c>
      <c r="J117" s="636">
        <f t="shared" si="3"/>
        <v>0.54251239360209524</v>
      </c>
    </row>
    <row r="118" spans="1:10" s="25" customFormat="1" ht="12">
      <c r="A118" s="637">
        <v>64</v>
      </c>
      <c r="B118" s="33" t="s">
        <v>604</v>
      </c>
      <c r="C118" s="189">
        <v>1</v>
      </c>
      <c r="D118" s="189">
        <v>13733</v>
      </c>
      <c r="E118" s="189">
        <v>13964</v>
      </c>
      <c r="F118" s="189">
        <f t="shared" si="0"/>
        <v>232</v>
      </c>
      <c r="G118" s="33" t="s">
        <v>601</v>
      </c>
      <c r="H118" s="189">
        <f t="shared" si="1"/>
        <v>232</v>
      </c>
      <c r="I118" s="189">
        <f t="shared" si="2"/>
        <v>232000000</v>
      </c>
      <c r="J118" s="636">
        <f t="shared" si="3"/>
        <v>0.54251239360209524</v>
      </c>
    </row>
    <row r="119" spans="1:10" s="25" customFormat="1" ht="12">
      <c r="A119" s="637">
        <v>65</v>
      </c>
      <c r="B119" s="33" t="s">
        <v>604</v>
      </c>
      <c r="C119" s="189">
        <v>1</v>
      </c>
      <c r="D119" s="189">
        <v>13965</v>
      </c>
      <c r="E119" s="189">
        <v>14080</v>
      </c>
      <c r="F119" s="189">
        <f t="shared" ref="F119:F129" si="4">E119-D119+1</f>
        <v>116</v>
      </c>
      <c r="G119" s="33" t="s">
        <v>601</v>
      </c>
      <c r="H119" s="189">
        <f t="shared" ref="H119:H136" si="5">F119</f>
        <v>116</v>
      </c>
      <c r="I119" s="189">
        <f t="shared" si="2"/>
        <v>116000000</v>
      </c>
      <c r="J119" s="636">
        <f t="shared" si="3"/>
        <v>0.27125619680104762</v>
      </c>
    </row>
    <row r="120" spans="1:10" s="25" customFormat="1" ht="12">
      <c r="A120" s="637">
        <v>66</v>
      </c>
      <c r="B120" s="33" t="s">
        <v>600</v>
      </c>
      <c r="C120" s="189">
        <v>1</v>
      </c>
      <c r="D120" s="189">
        <v>14081</v>
      </c>
      <c r="E120" s="189">
        <v>15970</v>
      </c>
      <c r="F120" s="189">
        <f t="shared" si="4"/>
        <v>1890</v>
      </c>
      <c r="G120" s="33" t="s">
        <v>601</v>
      </c>
      <c r="H120" s="189">
        <f t="shared" si="5"/>
        <v>1890</v>
      </c>
      <c r="I120" s="189">
        <f t="shared" ref="I120:I136" si="6">F120*1000000</f>
        <v>1890000000</v>
      </c>
      <c r="J120" s="636">
        <f t="shared" ref="J120:J143" si="7">I120/$I$144*100</f>
        <v>4.4196052754653445</v>
      </c>
    </row>
    <row r="121" spans="1:10" s="25" customFormat="1" ht="12">
      <c r="A121" s="637">
        <v>67</v>
      </c>
      <c r="B121" s="33" t="s">
        <v>602</v>
      </c>
      <c r="C121" s="189">
        <v>1</v>
      </c>
      <c r="D121" s="189">
        <v>15971</v>
      </c>
      <c r="E121" s="189">
        <v>16915</v>
      </c>
      <c r="F121" s="189">
        <f t="shared" si="4"/>
        <v>945</v>
      </c>
      <c r="G121" s="33" t="s">
        <v>601</v>
      </c>
      <c r="H121" s="189">
        <f t="shared" si="5"/>
        <v>945</v>
      </c>
      <c r="I121" s="189">
        <f t="shared" si="6"/>
        <v>945000000</v>
      </c>
      <c r="J121" s="636">
        <f t="shared" si="7"/>
        <v>2.2098026377326723</v>
      </c>
    </row>
    <row r="122" spans="1:10" s="25" customFormat="1" ht="12">
      <c r="A122" s="637">
        <v>68</v>
      </c>
      <c r="B122" s="33" t="s">
        <v>603</v>
      </c>
      <c r="C122" s="189">
        <v>1</v>
      </c>
      <c r="D122" s="189">
        <v>16916</v>
      </c>
      <c r="E122" s="189">
        <v>17860</v>
      </c>
      <c r="F122" s="189">
        <f t="shared" si="4"/>
        <v>945</v>
      </c>
      <c r="G122" s="33" t="s">
        <v>601</v>
      </c>
      <c r="H122" s="189">
        <f t="shared" si="5"/>
        <v>945</v>
      </c>
      <c r="I122" s="189">
        <f t="shared" si="6"/>
        <v>945000000</v>
      </c>
      <c r="J122" s="636">
        <f t="shared" si="7"/>
        <v>2.2098026377326723</v>
      </c>
    </row>
    <row r="123" spans="1:10" s="25" customFormat="1" ht="12">
      <c r="A123" s="637">
        <v>69</v>
      </c>
      <c r="B123" s="33" t="s">
        <v>545</v>
      </c>
      <c r="C123" s="189">
        <v>1</v>
      </c>
      <c r="D123" s="189">
        <v>17861</v>
      </c>
      <c r="E123" s="189">
        <v>18130</v>
      </c>
      <c r="F123" s="189">
        <f t="shared" si="4"/>
        <v>270</v>
      </c>
      <c r="G123" s="33" t="s">
        <v>601</v>
      </c>
      <c r="H123" s="189">
        <f t="shared" si="5"/>
        <v>270</v>
      </c>
      <c r="I123" s="189">
        <f t="shared" si="6"/>
        <v>270000000</v>
      </c>
      <c r="J123" s="636">
        <f t="shared" si="7"/>
        <v>0.631372182209335</v>
      </c>
    </row>
    <row r="124" spans="1:10" s="25" customFormat="1" ht="12">
      <c r="A124" s="637">
        <v>70</v>
      </c>
      <c r="B124" s="33" t="s">
        <v>604</v>
      </c>
      <c r="C124" s="189">
        <v>1</v>
      </c>
      <c r="D124" s="189">
        <v>18131</v>
      </c>
      <c r="E124" s="189">
        <v>18400</v>
      </c>
      <c r="F124" s="189">
        <f t="shared" si="4"/>
        <v>270</v>
      </c>
      <c r="G124" s="33" t="s">
        <v>601</v>
      </c>
      <c r="H124" s="189">
        <f t="shared" si="5"/>
        <v>270</v>
      </c>
      <c r="I124" s="189">
        <f t="shared" si="6"/>
        <v>270000000</v>
      </c>
      <c r="J124" s="636">
        <f t="shared" si="7"/>
        <v>0.631372182209335</v>
      </c>
    </row>
    <row r="125" spans="1:10" s="25" customFormat="1" ht="12">
      <c r="A125" s="637">
        <v>71</v>
      </c>
      <c r="B125" s="33" t="s">
        <v>600</v>
      </c>
      <c r="C125" s="189">
        <v>1</v>
      </c>
      <c r="D125" s="189">
        <v>18401</v>
      </c>
      <c r="E125" s="189">
        <v>20976</v>
      </c>
      <c r="F125" s="189">
        <f t="shared" si="4"/>
        <v>2576</v>
      </c>
      <c r="G125" s="33" t="s">
        <v>601</v>
      </c>
      <c r="H125" s="189">
        <f t="shared" si="5"/>
        <v>2576</v>
      </c>
      <c r="I125" s="189">
        <f t="shared" si="6"/>
        <v>2576000000</v>
      </c>
      <c r="J125" s="636">
        <f t="shared" si="7"/>
        <v>6.023758301374988</v>
      </c>
    </row>
    <row r="126" spans="1:10" s="25" customFormat="1" ht="12">
      <c r="A126" s="637">
        <v>72</v>
      </c>
      <c r="B126" s="33" t="s">
        <v>602</v>
      </c>
      <c r="C126" s="189">
        <v>1</v>
      </c>
      <c r="D126" s="189">
        <v>20977</v>
      </c>
      <c r="E126" s="189">
        <v>22264</v>
      </c>
      <c r="F126" s="189">
        <f t="shared" si="4"/>
        <v>1288</v>
      </c>
      <c r="G126" s="33" t="s">
        <v>601</v>
      </c>
      <c r="H126" s="189">
        <f t="shared" si="5"/>
        <v>1288</v>
      </c>
      <c r="I126" s="189">
        <f t="shared" si="6"/>
        <v>1288000000</v>
      </c>
      <c r="J126" s="636">
        <f t="shared" si="7"/>
        <v>3.011879150687494</v>
      </c>
    </row>
    <row r="127" spans="1:10" s="25" customFormat="1" ht="12">
      <c r="A127" s="637">
        <v>73</v>
      </c>
      <c r="B127" s="33" t="s">
        <v>603</v>
      </c>
      <c r="C127" s="189">
        <v>1</v>
      </c>
      <c r="D127" s="189">
        <v>22265</v>
      </c>
      <c r="E127" s="189">
        <v>23552</v>
      </c>
      <c r="F127" s="189">
        <f t="shared" si="4"/>
        <v>1288</v>
      </c>
      <c r="G127" s="33" t="s">
        <v>601</v>
      </c>
      <c r="H127" s="189">
        <f t="shared" si="5"/>
        <v>1288</v>
      </c>
      <c r="I127" s="189">
        <f t="shared" si="6"/>
        <v>1288000000</v>
      </c>
      <c r="J127" s="636">
        <f t="shared" si="7"/>
        <v>3.011879150687494</v>
      </c>
    </row>
    <row r="128" spans="1:10" s="25" customFormat="1" ht="12">
      <c r="A128" s="637">
        <v>74</v>
      </c>
      <c r="B128" s="33" t="s">
        <v>545</v>
      </c>
      <c r="C128" s="189">
        <v>1</v>
      </c>
      <c r="D128" s="189">
        <v>23553</v>
      </c>
      <c r="E128" s="189">
        <v>23920</v>
      </c>
      <c r="F128" s="189">
        <f t="shared" si="4"/>
        <v>368</v>
      </c>
      <c r="G128" s="33" t="s">
        <v>601</v>
      </c>
      <c r="H128" s="189">
        <f t="shared" si="5"/>
        <v>368</v>
      </c>
      <c r="I128" s="189">
        <f t="shared" si="6"/>
        <v>368000000</v>
      </c>
      <c r="J128" s="636">
        <f t="shared" si="7"/>
        <v>0.86053690019642692</v>
      </c>
    </row>
    <row r="129" spans="1:10" s="25" customFormat="1" ht="12">
      <c r="A129" s="637">
        <v>75</v>
      </c>
      <c r="B129" s="33" t="s">
        <v>604</v>
      </c>
      <c r="C129" s="189">
        <v>1</v>
      </c>
      <c r="D129" s="189">
        <v>23921</v>
      </c>
      <c r="E129" s="189">
        <v>24288</v>
      </c>
      <c r="F129" s="189">
        <f t="shared" si="4"/>
        <v>368</v>
      </c>
      <c r="G129" s="33" t="s">
        <v>601</v>
      </c>
      <c r="H129" s="189">
        <f t="shared" si="5"/>
        <v>368</v>
      </c>
      <c r="I129" s="189">
        <f t="shared" si="6"/>
        <v>368000000</v>
      </c>
      <c r="J129" s="636">
        <f t="shared" si="7"/>
        <v>0.86053690019642692</v>
      </c>
    </row>
    <row r="130" spans="1:10" s="25" customFormat="1" ht="12">
      <c r="A130" s="637">
        <v>76</v>
      </c>
      <c r="B130" s="33" t="s">
        <v>600</v>
      </c>
      <c r="C130" s="189">
        <v>1</v>
      </c>
      <c r="D130" s="189">
        <v>24289</v>
      </c>
      <c r="E130" s="189">
        <v>25478</v>
      </c>
      <c r="F130" s="189">
        <v>1190</v>
      </c>
      <c r="G130" s="33" t="s">
        <v>601</v>
      </c>
      <c r="H130" s="189">
        <f t="shared" si="5"/>
        <v>1190</v>
      </c>
      <c r="I130" s="189">
        <f t="shared" si="6"/>
        <v>1190000000</v>
      </c>
      <c r="J130" s="636">
        <f t="shared" si="7"/>
        <v>2.7827144327004021</v>
      </c>
    </row>
    <row r="131" spans="1:10" s="25" customFormat="1" ht="12">
      <c r="A131" s="637">
        <v>77</v>
      </c>
      <c r="B131" s="33" t="s">
        <v>602</v>
      </c>
      <c r="C131" s="189">
        <v>1</v>
      </c>
      <c r="D131" s="189">
        <v>25479</v>
      </c>
      <c r="E131" s="189">
        <v>26073</v>
      </c>
      <c r="F131" s="189">
        <v>595</v>
      </c>
      <c r="G131" s="33" t="s">
        <v>601</v>
      </c>
      <c r="H131" s="189">
        <f t="shared" si="5"/>
        <v>595</v>
      </c>
      <c r="I131" s="189">
        <f t="shared" si="6"/>
        <v>595000000</v>
      </c>
      <c r="J131" s="636">
        <f t="shared" si="7"/>
        <v>1.391357216350201</v>
      </c>
    </row>
    <row r="132" spans="1:10" s="25" customFormat="1" ht="12">
      <c r="A132" s="637">
        <v>78</v>
      </c>
      <c r="B132" s="33" t="s">
        <v>603</v>
      </c>
      <c r="C132" s="189">
        <v>1</v>
      </c>
      <c r="D132" s="189">
        <v>26074</v>
      </c>
      <c r="E132" s="189">
        <v>26668</v>
      </c>
      <c r="F132" s="189">
        <v>595</v>
      </c>
      <c r="G132" s="33" t="s">
        <v>601</v>
      </c>
      <c r="H132" s="189">
        <f t="shared" si="5"/>
        <v>595</v>
      </c>
      <c r="I132" s="189">
        <f t="shared" si="6"/>
        <v>595000000</v>
      </c>
      <c r="J132" s="636">
        <f t="shared" si="7"/>
        <v>1.391357216350201</v>
      </c>
    </row>
    <row r="133" spans="1:10" s="25" customFormat="1" ht="12">
      <c r="A133" s="637">
        <v>79</v>
      </c>
      <c r="B133" s="33" t="s">
        <v>545</v>
      </c>
      <c r="C133" s="189">
        <v>1</v>
      </c>
      <c r="D133" s="189">
        <v>26669</v>
      </c>
      <c r="E133" s="189">
        <v>26838</v>
      </c>
      <c r="F133" s="189">
        <v>170</v>
      </c>
      <c r="G133" s="33" t="s">
        <v>601</v>
      </c>
      <c r="H133" s="189">
        <f t="shared" si="5"/>
        <v>170</v>
      </c>
      <c r="I133" s="189">
        <f t="shared" si="6"/>
        <v>170000000</v>
      </c>
      <c r="J133" s="636">
        <f t="shared" si="7"/>
        <v>0.39753063324291465</v>
      </c>
    </row>
    <row r="134" spans="1:10" s="25" customFormat="1" ht="12">
      <c r="A134" s="637">
        <v>80</v>
      </c>
      <c r="B134" s="33" t="s">
        <v>604</v>
      </c>
      <c r="C134" s="189">
        <v>1</v>
      </c>
      <c r="D134" s="189">
        <v>26839</v>
      </c>
      <c r="E134" s="189">
        <v>27008</v>
      </c>
      <c r="F134" s="189">
        <v>170</v>
      </c>
      <c r="G134" s="33" t="s">
        <v>601</v>
      </c>
      <c r="H134" s="189">
        <f t="shared" si="5"/>
        <v>170</v>
      </c>
      <c r="I134" s="189">
        <f t="shared" si="6"/>
        <v>170000000</v>
      </c>
      <c r="J134" s="636">
        <f t="shared" si="7"/>
        <v>0.39753063324291465</v>
      </c>
    </row>
    <row r="135" spans="1:10" s="25" customFormat="1" ht="12">
      <c r="A135" s="637">
        <v>81</v>
      </c>
      <c r="B135" s="33" t="s">
        <v>545</v>
      </c>
      <c r="C135" s="189">
        <v>1</v>
      </c>
      <c r="D135" s="189">
        <v>27009</v>
      </c>
      <c r="E135" s="189">
        <f>+D135+F135-1</f>
        <v>27018</v>
      </c>
      <c r="F135" s="189">
        <v>10</v>
      </c>
      <c r="G135" s="33" t="s">
        <v>601</v>
      </c>
      <c r="H135" s="189">
        <f t="shared" si="5"/>
        <v>10</v>
      </c>
      <c r="I135" s="189">
        <f t="shared" si="6"/>
        <v>10000000</v>
      </c>
      <c r="J135" s="636">
        <f t="shared" si="7"/>
        <v>2.3384154896642036E-2</v>
      </c>
    </row>
    <row r="136" spans="1:10" s="371" customFormat="1" ht="12">
      <c r="A136" s="637">
        <v>82</v>
      </c>
      <c r="B136" s="33" t="s">
        <v>604</v>
      </c>
      <c r="C136" s="189">
        <v>1</v>
      </c>
      <c r="D136" s="189">
        <v>27019</v>
      </c>
      <c r="E136" s="189">
        <f>+D136+F136-1</f>
        <v>27028</v>
      </c>
      <c r="F136" s="189">
        <v>10</v>
      </c>
      <c r="G136" s="33" t="s">
        <v>601</v>
      </c>
      <c r="H136" s="189">
        <f t="shared" si="5"/>
        <v>10</v>
      </c>
      <c r="I136" s="189">
        <f t="shared" si="6"/>
        <v>10000000</v>
      </c>
      <c r="J136" s="636">
        <f t="shared" si="7"/>
        <v>2.3384154896642036E-2</v>
      </c>
    </row>
    <row r="137" spans="1:10" s="25" customFormat="1" ht="12">
      <c r="A137" s="637">
        <v>83</v>
      </c>
      <c r="B137" s="33" t="s">
        <v>1009</v>
      </c>
      <c r="C137" s="189">
        <v>1</v>
      </c>
      <c r="D137" s="189">
        <v>27029</v>
      </c>
      <c r="E137" s="189">
        <f>+F137+D137-1</f>
        <v>27164</v>
      </c>
      <c r="F137" s="189">
        <v>136</v>
      </c>
      <c r="G137" s="33" t="s">
        <v>601</v>
      </c>
      <c r="H137" s="189">
        <f>F137</f>
        <v>136</v>
      </c>
      <c r="I137" s="189">
        <f>F137*1000000</f>
        <v>136000000</v>
      </c>
      <c r="J137" s="636">
        <f t="shared" si="7"/>
        <v>0.31802450659433168</v>
      </c>
    </row>
    <row r="138" spans="1:10" s="642" customFormat="1" ht="12">
      <c r="A138" s="638">
        <v>84</v>
      </c>
      <c r="B138" s="639" t="s">
        <v>600</v>
      </c>
      <c r="C138" s="640">
        <v>1</v>
      </c>
      <c r="D138" s="641">
        <v>27165</v>
      </c>
      <c r="E138" s="641">
        <v>33950</v>
      </c>
      <c r="F138" s="641">
        <v>6786</v>
      </c>
      <c r="G138" s="639" t="s">
        <v>601</v>
      </c>
      <c r="H138" s="640">
        <f>+F138</f>
        <v>6786</v>
      </c>
      <c r="I138" s="189">
        <f t="shared" ref="I138:I143" si="8">F138*1000000</f>
        <v>6786000000</v>
      </c>
      <c r="J138" s="636">
        <f t="shared" si="7"/>
        <v>15.868487512861284</v>
      </c>
    </row>
    <row r="139" spans="1:10" s="642" customFormat="1" ht="12">
      <c r="A139" s="638">
        <v>85</v>
      </c>
      <c r="B139" s="639" t="s">
        <v>602</v>
      </c>
      <c r="C139" s="640">
        <v>1</v>
      </c>
      <c r="D139" s="641">
        <v>33951</v>
      </c>
      <c r="E139" s="641">
        <v>37343</v>
      </c>
      <c r="F139" s="641">
        <v>3393</v>
      </c>
      <c r="G139" s="639" t="s">
        <v>601</v>
      </c>
      <c r="H139" s="640">
        <f t="shared" ref="H139:H143" si="9">+F139</f>
        <v>3393</v>
      </c>
      <c r="I139" s="189">
        <f t="shared" si="8"/>
        <v>3393000000</v>
      </c>
      <c r="J139" s="636">
        <f t="shared" si="7"/>
        <v>7.9342437564306421</v>
      </c>
    </row>
    <row r="140" spans="1:10" s="642" customFormat="1" ht="12">
      <c r="A140" s="638">
        <v>86</v>
      </c>
      <c r="B140" s="639" t="s">
        <v>603</v>
      </c>
      <c r="C140" s="640">
        <v>1</v>
      </c>
      <c r="D140" s="641">
        <v>37344</v>
      </c>
      <c r="E140" s="641">
        <v>40736</v>
      </c>
      <c r="F140" s="641">
        <v>3393</v>
      </c>
      <c r="G140" s="639" t="s">
        <v>601</v>
      </c>
      <c r="H140" s="640">
        <f t="shared" si="9"/>
        <v>3393</v>
      </c>
      <c r="I140" s="189">
        <f t="shared" si="8"/>
        <v>3393000000</v>
      </c>
      <c r="J140" s="636">
        <f t="shared" si="7"/>
        <v>7.9342437564306421</v>
      </c>
    </row>
    <row r="141" spans="1:10" s="642" customFormat="1" ht="12">
      <c r="A141" s="638">
        <v>87</v>
      </c>
      <c r="B141" s="639" t="s">
        <v>545</v>
      </c>
      <c r="C141" s="640">
        <v>1</v>
      </c>
      <c r="D141" s="641">
        <v>40737</v>
      </c>
      <c r="E141" s="641">
        <v>41711</v>
      </c>
      <c r="F141" s="641">
        <v>975</v>
      </c>
      <c r="G141" s="639" t="s">
        <v>601</v>
      </c>
      <c r="H141" s="640">
        <f t="shared" si="9"/>
        <v>975</v>
      </c>
      <c r="I141" s="189">
        <f t="shared" si="8"/>
        <v>975000000</v>
      </c>
      <c r="J141" s="636">
        <f t="shared" si="7"/>
        <v>2.2799551024225986</v>
      </c>
    </row>
    <row r="142" spans="1:10" s="642" customFormat="1" ht="12">
      <c r="A142" s="638">
        <v>88</v>
      </c>
      <c r="B142" s="639" t="s">
        <v>604</v>
      </c>
      <c r="C142" s="640">
        <v>1</v>
      </c>
      <c r="D142" s="641">
        <v>41712</v>
      </c>
      <c r="E142" s="641">
        <v>42686</v>
      </c>
      <c r="F142" s="641">
        <v>975</v>
      </c>
      <c r="G142" s="639" t="s">
        <v>601</v>
      </c>
      <c r="H142" s="640">
        <f t="shared" si="9"/>
        <v>975</v>
      </c>
      <c r="I142" s="189">
        <f t="shared" si="8"/>
        <v>975000000</v>
      </c>
      <c r="J142" s="636">
        <f t="shared" si="7"/>
        <v>2.2799551024225986</v>
      </c>
    </row>
    <row r="143" spans="1:10" s="642" customFormat="1" ht="12.6" thickBot="1">
      <c r="A143" s="638">
        <v>89</v>
      </c>
      <c r="B143" s="639" t="s">
        <v>1009</v>
      </c>
      <c r="C143" s="640">
        <v>1</v>
      </c>
      <c r="D143" s="641">
        <v>42687</v>
      </c>
      <c r="E143" s="641">
        <v>42764</v>
      </c>
      <c r="F143" s="641">
        <v>78</v>
      </c>
      <c r="G143" s="639" t="s">
        <v>601</v>
      </c>
      <c r="H143" s="640">
        <f t="shared" si="9"/>
        <v>78</v>
      </c>
      <c r="I143" s="189">
        <f t="shared" si="8"/>
        <v>78000000</v>
      </c>
      <c r="J143" s="636">
        <f t="shared" si="7"/>
        <v>0.18239640819380787</v>
      </c>
    </row>
    <row r="144" spans="1:10" s="25" customFormat="1" ht="12.6" thickBot="1">
      <c r="A144" s="643"/>
      <c r="B144" s="644" t="s">
        <v>476</v>
      </c>
      <c r="C144" s="645"/>
      <c r="D144" s="645"/>
      <c r="E144" s="645"/>
      <c r="F144" s="645">
        <f>SUM(F55:F143)</f>
        <v>42764</v>
      </c>
      <c r="G144" s="644"/>
      <c r="H144" s="646">
        <f>SUM(H55:H143)</f>
        <v>42764</v>
      </c>
      <c r="I144" s="646">
        <f>SUM(I55:I143)</f>
        <v>42764000000</v>
      </c>
      <c r="J144" s="647">
        <f>SUM(J55:J143)</f>
        <v>100.00000000000001</v>
      </c>
    </row>
    <row r="145" spans="1:9" s="25" customFormat="1" ht="12.6" thickBot="1">
      <c r="A145" s="349"/>
      <c r="B145" s="348"/>
      <c r="C145" s="348"/>
      <c r="D145" s="348"/>
      <c r="E145" s="348"/>
      <c r="F145" s="648"/>
      <c r="G145" s="648"/>
      <c r="H145" s="649"/>
      <c r="I145" s="372"/>
    </row>
    <row r="146" spans="1:9" s="25" customFormat="1" ht="12.6" thickBot="1">
      <c r="A146" s="703" t="s">
        <v>616</v>
      </c>
      <c r="B146" s="704"/>
      <c r="C146" s="704"/>
      <c r="D146" s="704"/>
      <c r="E146" s="704"/>
      <c r="F146" s="704"/>
      <c r="G146" s="704"/>
      <c r="H146" s="705"/>
      <c r="I146" s="372"/>
    </row>
    <row r="147" spans="1:9" s="25" customFormat="1" ht="48.6" thickBot="1">
      <c r="A147" s="630" t="s">
        <v>591</v>
      </c>
      <c r="B147" s="631" t="s">
        <v>592</v>
      </c>
      <c r="C147" s="631" t="s">
        <v>593</v>
      </c>
      <c r="D147" s="631" t="s">
        <v>596</v>
      </c>
      <c r="E147" s="631" t="s">
        <v>597</v>
      </c>
      <c r="F147" s="631" t="s">
        <v>605</v>
      </c>
      <c r="G147" s="631" t="s">
        <v>599</v>
      </c>
      <c r="H147" s="632" t="s">
        <v>1008</v>
      </c>
      <c r="I147" s="372"/>
    </row>
    <row r="148" spans="1:9" s="25" customFormat="1" ht="12">
      <c r="A148" s="633">
        <v>1</v>
      </c>
      <c r="B148" s="634" t="s">
        <v>600</v>
      </c>
      <c r="C148" s="634">
        <v>1</v>
      </c>
      <c r="D148" s="650">
        <v>18602</v>
      </c>
      <c r="E148" s="634" t="s">
        <v>601</v>
      </c>
      <c r="F148" s="650">
        <f t="shared" ref="F148:F153" si="10">D148</f>
        <v>18602</v>
      </c>
      <c r="G148" s="650">
        <f>D148*1000000</f>
        <v>18602000000</v>
      </c>
      <c r="H148" s="651">
        <f>G148*100/$G$154</f>
        <v>43.499204938733513</v>
      </c>
      <c r="I148" s="372"/>
    </row>
    <row r="149" spans="1:9" s="25" customFormat="1" ht="12">
      <c r="A149" s="637">
        <v>2</v>
      </c>
      <c r="B149" s="33" t="s">
        <v>602</v>
      </c>
      <c r="C149" s="33">
        <v>1</v>
      </c>
      <c r="D149" s="652">
        <v>9301</v>
      </c>
      <c r="E149" s="33" t="s">
        <v>601</v>
      </c>
      <c r="F149" s="652">
        <f t="shared" si="10"/>
        <v>9301</v>
      </c>
      <c r="G149" s="652">
        <f t="shared" ref="G149:G153" si="11">D149*1000000</f>
        <v>9301000000</v>
      </c>
      <c r="H149" s="651">
        <f t="shared" ref="H149:H153" si="12">G149*100/$G$154</f>
        <v>21.749602469366756</v>
      </c>
      <c r="I149" s="372"/>
    </row>
    <row r="150" spans="1:9" s="25" customFormat="1" ht="12">
      <c r="A150" s="637">
        <v>3</v>
      </c>
      <c r="B150" s="33" t="s">
        <v>603</v>
      </c>
      <c r="C150" s="33">
        <v>1</v>
      </c>
      <c r="D150" s="652">
        <v>9301</v>
      </c>
      <c r="E150" s="33" t="s">
        <v>601</v>
      </c>
      <c r="F150" s="652">
        <f t="shared" si="10"/>
        <v>9301</v>
      </c>
      <c r="G150" s="652">
        <f t="shared" si="11"/>
        <v>9301000000</v>
      </c>
      <c r="H150" s="651">
        <f t="shared" si="12"/>
        <v>21.749602469366756</v>
      </c>
      <c r="I150" s="372"/>
    </row>
    <row r="151" spans="1:9" s="25" customFormat="1" ht="12">
      <c r="A151" s="637">
        <v>4</v>
      </c>
      <c r="B151" s="33" t="s">
        <v>545</v>
      </c>
      <c r="C151" s="33">
        <v>1</v>
      </c>
      <c r="D151" s="652">
        <v>2673</v>
      </c>
      <c r="E151" s="33" t="s">
        <v>601</v>
      </c>
      <c r="F151" s="652">
        <f t="shared" si="10"/>
        <v>2673</v>
      </c>
      <c r="G151" s="652">
        <f t="shared" si="11"/>
        <v>2673000000</v>
      </c>
      <c r="H151" s="651">
        <f t="shared" si="12"/>
        <v>6.250584603872416</v>
      </c>
      <c r="I151" s="372"/>
    </row>
    <row r="152" spans="1:9" s="25" customFormat="1" ht="12">
      <c r="A152" s="637">
        <v>5</v>
      </c>
      <c r="B152" s="33" t="s">
        <v>604</v>
      </c>
      <c r="C152" s="33">
        <v>1</v>
      </c>
      <c r="D152" s="652">
        <v>2673</v>
      </c>
      <c r="E152" s="33" t="s">
        <v>601</v>
      </c>
      <c r="F152" s="652">
        <f t="shared" si="10"/>
        <v>2673</v>
      </c>
      <c r="G152" s="652">
        <f t="shared" si="11"/>
        <v>2673000000</v>
      </c>
      <c r="H152" s="651">
        <f t="shared" si="12"/>
        <v>6.250584603872416</v>
      </c>
      <c r="I152" s="372"/>
    </row>
    <row r="153" spans="1:9" s="25" customFormat="1" ht="12.6" thickBot="1">
      <c r="A153" s="637">
        <v>6</v>
      </c>
      <c r="B153" s="33" t="s">
        <v>1009</v>
      </c>
      <c r="C153" s="33">
        <v>1</v>
      </c>
      <c r="D153" s="652">
        <v>214</v>
      </c>
      <c r="E153" s="33" t="s">
        <v>601</v>
      </c>
      <c r="F153" s="652">
        <f t="shared" si="10"/>
        <v>214</v>
      </c>
      <c r="G153" s="652">
        <f t="shared" si="11"/>
        <v>214000000</v>
      </c>
      <c r="H153" s="651">
        <f t="shared" si="12"/>
        <v>0.50042091478813955</v>
      </c>
      <c r="I153" s="372"/>
    </row>
    <row r="154" spans="1:9" s="25" customFormat="1" ht="12.6" thickBot="1">
      <c r="A154" s="643"/>
      <c r="B154" s="644" t="s">
        <v>476</v>
      </c>
      <c r="C154" s="644"/>
      <c r="D154" s="645">
        <f>SUM(D148:D153)</f>
        <v>42764</v>
      </c>
      <c r="E154" s="644"/>
      <c r="F154" s="644"/>
      <c r="G154" s="653">
        <f>SUM(G148:G153)</f>
        <v>42764000000</v>
      </c>
      <c r="H154" s="654">
        <f>SUM(H148:H153)</f>
        <v>99.999999999999986</v>
      </c>
      <c r="I154" s="372"/>
    </row>
    <row r="155" spans="1:9" s="25" customFormat="1" ht="12">
      <c r="A155" s="108"/>
      <c r="B155" s="108"/>
      <c r="C155" s="108"/>
      <c r="D155" s="108"/>
      <c r="E155" s="108"/>
      <c r="I155" s="372"/>
    </row>
    <row r="156" spans="1:9" s="25" customFormat="1" ht="12">
      <c r="A156" s="108"/>
      <c r="B156" s="108"/>
      <c r="C156" s="108"/>
      <c r="D156" s="108"/>
      <c r="E156" s="108"/>
      <c r="I156" s="372"/>
    </row>
    <row r="157" spans="1:9" s="25" customFormat="1" ht="12">
      <c r="A157" s="108"/>
      <c r="B157" s="108"/>
      <c r="C157" s="108"/>
      <c r="D157" s="108"/>
      <c r="E157" s="108"/>
      <c r="I157" s="372"/>
    </row>
    <row r="158" spans="1:9" s="25" customFormat="1" ht="12">
      <c r="A158" s="108"/>
      <c r="B158" s="108"/>
      <c r="C158" s="108"/>
      <c r="D158" s="108"/>
      <c r="E158" s="108"/>
      <c r="I158" s="372"/>
    </row>
    <row r="159" spans="1:9" s="25" customFormat="1" ht="12">
      <c r="A159" s="108"/>
      <c r="B159" s="108"/>
      <c r="C159" s="108"/>
      <c r="D159" s="108"/>
      <c r="E159" s="108"/>
      <c r="I159" s="372"/>
    </row>
    <row r="160" spans="1:9" s="25" customFormat="1" ht="12">
      <c r="A160" s="108"/>
      <c r="B160" s="108"/>
      <c r="C160" s="108"/>
      <c r="D160" s="108"/>
      <c r="E160" s="108"/>
      <c r="I160" s="372"/>
    </row>
    <row r="161" spans="1:9" s="25" customFormat="1" ht="12">
      <c r="A161" s="108"/>
      <c r="B161" s="108"/>
      <c r="C161" s="108"/>
      <c r="D161" s="108"/>
      <c r="E161" s="108"/>
      <c r="I161" s="372"/>
    </row>
    <row r="162" spans="1:9" s="25" customFormat="1" ht="12">
      <c r="A162" s="108"/>
      <c r="B162" s="108"/>
      <c r="C162" s="108"/>
      <c r="D162" s="108"/>
      <c r="E162" s="108"/>
      <c r="I162" s="372"/>
    </row>
    <row r="163" spans="1:9" s="25" customFormat="1" ht="12">
      <c r="A163" s="108"/>
      <c r="B163" s="108"/>
      <c r="C163" s="108"/>
      <c r="D163" s="108"/>
      <c r="E163" s="108"/>
      <c r="I163" s="372"/>
    </row>
    <row r="164" spans="1:9" s="25" customFormat="1" ht="12">
      <c r="A164" s="108"/>
      <c r="B164" s="108"/>
      <c r="C164" s="108"/>
      <c r="D164" s="108"/>
      <c r="E164" s="108"/>
      <c r="I164" s="372"/>
    </row>
    <row r="165" spans="1:9" s="25" customFormat="1" ht="12">
      <c r="A165" s="108"/>
      <c r="B165" s="108"/>
      <c r="C165" s="108"/>
      <c r="D165" s="108"/>
      <c r="E165" s="108"/>
      <c r="I165" s="372"/>
    </row>
    <row r="166" spans="1:9" s="25" customFormat="1" ht="12">
      <c r="A166" s="108"/>
      <c r="B166" s="108"/>
      <c r="C166" s="108"/>
      <c r="D166" s="108"/>
      <c r="E166" s="108"/>
      <c r="I166" s="372"/>
    </row>
    <row r="167" spans="1:9" s="25" customFormat="1" ht="12">
      <c r="A167" s="108"/>
      <c r="B167" s="108"/>
      <c r="C167" s="108"/>
      <c r="D167" s="108"/>
      <c r="E167" s="108"/>
      <c r="I167" s="372"/>
    </row>
    <row r="168" spans="1:9" s="25" customFormat="1" ht="12">
      <c r="A168" s="108"/>
      <c r="B168" s="108"/>
      <c r="C168" s="108"/>
      <c r="D168" s="108"/>
      <c r="E168" s="108"/>
      <c r="I168" s="372"/>
    </row>
    <row r="169" spans="1:9" s="25" customFormat="1" ht="12">
      <c r="A169" s="108"/>
      <c r="B169" s="108"/>
      <c r="C169" s="108"/>
      <c r="D169" s="108"/>
      <c r="E169" s="108"/>
      <c r="I169" s="372"/>
    </row>
    <row r="170" spans="1:9" s="25" customFormat="1" ht="12">
      <c r="A170" s="108"/>
      <c r="B170" s="108"/>
      <c r="C170" s="108"/>
      <c r="D170" s="108"/>
      <c r="E170" s="108"/>
      <c r="I170" s="372"/>
    </row>
    <row r="171" spans="1:9" s="25" customFormat="1" ht="12">
      <c r="A171" s="108"/>
      <c r="B171" s="108"/>
      <c r="C171" s="108"/>
      <c r="D171" s="108"/>
      <c r="E171" s="108"/>
      <c r="I171" s="372"/>
    </row>
    <row r="172" spans="1:9" s="25" customFormat="1" ht="12">
      <c r="A172" s="108"/>
      <c r="B172" s="108"/>
      <c r="C172" s="108"/>
      <c r="D172" s="108"/>
      <c r="E172" s="108"/>
      <c r="I172" s="372"/>
    </row>
    <row r="173" spans="1:9" s="25" customFormat="1" ht="12">
      <c r="A173" s="108"/>
      <c r="B173" s="108"/>
      <c r="C173" s="108"/>
      <c r="D173" s="108"/>
      <c r="E173" s="108"/>
      <c r="I173" s="372"/>
    </row>
    <row r="174" spans="1:9" s="25" customFormat="1" ht="12">
      <c r="A174" s="108"/>
      <c r="B174" s="108"/>
      <c r="C174" s="108"/>
      <c r="D174" s="108"/>
      <c r="E174" s="108"/>
      <c r="I174" s="372"/>
    </row>
    <row r="175" spans="1:9" s="25" customFormat="1" ht="12">
      <c r="A175" s="108"/>
      <c r="B175" s="108"/>
      <c r="C175" s="108"/>
      <c r="D175" s="108"/>
      <c r="E175" s="108"/>
      <c r="I175" s="372"/>
    </row>
    <row r="176" spans="1:9" s="25" customFormat="1" ht="12">
      <c r="A176" s="108"/>
      <c r="B176" s="108"/>
      <c r="C176" s="108"/>
      <c r="D176" s="108"/>
      <c r="E176" s="108"/>
      <c r="I176" s="372"/>
    </row>
    <row r="177" spans="1:9" s="25" customFormat="1" ht="12">
      <c r="A177" s="108"/>
      <c r="B177" s="108"/>
      <c r="C177" s="108"/>
      <c r="D177" s="108"/>
      <c r="E177" s="108"/>
      <c r="I177" s="372"/>
    </row>
    <row r="178" spans="1:9" s="25" customFormat="1" ht="12">
      <c r="A178" s="108"/>
      <c r="B178" s="108"/>
      <c r="C178" s="108"/>
      <c r="D178" s="108"/>
      <c r="E178" s="108"/>
      <c r="I178" s="372"/>
    </row>
    <row r="179" spans="1:9" s="25" customFormat="1" ht="12">
      <c r="A179" s="108"/>
      <c r="B179" s="108"/>
      <c r="C179" s="108"/>
      <c r="D179" s="108"/>
      <c r="E179" s="108"/>
      <c r="I179" s="372"/>
    </row>
    <row r="180" spans="1:9" s="25" customFormat="1" ht="12">
      <c r="A180" s="108"/>
      <c r="B180" s="108"/>
      <c r="C180" s="108"/>
      <c r="D180" s="108"/>
      <c r="E180" s="108"/>
      <c r="I180" s="372"/>
    </row>
    <row r="181" spans="1:9" s="25" customFormat="1" ht="12">
      <c r="A181" s="108"/>
      <c r="B181" s="108"/>
      <c r="C181" s="108"/>
      <c r="D181" s="108"/>
      <c r="E181" s="108"/>
      <c r="I181" s="372"/>
    </row>
    <row r="182" spans="1:9" s="25" customFormat="1" ht="12">
      <c r="A182" s="108"/>
      <c r="B182" s="108"/>
      <c r="C182" s="108"/>
      <c r="D182" s="108"/>
      <c r="E182" s="108"/>
      <c r="I182" s="372"/>
    </row>
    <row r="183" spans="1:9" s="25" customFormat="1" ht="12">
      <c r="A183" s="108"/>
      <c r="B183" s="108"/>
      <c r="C183" s="108"/>
      <c r="D183" s="108"/>
      <c r="E183" s="108"/>
      <c r="I183" s="372"/>
    </row>
    <row r="184" spans="1:9" s="25" customFormat="1" ht="12">
      <c r="A184" s="108"/>
      <c r="B184" s="108"/>
      <c r="C184" s="108"/>
      <c r="D184" s="108"/>
      <c r="E184" s="108"/>
      <c r="I184" s="372"/>
    </row>
    <row r="185" spans="1:9" s="25" customFormat="1" ht="12">
      <c r="A185" s="108"/>
      <c r="B185" s="108"/>
      <c r="C185" s="108"/>
      <c r="D185" s="108"/>
      <c r="E185" s="108"/>
      <c r="I185" s="372"/>
    </row>
    <row r="186" spans="1:9" s="25" customFormat="1" ht="12">
      <c r="A186" s="108"/>
      <c r="B186" s="108"/>
      <c r="C186" s="108"/>
      <c r="D186" s="108"/>
      <c r="E186" s="108"/>
      <c r="I186" s="372"/>
    </row>
    <row r="187" spans="1:9" s="25" customFormat="1" ht="12">
      <c r="A187" s="108"/>
      <c r="B187" s="108"/>
      <c r="C187" s="108"/>
      <c r="D187" s="108"/>
      <c r="E187" s="108"/>
      <c r="I187" s="372"/>
    </row>
    <row r="188" spans="1:9" s="25" customFormat="1" ht="12">
      <c r="A188" s="108"/>
      <c r="B188" s="108"/>
      <c r="C188" s="108"/>
      <c r="D188" s="108"/>
      <c r="E188" s="108"/>
      <c r="I188" s="372"/>
    </row>
    <row r="189" spans="1:9" s="25" customFormat="1" ht="12">
      <c r="A189" s="108"/>
      <c r="B189" s="108"/>
      <c r="C189" s="108"/>
      <c r="D189" s="108"/>
      <c r="E189" s="108"/>
      <c r="I189" s="372"/>
    </row>
    <row r="190" spans="1:9" s="25" customFormat="1" ht="12">
      <c r="A190" s="108"/>
      <c r="B190" s="108"/>
      <c r="C190" s="108"/>
      <c r="D190" s="108"/>
      <c r="E190" s="108"/>
      <c r="I190" s="372"/>
    </row>
    <row r="191" spans="1:9" s="25" customFormat="1" ht="12">
      <c r="A191" s="108"/>
      <c r="B191" s="108"/>
      <c r="C191" s="108"/>
      <c r="D191" s="108"/>
      <c r="E191" s="108"/>
      <c r="I191" s="372"/>
    </row>
    <row r="192" spans="1:9" s="25" customFormat="1" ht="12">
      <c r="A192" s="108"/>
      <c r="B192" s="108"/>
      <c r="C192" s="108"/>
      <c r="D192" s="108"/>
      <c r="E192" s="108"/>
      <c r="I192" s="372"/>
    </row>
    <row r="193" spans="1:9" s="25" customFormat="1" ht="12">
      <c r="A193" s="108"/>
      <c r="B193" s="108"/>
      <c r="C193" s="108"/>
      <c r="D193" s="108"/>
      <c r="E193" s="108"/>
      <c r="I193" s="372"/>
    </row>
    <row r="194" spans="1:9" s="25" customFormat="1" ht="12">
      <c r="A194" s="108"/>
      <c r="B194" s="108"/>
      <c r="C194" s="108"/>
      <c r="D194" s="108"/>
      <c r="E194" s="108"/>
      <c r="I194" s="372"/>
    </row>
    <row r="195" spans="1:9" s="25" customFormat="1" ht="12">
      <c r="A195" s="108"/>
      <c r="B195" s="108"/>
      <c r="C195" s="108"/>
      <c r="D195" s="108"/>
      <c r="E195" s="108"/>
      <c r="I195" s="372"/>
    </row>
    <row r="196" spans="1:9" s="25" customFormat="1" ht="12">
      <c r="A196" s="108"/>
      <c r="B196" s="108"/>
      <c r="C196" s="108"/>
      <c r="D196" s="108"/>
      <c r="E196" s="108"/>
      <c r="I196" s="372"/>
    </row>
    <row r="197" spans="1:9" s="25" customFormat="1" ht="12">
      <c r="A197" s="108"/>
      <c r="B197" s="108"/>
      <c r="C197" s="108"/>
      <c r="D197" s="108"/>
      <c r="E197" s="108"/>
      <c r="I197" s="372"/>
    </row>
    <row r="198" spans="1:9" s="25" customFormat="1" ht="12">
      <c r="A198" s="108"/>
      <c r="B198" s="108"/>
      <c r="C198" s="108"/>
      <c r="D198" s="108"/>
      <c r="E198" s="108"/>
      <c r="I198" s="372"/>
    </row>
    <row r="199" spans="1:9" s="25" customFormat="1" ht="12">
      <c r="A199" s="108"/>
      <c r="B199" s="108"/>
      <c r="C199" s="108"/>
      <c r="D199" s="108"/>
      <c r="E199" s="108"/>
      <c r="I199" s="372"/>
    </row>
    <row r="200" spans="1:9" s="25" customFormat="1" ht="12">
      <c r="A200" s="108"/>
      <c r="B200" s="108"/>
      <c r="C200" s="108"/>
      <c r="D200" s="108"/>
      <c r="E200" s="108"/>
      <c r="I200" s="372"/>
    </row>
    <row r="201" spans="1:9" s="25" customFormat="1" ht="12">
      <c r="A201" s="108"/>
      <c r="B201" s="108"/>
      <c r="C201" s="108"/>
      <c r="D201" s="108"/>
      <c r="E201" s="108"/>
      <c r="I201" s="372"/>
    </row>
    <row r="202" spans="1:9" s="25" customFormat="1" ht="12">
      <c r="A202" s="108"/>
      <c r="B202" s="108"/>
      <c r="C202" s="108"/>
      <c r="D202" s="108"/>
      <c r="E202" s="108"/>
      <c r="I202" s="372"/>
    </row>
    <row r="203" spans="1:9" s="25" customFormat="1" ht="12">
      <c r="A203" s="108"/>
      <c r="B203" s="108"/>
      <c r="C203" s="108"/>
      <c r="D203" s="108"/>
      <c r="E203" s="108"/>
      <c r="I203" s="372"/>
    </row>
    <row r="204" spans="1:9" s="25" customFormat="1" ht="12">
      <c r="A204" s="108"/>
      <c r="B204" s="108"/>
      <c r="C204" s="108"/>
      <c r="D204" s="108"/>
      <c r="E204" s="108"/>
      <c r="I204" s="372"/>
    </row>
    <row r="205" spans="1:9" s="25" customFormat="1" ht="12">
      <c r="A205" s="108"/>
      <c r="B205" s="108"/>
      <c r="C205" s="108"/>
      <c r="D205" s="108"/>
      <c r="E205" s="108"/>
      <c r="I205" s="372"/>
    </row>
    <row r="206" spans="1:9" s="25" customFormat="1" ht="12">
      <c r="A206" s="108"/>
      <c r="B206" s="108"/>
      <c r="C206" s="108"/>
      <c r="D206" s="108"/>
      <c r="E206" s="108"/>
      <c r="I206" s="372"/>
    </row>
    <row r="207" spans="1:9" s="25" customFormat="1" ht="12">
      <c r="A207" s="108"/>
      <c r="B207" s="108"/>
      <c r="C207" s="108"/>
      <c r="D207" s="108"/>
      <c r="E207" s="108"/>
      <c r="I207" s="372"/>
    </row>
    <row r="208" spans="1:9" s="25" customFormat="1" ht="12">
      <c r="A208" s="108"/>
      <c r="B208" s="108"/>
      <c r="C208" s="108"/>
      <c r="D208" s="108"/>
      <c r="E208" s="108"/>
      <c r="I208" s="372"/>
    </row>
    <row r="209" spans="1:9" s="25" customFormat="1" ht="12">
      <c r="A209" s="108"/>
      <c r="B209" s="108"/>
      <c r="C209" s="108"/>
      <c r="D209" s="108"/>
      <c r="E209" s="108"/>
      <c r="I209" s="372"/>
    </row>
    <row r="210" spans="1:9" s="25" customFormat="1" ht="12">
      <c r="A210" s="108"/>
      <c r="B210" s="108"/>
      <c r="C210" s="108"/>
      <c r="D210" s="108"/>
      <c r="E210" s="108"/>
      <c r="I210" s="372"/>
    </row>
    <row r="211" spans="1:9" s="25" customFormat="1" ht="12">
      <c r="A211" s="108"/>
      <c r="B211" s="108"/>
      <c r="C211" s="108"/>
      <c r="D211" s="108"/>
      <c r="E211" s="108"/>
      <c r="I211" s="372"/>
    </row>
    <row r="212" spans="1:9" s="25" customFormat="1" ht="12">
      <c r="A212" s="108"/>
      <c r="B212" s="108"/>
      <c r="C212" s="108"/>
      <c r="D212" s="108"/>
      <c r="E212" s="108"/>
      <c r="I212" s="372"/>
    </row>
    <row r="213" spans="1:9" s="25" customFormat="1" ht="12">
      <c r="A213" s="108"/>
      <c r="B213" s="108"/>
      <c r="C213" s="108"/>
      <c r="D213" s="108"/>
      <c r="E213" s="108"/>
      <c r="I213" s="372"/>
    </row>
    <row r="214" spans="1:9" s="25" customFormat="1" ht="12">
      <c r="A214" s="108"/>
      <c r="B214" s="108"/>
      <c r="C214" s="108"/>
      <c r="D214" s="108"/>
      <c r="E214" s="108"/>
      <c r="I214" s="372"/>
    </row>
    <row r="215" spans="1:9" s="25" customFormat="1" ht="12">
      <c r="A215" s="108"/>
      <c r="B215" s="108"/>
      <c r="C215" s="108"/>
      <c r="D215" s="108"/>
      <c r="E215" s="108"/>
      <c r="I215" s="372"/>
    </row>
    <row r="216" spans="1:9" s="25" customFormat="1" ht="12">
      <c r="A216" s="108"/>
      <c r="B216" s="108"/>
      <c r="C216" s="108"/>
      <c r="D216" s="108"/>
      <c r="E216" s="108"/>
      <c r="I216" s="372"/>
    </row>
    <row r="217" spans="1:9" s="25" customFormat="1" ht="12">
      <c r="A217" s="108"/>
      <c r="B217" s="108"/>
      <c r="C217" s="108"/>
      <c r="D217" s="108"/>
      <c r="E217" s="108"/>
      <c r="I217" s="372"/>
    </row>
    <row r="218" spans="1:9" s="25" customFormat="1" ht="12">
      <c r="A218" s="108"/>
      <c r="B218" s="108"/>
      <c r="C218" s="108"/>
      <c r="D218" s="108"/>
      <c r="E218" s="108"/>
      <c r="I218" s="372"/>
    </row>
    <row r="219" spans="1:9" s="25" customFormat="1" ht="12">
      <c r="A219" s="108"/>
      <c r="B219" s="108"/>
      <c r="C219" s="108"/>
      <c r="D219" s="108"/>
      <c r="E219" s="108"/>
      <c r="I219" s="372"/>
    </row>
    <row r="220" spans="1:9" s="25" customFormat="1" ht="12">
      <c r="A220" s="108"/>
      <c r="B220" s="108"/>
      <c r="C220" s="108"/>
      <c r="D220" s="108"/>
      <c r="E220" s="108"/>
      <c r="I220" s="372"/>
    </row>
    <row r="221" spans="1:9" s="25" customFormat="1" ht="12">
      <c r="A221" s="108"/>
      <c r="B221" s="108"/>
      <c r="C221" s="108"/>
      <c r="D221" s="108"/>
      <c r="E221" s="108"/>
      <c r="I221" s="372"/>
    </row>
    <row r="222" spans="1:9" s="25" customFormat="1" ht="12">
      <c r="A222" s="108"/>
      <c r="B222" s="108"/>
      <c r="C222" s="108"/>
      <c r="D222" s="108"/>
      <c r="E222" s="108"/>
      <c r="I222" s="372"/>
    </row>
    <row r="223" spans="1:9" s="25" customFormat="1" ht="12">
      <c r="A223" s="108"/>
      <c r="B223" s="108"/>
      <c r="C223" s="108"/>
      <c r="D223" s="108"/>
      <c r="E223" s="108"/>
      <c r="I223" s="372"/>
    </row>
    <row r="224" spans="1:9" s="25" customFormat="1" ht="12">
      <c r="A224" s="108"/>
      <c r="B224" s="108"/>
      <c r="C224" s="108"/>
      <c r="D224" s="108"/>
      <c r="E224" s="108"/>
      <c r="I224" s="372"/>
    </row>
    <row r="225" spans="1:9" s="25" customFormat="1" ht="12">
      <c r="A225" s="108"/>
      <c r="B225" s="108"/>
      <c r="C225" s="108"/>
      <c r="D225" s="108"/>
      <c r="E225" s="108"/>
      <c r="I225" s="372"/>
    </row>
    <row r="226" spans="1:9" s="25" customFormat="1" ht="12">
      <c r="A226" s="108"/>
      <c r="B226" s="108"/>
      <c r="C226" s="108"/>
      <c r="D226" s="108"/>
      <c r="E226" s="108"/>
      <c r="I226" s="372"/>
    </row>
    <row r="227" spans="1:9" s="25" customFormat="1" ht="12">
      <c r="A227" s="108"/>
      <c r="B227" s="108"/>
      <c r="C227" s="108"/>
      <c r="D227" s="108"/>
      <c r="E227" s="108"/>
      <c r="I227" s="372"/>
    </row>
    <row r="228" spans="1:9" s="25" customFormat="1" ht="12">
      <c r="A228" s="108"/>
      <c r="B228" s="108"/>
      <c r="C228" s="108"/>
      <c r="D228" s="108"/>
      <c r="E228" s="108"/>
      <c r="I228" s="372"/>
    </row>
    <row r="229" spans="1:9" s="25" customFormat="1" ht="12">
      <c r="A229" s="108"/>
      <c r="B229" s="108"/>
      <c r="C229" s="108"/>
      <c r="D229" s="108"/>
      <c r="E229" s="108"/>
      <c r="I229" s="372"/>
    </row>
    <row r="230" spans="1:9" s="25" customFormat="1" ht="12">
      <c r="A230" s="108"/>
      <c r="B230" s="108"/>
      <c r="C230" s="108"/>
      <c r="D230" s="108"/>
      <c r="E230" s="108"/>
      <c r="I230" s="372"/>
    </row>
    <row r="231" spans="1:9" s="25" customFormat="1" ht="12">
      <c r="A231" s="108"/>
      <c r="B231" s="108"/>
      <c r="C231" s="108"/>
      <c r="D231" s="108"/>
      <c r="E231" s="108"/>
      <c r="I231" s="372"/>
    </row>
    <row r="232" spans="1:9" s="25" customFormat="1" ht="12">
      <c r="A232" s="108"/>
      <c r="B232" s="108"/>
      <c r="C232" s="108"/>
      <c r="D232" s="108"/>
      <c r="E232" s="108"/>
      <c r="I232" s="372"/>
    </row>
    <row r="233" spans="1:9" s="25" customFormat="1" ht="12">
      <c r="A233" s="108"/>
      <c r="B233" s="108"/>
      <c r="C233" s="108"/>
      <c r="D233" s="108"/>
      <c r="E233" s="108"/>
      <c r="I233" s="372"/>
    </row>
    <row r="234" spans="1:9" s="25" customFormat="1" ht="12">
      <c r="A234" s="108"/>
      <c r="B234" s="108"/>
      <c r="C234" s="108"/>
      <c r="D234" s="108"/>
      <c r="E234" s="108"/>
      <c r="I234" s="372"/>
    </row>
    <row r="235" spans="1:9" s="25" customFormat="1" ht="12">
      <c r="A235" s="108"/>
      <c r="B235" s="108"/>
      <c r="C235" s="108"/>
      <c r="D235" s="108"/>
      <c r="E235" s="108"/>
      <c r="I235" s="372"/>
    </row>
    <row r="236" spans="1:9" s="25" customFormat="1" ht="12">
      <c r="A236" s="108"/>
      <c r="B236" s="108"/>
      <c r="C236" s="108"/>
      <c r="D236" s="108"/>
      <c r="E236" s="108"/>
      <c r="I236" s="372"/>
    </row>
    <row r="237" spans="1:9" s="25" customFormat="1" ht="12">
      <c r="A237" s="108"/>
      <c r="B237" s="108"/>
      <c r="C237" s="108"/>
      <c r="D237" s="108"/>
      <c r="E237" s="108"/>
      <c r="I237" s="372"/>
    </row>
    <row r="238" spans="1:9" s="25" customFormat="1" ht="12">
      <c r="A238" s="108"/>
      <c r="B238" s="108"/>
      <c r="C238" s="108"/>
      <c r="D238" s="108"/>
      <c r="E238" s="108"/>
      <c r="I238" s="372"/>
    </row>
    <row r="239" spans="1:9" s="25" customFormat="1" ht="12">
      <c r="A239" s="108"/>
      <c r="B239" s="108"/>
      <c r="C239" s="108"/>
      <c r="D239" s="108"/>
      <c r="E239" s="108"/>
      <c r="I239" s="372"/>
    </row>
    <row r="240" spans="1:9" s="25" customFormat="1" ht="12">
      <c r="A240" s="108"/>
      <c r="B240" s="108"/>
      <c r="C240" s="108"/>
      <c r="D240" s="108"/>
      <c r="E240" s="108"/>
      <c r="I240" s="372"/>
    </row>
    <row r="241" spans="1:9" s="25" customFormat="1" ht="12">
      <c r="A241" s="108"/>
      <c r="B241" s="108"/>
      <c r="C241" s="108"/>
      <c r="D241" s="108"/>
      <c r="E241" s="108"/>
      <c r="I241" s="372"/>
    </row>
    <row r="242" spans="1:9" s="25" customFormat="1" ht="12">
      <c r="A242" s="108"/>
      <c r="B242" s="108"/>
      <c r="C242" s="108"/>
      <c r="D242" s="108"/>
      <c r="E242" s="108"/>
      <c r="I242" s="372"/>
    </row>
    <row r="243" spans="1:9" s="25" customFormat="1" ht="12">
      <c r="A243" s="108"/>
      <c r="B243" s="108"/>
      <c r="C243" s="108"/>
      <c r="D243" s="108"/>
      <c r="E243" s="108"/>
      <c r="I243" s="372"/>
    </row>
    <row r="244" spans="1:9" s="25" customFormat="1" ht="12">
      <c r="A244" s="108"/>
      <c r="B244" s="108"/>
      <c r="C244" s="108"/>
      <c r="D244" s="108"/>
      <c r="E244" s="108"/>
      <c r="I244" s="372"/>
    </row>
    <row r="245" spans="1:9" s="25" customFormat="1" ht="12">
      <c r="A245" s="108"/>
      <c r="B245" s="108"/>
      <c r="C245" s="108"/>
      <c r="D245" s="108"/>
      <c r="E245" s="108"/>
      <c r="I245" s="372"/>
    </row>
    <row r="246" spans="1:9" s="25" customFormat="1" ht="12">
      <c r="A246" s="108"/>
      <c r="B246" s="108"/>
      <c r="C246" s="108"/>
      <c r="D246" s="108"/>
      <c r="E246" s="108"/>
      <c r="I246" s="372"/>
    </row>
    <row r="247" spans="1:9" s="25" customFormat="1" ht="12">
      <c r="A247" s="108"/>
      <c r="B247" s="108"/>
      <c r="C247" s="108"/>
      <c r="D247" s="108"/>
      <c r="E247" s="108"/>
      <c r="I247" s="372"/>
    </row>
    <row r="248" spans="1:9" s="25" customFormat="1" ht="12">
      <c r="A248" s="108"/>
      <c r="B248" s="108"/>
      <c r="C248" s="108"/>
      <c r="D248" s="108"/>
      <c r="E248" s="108"/>
      <c r="I248" s="372"/>
    </row>
    <row r="249" spans="1:9" s="25" customFormat="1" ht="12">
      <c r="A249" s="108"/>
      <c r="B249" s="108"/>
      <c r="C249" s="108"/>
      <c r="D249" s="108"/>
      <c r="E249" s="108"/>
      <c r="I249" s="372"/>
    </row>
    <row r="250" spans="1:9" s="25" customFormat="1" ht="12">
      <c r="A250" s="108"/>
      <c r="B250" s="108"/>
      <c r="C250" s="108"/>
      <c r="D250" s="108"/>
      <c r="E250" s="108"/>
      <c r="I250" s="372"/>
    </row>
    <row r="251" spans="1:9" s="25" customFormat="1" ht="12">
      <c r="A251" s="108"/>
      <c r="B251" s="108"/>
      <c r="C251" s="108"/>
      <c r="D251" s="108"/>
      <c r="E251" s="108"/>
      <c r="I251" s="372"/>
    </row>
    <row r="252" spans="1:9" s="25" customFormat="1" ht="12">
      <c r="A252" s="108"/>
      <c r="B252" s="108"/>
      <c r="C252" s="108"/>
      <c r="D252" s="108"/>
      <c r="E252" s="108"/>
      <c r="I252" s="372"/>
    </row>
    <row r="253" spans="1:9" s="25" customFormat="1" ht="12">
      <c r="A253" s="108"/>
      <c r="B253" s="108"/>
      <c r="C253" s="108"/>
      <c r="D253" s="108"/>
      <c r="E253" s="108"/>
      <c r="I253" s="372"/>
    </row>
    <row r="254" spans="1:9" s="25" customFormat="1" ht="12">
      <c r="A254" s="108"/>
      <c r="B254" s="108"/>
      <c r="C254" s="108"/>
      <c r="D254" s="108"/>
      <c r="E254" s="108"/>
      <c r="I254" s="372"/>
    </row>
    <row r="255" spans="1:9" s="25" customFormat="1" ht="12">
      <c r="A255" s="108"/>
      <c r="B255" s="108"/>
      <c r="C255" s="108"/>
      <c r="D255" s="108"/>
      <c r="E255" s="108"/>
      <c r="I255" s="372"/>
    </row>
    <row r="256" spans="1:9" s="25" customFormat="1" ht="12">
      <c r="A256" s="108"/>
      <c r="B256" s="108"/>
      <c r="C256" s="108"/>
      <c r="D256" s="108"/>
      <c r="E256" s="108"/>
      <c r="I256" s="372"/>
    </row>
    <row r="257" spans="1:9" s="25" customFormat="1" ht="12">
      <c r="A257" s="108"/>
      <c r="B257" s="108"/>
      <c r="C257" s="108"/>
      <c r="D257" s="108"/>
      <c r="E257" s="108"/>
      <c r="I257" s="372"/>
    </row>
    <row r="258" spans="1:9" s="25" customFormat="1" ht="12">
      <c r="A258" s="108"/>
      <c r="B258" s="108"/>
      <c r="C258" s="108"/>
      <c r="D258" s="108"/>
      <c r="E258" s="108"/>
      <c r="I258" s="372"/>
    </row>
    <row r="259" spans="1:9" s="25" customFormat="1" ht="12">
      <c r="A259" s="108"/>
      <c r="B259" s="108"/>
      <c r="C259" s="108"/>
      <c r="D259" s="108"/>
      <c r="E259" s="108"/>
      <c r="I259" s="372"/>
    </row>
    <row r="260" spans="1:9" s="25" customFormat="1" ht="12">
      <c r="A260" s="108"/>
      <c r="B260" s="108"/>
      <c r="C260" s="108"/>
      <c r="D260" s="108"/>
      <c r="E260" s="108"/>
      <c r="I260" s="372"/>
    </row>
    <row r="261" spans="1:9" s="25" customFormat="1" ht="12">
      <c r="A261" s="108"/>
      <c r="B261" s="108"/>
      <c r="C261" s="108"/>
      <c r="D261" s="108"/>
      <c r="E261" s="108"/>
      <c r="I261" s="372"/>
    </row>
    <row r="262" spans="1:9" s="25" customFormat="1" ht="12">
      <c r="A262" s="108"/>
      <c r="B262" s="108"/>
      <c r="C262" s="108"/>
      <c r="D262" s="108"/>
      <c r="E262" s="108"/>
      <c r="I262" s="372"/>
    </row>
    <row r="263" spans="1:9" s="25" customFormat="1" ht="12">
      <c r="A263" s="108"/>
      <c r="B263" s="108"/>
      <c r="C263" s="108"/>
      <c r="D263" s="108"/>
      <c r="E263" s="108"/>
      <c r="I263" s="372"/>
    </row>
    <row r="264" spans="1:9" s="25" customFormat="1" ht="12">
      <c r="A264" s="108"/>
      <c r="B264" s="108"/>
      <c r="C264" s="108"/>
      <c r="D264" s="108"/>
      <c r="E264" s="108"/>
      <c r="I264" s="372"/>
    </row>
    <row r="265" spans="1:9" s="25" customFormat="1" ht="12">
      <c r="A265" s="108"/>
      <c r="B265" s="108"/>
      <c r="C265" s="108"/>
      <c r="D265" s="108"/>
      <c r="E265" s="108"/>
      <c r="I265" s="372"/>
    </row>
    <row r="266" spans="1:9" s="25" customFormat="1" ht="12">
      <c r="A266" s="108"/>
      <c r="B266" s="108"/>
      <c r="C266" s="108"/>
      <c r="D266" s="108"/>
      <c r="E266" s="108"/>
      <c r="I266" s="372"/>
    </row>
    <row r="267" spans="1:9" s="25" customFormat="1" ht="12">
      <c r="A267" s="108"/>
      <c r="B267" s="108"/>
      <c r="C267" s="108"/>
      <c r="D267" s="108"/>
      <c r="E267" s="108"/>
      <c r="I267" s="372"/>
    </row>
    <row r="268" spans="1:9" s="25" customFormat="1" ht="12">
      <c r="A268" s="108"/>
      <c r="B268" s="108"/>
      <c r="C268" s="108"/>
      <c r="D268" s="108"/>
      <c r="E268" s="108"/>
      <c r="I268" s="372"/>
    </row>
    <row r="269" spans="1:9" s="25" customFormat="1" ht="12">
      <c r="A269" s="108"/>
      <c r="B269" s="108"/>
      <c r="C269" s="108"/>
      <c r="D269" s="108"/>
      <c r="E269" s="108"/>
      <c r="I269" s="372"/>
    </row>
    <row r="270" spans="1:9" s="25" customFormat="1" ht="12">
      <c r="A270" s="108"/>
      <c r="B270" s="108"/>
      <c r="C270" s="108"/>
      <c r="D270" s="108"/>
      <c r="E270" s="108"/>
      <c r="I270" s="372"/>
    </row>
    <row r="271" spans="1:9" s="25" customFormat="1" ht="12">
      <c r="A271" s="108"/>
      <c r="B271" s="108"/>
      <c r="C271" s="108"/>
      <c r="D271" s="108"/>
      <c r="E271" s="108"/>
      <c r="I271" s="372"/>
    </row>
    <row r="272" spans="1:9" s="25" customFormat="1" ht="12">
      <c r="A272" s="108"/>
      <c r="B272" s="108"/>
      <c r="C272" s="108"/>
      <c r="D272" s="108"/>
      <c r="E272" s="108"/>
      <c r="I272" s="372"/>
    </row>
    <row r="273" spans="1:9" s="25" customFormat="1" ht="12">
      <c r="A273" s="108"/>
      <c r="B273" s="108"/>
      <c r="C273" s="108"/>
      <c r="D273" s="108"/>
      <c r="E273" s="108"/>
      <c r="I273" s="372"/>
    </row>
    <row r="274" spans="1:9" s="25" customFormat="1" ht="12">
      <c r="A274" s="108"/>
      <c r="B274" s="108"/>
      <c r="C274" s="108"/>
      <c r="D274" s="108"/>
      <c r="E274" s="108"/>
      <c r="I274" s="372"/>
    </row>
    <row r="275" spans="1:9" s="25" customFormat="1" ht="12">
      <c r="A275" s="108"/>
      <c r="B275" s="108"/>
      <c r="C275" s="108"/>
      <c r="D275" s="108"/>
      <c r="E275" s="108"/>
      <c r="I275" s="372"/>
    </row>
    <row r="276" spans="1:9" s="25" customFormat="1" ht="12">
      <c r="A276" s="108"/>
      <c r="B276" s="108"/>
      <c r="C276" s="108"/>
      <c r="D276" s="108"/>
      <c r="E276" s="108"/>
      <c r="I276" s="372"/>
    </row>
    <row r="277" spans="1:9" s="25" customFormat="1" ht="12">
      <c r="A277" s="108"/>
      <c r="B277" s="108"/>
      <c r="C277" s="108"/>
      <c r="D277" s="108"/>
      <c r="E277" s="108"/>
      <c r="I277" s="372"/>
    </row>
    <row r="278" spans="1:9" s="25" customFormat="1" ht="12">
      <c r="A278" s="108"/>
      <c r="B278" s="108"/>
      <c r="C278" s="108"/>
      <c r="D278" s="108"/>
      <c r="E278" s="108"/>
      <c r="I278" s="372"/>
    </row>
    <row r="279" spans="1:9" s="25" customFormat="1" ht="12">
      <c r="A279" s="108"/>
      <c r="B279" s="108"/>
      <c r="C279" s="108"/>
      <c r="D279" s="108"/>
      <c r="E279" s="108"/>
      <c r="I279" s="372"/>
    </row>
    <row r="280" spans="1:9" s="25" customFormat="1" ht="12">
      <c r="A280" s="108"/>
      <c r="B280" s="108"/>
      <c r="C280" s="108"/>
      <c r="D280" s="108"/>
      <c r="E280" s="108"/>
      <c r="I280" s="372"/>
    </row>
    <row r="281" spans="1:9" s="25" customFormat="1" ht="12">
      <c r="A281" s="108"/>
      <c r="B281" s="108"/>
      <c r="C281" s="108"/>
      <c r="D281" s="108"/>
      <c r="E281" s="108"/>
      <c r="I281" s="372"/>
    </row>
    <row r="282" spans="1:9" s="25" customFormat="1" ht="12">
      <c r="A282" s="108"/>
      <c r="B282" s="108"/>
      <c r="C282" s="108"/>
      <c r="D282" s="108"/>
      <c r="E282" s="108"/>
      <c r="I282" s="372"/>
    </row>
    <row r="283" spans="1:9" s="25" customFormat="1" ht="12">
      <c r="A283" s="108"/>
      <c r="B283" s="108"/>
      <c r="C283" s="108"/>
      <c r="D283" s="108"/>
      <c r="E283" s="108"/>
      <c r="I283" s="372"/>
    </row>
    <row r="284" spans="1:9" s="25" customFormat="1" ht="12">
      <c r="A284" s="108"/>
      <c r="B284" s="108"/>
      <c r="C284" s="108"/>
      <c r="D284" s="108"/>
      <c r="E284" s="108"/>
      <c r="I284" s="372"/>
    </row>
    <row r="285" spans="1:9" s="25" customFormat="1" ht="12">
      <c r="A285" s="108"/>
      <c r="B285" s="108"/>
      <c r="C285" s="108"/>
      <c r="D285" s="108"/>
      <c r="E285" s="108"/>
      <c r="I285" s="372"/>
    </row>
    <row r="286" spans="1:9" s="25" customFormat="1" ht="12">
      <c r="A286" s="108"/>
      <c r="B286" s="108"/>
      <c r="C286" s="108"/>
      <c r="D286" s="108"/>
      <c r="E286" s="108"/>
      <c r="I286" s="372"/>
    </row>
    <row r="287" spans="1:9" s="25" customFormat="1" ht="12">
      <c r="A287" s="108"/>
      <c r="B287" s="108"/>
      <c r="C287" s="108"/>
      <c r="D287" s="108"/>
      <c r="E287" s="108"/>
      <c r="I287" s="372"/>
    </row>
    <row r="288" spans="1:9" s="25" customFormat="1" ht="12">
      <c r="A288" s="108"/>
      <c r="B288" s="108"/>
      <c r="C288" s="108"/>
      <c r="D288" s="108"/>
      <c r="E288" s="108"/>
      <c r="I288" s="372"/>
    </row>
    <row r="289" spans="1:9" s="25" customFormat="1" ht="12">
      <c r="A289" s="108"/>
      <c r="B289" s="108"/>
      <c r="C289" s="108"/>
      <c r="D289" s="108"/>
      <c r="E289" s="108"/>
      <c r="I289" s="372"/>
    </row>
    <row r="290" spans="1:9" s="25" customFormat="1" ht="12">
      <c r="A290" s="108"/>
      <c r="B290" s="108"/>
      <c r="C290" s="108"/>
      <c r="D290" s="108"/>
      <c r="E290" s="108"/>
      <c r="I290" s="372"/>
    </row>
    <row r="291" spans="1:9" s="25" customFormat="1" ht="12">
      <c r="A291" s="108"/>
      <c r="B291" s="108"/>
      <c r="C291" s="108"/>
      <c r="D291" s="108"/>
      <c r="E291" s="108"/>
      <c r="I291" s="372"/>
    </row>
    <row r="292" spans="1:9" s="25" customFormat="1" ht="12">
      <c r="A292" s="108"/>
      <c r="B292" s="108"/>
      <c r="C292" s="108"/>
      <c r="D292" s="108"/>
      <c r="E292" s="108"/>
      <c r="I292" s="372"/>
    </row>
    <row r="293" spans="1:9" s="25" customFormat="1" ht="12">
      <c r="A293" s="108"/>
      <c r="B293" s="108"/>
      <c r="C293" s="108"/>
      <c r="D293" s="108"/>
      <c r="E293" s="108"/>
      <c r="I293" s="372"/>
    </row>
    <row r="294" spans="1:9" s="25" customFormat="1" ht="12">
      <c r="A294" s="108"/>
      <c r="B294" s="108"/>
      <c r="C294" s="108"/>
      <c r="D294" s="108"/>
      <c r="E294" s="108"/>
      <c r="I294" s="372"/>
    </row>
    <row r="295" spans="1:9" s="25" customFormat="1" ht="12">
      <c r="A295" s="108"/>
      <c r="B295" s="108"/>
      <c r="C295" s="108"/>
      <c r="D295" s="108"/>
      <c r="E295" s="108"/>
      <c r="I295" s="372"/>
    </row>
    <row r="296" spans="1:9" s="25" customFormat="1" ht="12">
      <c r="A296" s="108"/>
      <c r="B296" s="108"/>
      <c r="C296" s="108"/>
      <c r="D296" s="108"/>
      <c r="E296" s="108"/>
      <c r="I296" s="372"/>
    </row>
    <row r="297" spans="1:9" s="25" customFormat="1" ht="12">
      <c r="A297" s="108"/>
      <c r="B297" s="108"/>
      <c r="C297" s="108"/>
      <c r="D297" s="108"/>
      <c r="E297" s="108"/>
      <c r="I297" s="372"/>
    </row>
    <row r="298" spans="1:9" s="25" customFormat="1" ht="12">
      <c r="A298" s="108"/>
      <c r="B298" s="108"/>
      <c r="C298" s="108"/>
      <c r="D298" s="108"/>
      <c r="E298" s="108"/>
      <c r="I298" s="372"/>
    </row>
    <row r="299" spans="1:9" s="25" customFormat="1" ht="12">
      <c r="A299" s="108"/>
      <c r="B299" s="108"/>
      <c r="C299" s="108"/>
      <c r="D299" s="108"/>
      <c r="E299" s="108"/>
      <c r="I299" s="372"/>
    </row>
    <row r="300" spans="1:9" s="25" customFormat="1" ht="12">
      <c r="A300" s="108"/>
      <c r="B300" s="108"/>
      <c r="C300" s="108"/>
      <c r="D300" s="108"/>
      <c r="E300" s="108"/>
      <c r="I300" s="372"/>
    </row>
    <row r="301" spans="1:9" s="25" customFormat="1" ht="12">
      <c r="A301" s="108"/>
      <c r="B301" s="108"/>
      <c r="C301" s="108"/>
      <c r="D301" s="108"/>
      <c r="E301" s="108"/>
      <c r="I301" s="372"/>
    </row>
    <row r="302" spans="1:9" s="25" customFormat="1" ht="12">
      <c r="A302" s="108"/>
      <c r="B302" s="108"/>
      <c r="C302" s="108"/>
      <c r="D302" s="108"/>
      <c r="E302" s="108"/>
      <c r="I302" s="372"/>
    </row>
    <row r="303" spans="1:9" s="25" customFormat="1" ht="12">
      <c r="A303" s="108"/>
      <c r="B303" s="108"/>
      <c r="C303" s="108"/>
      <c r="D303" s="108"/>
      <c r="E303" s="108"/>
      <c r="I303" s="372"/>
    </row>
    <row r="304" spans="1:9" s="25" customFormat="1" ht="12">
      <c r="A304" s="108"/>
      <c r="B304" s="108"/>
      <c r="C304" s="108"/>
      <c r="D304" s="108"/>
      <c r="E304" s="108"/>
      <c r="I304" s="372"/>
    </row>
    <row r="305" spans="1:9" s="25" customFormat="1" ht="12">
      <c r="A305" s="108"/>
      <c r="B305" s="108"/>
      <c r="C305" s="108"/>
      <c r="D305" s="108"/>
      <c r="E305" s="108"/>
      <c r="I305" s="372"/>
    </row>
    <row r="306" spans="1:9" s="25" customFormat="1" ht="12">
      <c r="A306" s="108"/>
      <c r="B306" s="108"/>
      <c r="C306" s="108"/>
      <c r="D306" s="108"/>
      <c r="E306" s="108"/>
      <c r="I306" s="372"/>
    </row>
    <row r="307" spans="1:9" s="25" customFormat="1" ht="12">
      <c r="A307" s="108"/>
      <c r="B307" s="108"/>
      <c r="C307" s="108"/>
      <c r="D307" s="108"/>
      <c r="E307" s="108"/>
      <c r="I307" s="372"/>
    </row>
    <row r="308" spans="1:9" s="25" customFormat="1" ht="12">
      <c r="A308" s="108"/>
      <c r="B308" s="108"/>
      <c r="C308" s="108"/>
      <c r="D308" s="108"/>
      <c r="E308" s="108"/>
      <c r="I308" s="372"/>
    </row>
    <row r="309" spans="1:9" s="25" customFormat="1" ht="12">
      <c r="A309" s="108"/>
      <c r="B309" s="108"/>
      <c r="C309" s="108"/>
      <c r="D309" s="108"/>
      <c r="E309" s="108"/>
      <c r="I309" s="372"/>
    </row>
    <row r="310" spans="1:9" s="25" customFormat="1" ht="12">
      <c r="A310" s="108"/>
      <c r="B310" s="108"/>
      <c r="C310" s="108"/>
      <c r="D310" s="108"/>
      <c r="E310" s="108"/>
      <c r="I310" s="372"/>
    </row>
    <row r="311" spans="1:9" s="25" customFormat="1" ht="12">
      <c r="A311" s="108"/>
      <c r="B311" s="108"/>
      <c r="C311" s="108"/>
      <c r="D311" s="108"/>
      <c r="E311" s="108"/>
      <c r="I311" s="372"/>
    </row>
    <row r="312" spans="1:9" s="25" customFormat="1" ht="12">
      <c r="A312" s="108"/>
      <c r="B312" s="108"/>
      <c r="C312" s="108"/>
      <c r="D312" s="108"/>
      <c r="E312" s="108"/>
      <c r="I312" s="372"/>
    </row>
    <row r="313" spans="1:9" s="25" customFormat="1" ht="12">
      <c r="A313" s="108"/>
      <c r="B313" s="108"/>
      <c r="C313" s="108"/>
      <c r="D313" s="108"/>
      <c r="E313" s="108"/>
      <c r="I313" s="372"/>
    </row>
    <row r="314" spans="1:9" s="25" customFormat="1" ht="12">
      <c r="A314" s="108"/>
      <c r="B314" s="108"/>
      <c r="C314" s="108"/>
      <c r="D314" s="108"/>
      <c r="E314" s="108"/>
      <c r="I314" s="372"/>
    </row>
    <row r="315" spans="1:9" s="25" customFormat="1" ht="12">
      <c r="A315" s="108"/>
      <c r="B315" s="108"/>
      <c r="C315" s="108"/>
      <c r="D315" s="108"/>
      <c r="E315" s="108"/>
      <c r="I315" s="372"/>
    </row>
    <row r="316" spans="1:9" s="25" customFormat="1" ht="12">
      <c r="A316" s="108"/>
      <c r="B316" s="108"/>
      <c r="C316" s="108"/>
      <c r="D316" s="108"/>
      <c r="E316" s="108"/>
      <c r="I316" s="372"/>
    </row>
    <row r="317" spans="1:9" s="25" customFormat="1" ht="12">
      <c r="A317" s="108"/>
      <c r="B317" s="108"/>
      <c r="C317" s="108"/>
      <c r="D317" s="108"/>
      <c r="E317" s="108"/>
      <c r="I317" s="372"/>
    </row>
    <row r="318" spans="1:9" s="25" customFormat="1" ht="12">
      <c r="A318" s="108"/>
      <c r="B318" s="108"/>
      <c r="C318" s="108"/>
      <c r="D318" s="108"/>
      <c r="E318" s="108"/>
      <c r="I318" s="372"/>
    </row>
    <row r="319" spans="1:9" s="25" customFormat="1" ht="12">
      <c r="A319" s="108"/>
      <c r="B319" s="108"/>
      <c r="C319" s="108"/>
      <c r="D319" s="108"/>
      <c r="E319" s="108"/>
      <c r="I319" s="372"/>
    </row>
    <row r="320" spans="1:9" s="25" customFormat="1" ht="12">
      <c r="A320" s="108"/>
      <c r="B320" s="108"/>
      <c r="C320" s="108"/>
      <c r="D320" s="108"/>
      <c r="E320" s="108"/>
      <c r="I320" s="372"/>
    </row>
    <row r="321" spans="1:9" s="25" customFormat="1" ht="12">
      <c r="A321" s="108"/>
      <c r="B321" s="108"/>
      <c r="C321" s="108"/>
      <c r="D321" s="108"/>
      <c r="E321" s="108"/>
      <c r="I321" s="372"/>
    </row>
    <row r="322" spans="1:9" s="25" customFormat="1" ht="12">
      <c r="A322" s="108"/>
      <c r="B322" s="108"/>
      <c r="C322" s="108"/>
      <c r="D322" s="108"/>
      <c r="E322" s="108"/>
      <c r="I322" s="372"/>
    </row>
    <row r="323" spans="1:9" s="25" customFormat="1" ht="12">
      <c r="A323" s="108"/>
      <c r="B323" s="108"/>
      <c r="C323" s="108"/>
      <c r="D323" s="108"/>
      <c r="E323" s="108"/>
      <c r="I323" s="372"/>
    </row>
  </sheetData>
  <autoFilter ref="A54:K144" xr:uid="{21081792-88FE-4232-8E3F-784FCAD4EBA1}"/>
  <mergeCells count="53">
    <mergeCell ref="A4:B1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3:B15"/>
    <mergeCell ref="C13:E13"/>
    <mergeCell ref="C14:E14"/>
    <mergeCell ref="C15:E15"/>
    <mergeCell ref="A16:B22"/>
    <mergeCell ref="C16:E16"/>
    <mergeCell ref="C17:E17"/>
    <mergeCell ref="C18:E18"/>
    <mergeCell ref="C19:E19"/>
    <mergeCell ref="C20:E20"/>
    <mergeCell ref="A31:B31"/>
    <mergeCell ref="C21:E21"/>
    <mergeCell ref="C22:E22"/>
    <mergeCell ref="A23:B24"/>
    <mergeCell ref="C23:E23"/>
    <mergeCell ref="C24:E24"/>
    <mergeCell ref="A25:B25"/>
    <mergeCell ref="C25:E25"/>
    <mergeCell ref="A26:B26"/>
    <mergeCell ref="A27:B27"/>
    <mergeCell ref="A28:B28"/>
    <mergeCell ref="A29:B29"/>
    <mergeCell ref="A30:B30"/>
    <mergeCell ref="B45:E45"/>
    <mergeCell ref="A32:B32"/>
    <mergeCell ref="A34:B34"/>
    <mergeCell ref="A35:B35"/>
    <mergeCell ref="A36:B36"/>
    <mergeCell ref="C36:E36"/>
    <mergeCell ref="A37:B37"/>
    <mergeCell ref="A38:B38"/>
    <mergeCell ref="A39:B39"/>
    <mergeCell ref="A42:B42"/>
    <mergeCell ref="B43:E43"/>
    <mergeCell ref="B44:E44"/>
    <mergeCell ref="A53:J53"/>
    <mergeCell ref="A146:H146"/>
    <mergeCell ref="B46:E46"/>
    <mergeCell ref="B47:E47"/>
    <mergeCell ref="B48:E48"/>
    <mergeCell ref="B49:E49"/>
    <mergeCell ref="B50:E50"/>
    <mergeCell ref="C51:E51"/>
  </mergeCells>
  <hyperlinks>
    <hyperlink ref="C10" r:id="rId1" display="mailto:aacosta@investor.com.py" xr:uid="{C2E30B08-6555-4E08-9419-B449E52E2805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 filterMode="1">
    <tabColor rgb="FF002060"/>
  </sheetPr>
  <dimension ref="B1:K28"/>
  <sheetViews>
    <sheetView showGridLines="0" topLeftCell="B1" zoomScale="106" zoomScaleNormal="80" workbookViewId="0">
      <selection activeCell="E92" sqref="E92"/>
    </sheetView>
  </sheetViews>
  <sheetFormatPr baseColWidth="10" defaultColWidth="11.44140625" defaultRowHeight="12"/>
  <cols>
    <col min="1" max="1" width="4.6640625" style="132" customWidth="1"/>
    <col min="2" max="2" width="37.6640625" style="132" customWidth="1"/>
    <col min="3" max="3" width="27" style="132" bestFit="1" customWidth="1"/>
    <col min="4" max="4" width="23.33203125" style="132" bestFit="1" customWidth="1"/>
    <col min="5" max="5" width="13.6640625" style="132" customWidth="1"/>
    <col min="6" max="6" width="12.33203125" style="132" customWidth="1"/>
    <col min="7" max="7" width="18.109375" style="150" customWidth="1"/>
    <col min="8" max="8" width="14.109375" style="150" customWidth="1"/>
    <col min="9" max="9" width="14.33203125" style="132" bestFit="1" customWidth="1"/>
    <col min="10" max="10" width="14" style="151" bestFit="1" customWidth="1"/>
    <col min="11" max="16384" width="11.44140625" style="132"/>
  </cols>
  <sheetData>
    <row r="1" spans="2:8" ht="44.1" customHeight="1">
      <c r="C1" s="203"/>
    </row>
    <row r="3" spans="2:8" ht="36" customHeight="1">
      <c r="B3" s="785" t="s">
        <v>445</v>
      </c>
      <c r="C3" s="785"/>
      <c r="D3" s="785"/>
      <c r="E3" s="785"/>
      <c r="F3" s="785"/>
      <c r="G3" s="785"/>
      <c r="H3" s="785"/>
    </row>
    <row r="4" spans="2:8" ht="15" thickBot="1">
      <c r="B4" s="423" t="s">
        <v>666</v>
      </c>
    </row>
    <row r="5" spans="2:8" ht="35.25" customHeight="1" thickBot="1">
      <c r="B5" s="152"/>
      <c r="C5" s="153"/>
      <c r="D5" s="154"/>
      <c r="E5" s="153"/>
      <c r="F5" s="153"/>
      <c r="G5" s="783" t="s">
        <v>446</v>
      </c>
      <c r="H5" s="784"/>
    </row>
    <row r="6" spans="2:8" ht="24">
      <c r="B6" s="155" t="s">
        <v>447</v>
      </c>
      <c r="C6" s="155" t="s">
        <v>448</v>
      </c>
      <c r="D6" s="155" t="s">
        <v>449</v>
      </c>
      <c r="E6" s="155" t="s">
        <v>454</v>
      </c>
      <c r="F6" s="155" t="s">
        <v>404</v>
      </c>
      <c r="G6" s="577">
        <f>+Indice!G7</f>
        <v>44742</v>
      </c>
      <c r="H6" s="577">
        <f>+Indice!H6</f>
        <v>44561</v>
      </c>
    </row>
    <row r="7" spans="2:8">
      <c r="B7" s="688" t="s">
        <v>458</v>
      </c>
      <c r="C7" s="688" t="s">
        <v>450</v>
      </c>
      <c r="D7" s="688" t="s">
        <v>451</v>
      </c>
      <c r="E7" s="689">
        <v>44196</v>
      </c>
      <c r="F7" s="689">
        <v>44561</v>
      </c>
      <c r="G7" s="687">
        <v>137050888.7306</v>
      </c>
      <c r="H7" s="687">
        <v>142394530</v>
      </c>
    </row>
    <row r="8" spans="2:8" ht="12" hidden="1" customHeight="1">
      <c r="B8" s="688" t="s">
        <v>538</v>
      </c>
      <c r="C8" s="688" t="s">
        <v>450</v>
      </c>
      <c r="D8" s="688" t="s">
        <v>451</v>
      </c>
      <c r="E8" s="689">
        <v>44197</v>
      </c>
      <c r="F8" s="689">
        <v>44561</v>
      </c>
      <c r="G8" s="687">
        <v>76510819.571999997</v>
      </c>
      <c r="H8" s="687">
        <v>75728905</v>
      </c>
    </row>
    <row r="9" spans="2:8">
      <c r="B9" s="688" t="s">
        <v>539</v>
      </c>
      <c r="C9" s="688" t="s">
        <v>450</v>
      </c>
      <c r="D9" s="688" t="s">
        <v>451</v>
      </c>
      <c r="E9" s="689">
        <v>44198</v>
      </c>
      <c r="F9" s="689">
        <v>44561</v>
      </c>
      <c r="G9" s="687">
        <v>46206222</v>
      </c>
      <c r="H9" s="687">
        <v>292525060.926</v>
      </c>
    </row>
    <row r="10" spans="2:8" ht="12" hidden="1" customHeight="1">
      <c r="B10" s="688" t="s">
        <v>540</v>
      </c>
      <c r="C10" s="688" t="s">
        <v>452</v>
      </c>
      <c r="D10" s="688" t="s">
        <v>930</v>
      </c>
      <c r="E10" s="689">
        <v>44560</v>
      </c>
      <c r="F10" s="689">
        <v>44561</v>
      </c>
      <c r="G10" s="687">
        <v>1500000000</v>
      </c>
      <c r="H10" s="687">
        <v>110000</v>
      </c>
    </row>
    <row r="11" spans="2:8">
      <c r="B11" s="688" t="s">
        <v>497</v>
      </c>
      <c r="C11" s="688" t="s">
        <v>452</v>
      </c>
      <c r="D11" s="688" t="s">
        <v>451</v>
      </c>
      <c r="E11" s="690">
        <v>43508</v>
      </c>
      <c r="F11" s="689">
        <v>43830</v>
      </c>
      <c r="G11" s="687">
        <v>0</v>
      </c>
      <c r="H11" s="687">
        <v>0</v>
      </c>
    </row>
    <row r="12" spans="2:8" ht="12" hidden="1" customHeight="1">
      <c r="B12" s="688" t="s">
        <v>541</v>
      </c>
      <c r="C12" s="688" t="s">
        <v>450</v>
      </c>
      <c r="D12" s="688" t="s">
        <v>451</v>
      </c>
      <c r="E12" s="689">
        <v>43465</v>
      </c>
      <c r="F12" s="689">
        <v>43830</v>
      </c>
      <c r="G12" s="687">
        <v>59860685</v>
      </c>
      <c r="H12" s="687">
        <v>59860685</v>
      </c>
    </row>
    <row r="13" spans="2:8">
      <c r="B13" s="691" t="s">
        <v>459</v>
      </c>
      <c r="C13" s="691" t="s">
        <v>450</v>
      </c>
      <c r="D13" s="688" t="s">
        <v>451</v>
      </c>
      <c r="E13" s="689">
        <v>44196</v>
      </c>
      <c r="F13" s="689">
        <v>44561</v>
      </c>
      <c r="G13" s="687">
        <v>708633654.13800001</v>
      </c>
      <c r="H13" s="687">
        <v>556050155</v>
      </c>
    </row>
    <row r="14" spans="2:8">
      <c r="B14" s="688" t="s">
        <v>542</v>
      </c>
      <c r="C14" s="688" t="s">
        <v>452</v>
      </c>
      <c r="D14" s="688" t="s">
        <v>451</v>
      </c>
      <c r="E14" s="692">
        <v>0</v>
      </c>
      <c r="F14" s="692">
        <v>0</v>
      </c>
      <c r="G14" s="687">
        <v>0</v>
      </c>
      <c r="H14" s="687">
        <v>0</v>
      </c>
    </row>
    <row r="15" spans="2:8">
      <c r="B15" s="693" t="s">
        <v>543</v>
      </c>
      <c r="C15" s="688" t="s">
        <v>453</v>
      </c>
      <c r="D15" s="688" t="s">
        <v>451</v>
      </c>
      <c r="E15" s="689">
        <v>43830</v>
      </c>
      <c r="F15" s="688" t="s">
        <v>686</v>
      </c>
      <c r="G15" s="687">
        <v>46185063.769999996</v>
      </c>
      <c r="H15" s="687">
        <v>46185063.769999996</v>
      </c>
    </row>
    <row r="16" spans="2:8">
      <c r="B16" s="693" t="s">
        <v>544</v>
      </c>
      <c r="C16" s="688" t="s">
        <v>966</v>
      </c>
      <c r="D16" s="688" t="s">
        <v>451</v>
      </c>
      <c r="E16" s="689">
        <v>43830</v>
      </c>
      <c r="F16" s="688" t="s">
        <v>686</v>
      </c>
      <c r="G16" s="687">
        <v>10939076</v>
      </c>
      <c r="H16" s="687">
        <v>10939076.34</v>
      </c>
    </row>
    <row r="17" spans="2:11">
      <c r="B17" s="693" t="s">
        <v>545</v>
      </c>
      <c r="C17" s="688" t="s">
        <v>452</v>
      </c>
      <c r="D17" s="688" t="s">
        <v>451</v>
      </c>
      <c r="E17" s="692">
        <v>0</v>
      </c>
      <c r="F17" s="692">
        <v>0</v>
      </c>
      <c r="G17" s="687">
        <v>0</v>
      </c>
      <c r="H17" s="687">
        <v>0</v>
      </c>
      <c r="I17" s="151"/>
    </row>
    <row r="18" spans="2:11">
      <c r="B18" s="693" t="s">
        <v>498</v>
      </c>
      <c r="C18" s="688" t="s">
        <v>452</v>
      </c>
      <c r="D18" s="688" t="s">
        <v>451</v>
      </c>
      <c r="E18" s="692">
        <v>0</v>
      </c>
      <c r="F18" s="692">
        <v>0</v>
      </c>
      <c r="G18" s="687">
        <v>0</v>
      </c>
      <c r="H18" s="687">
        <v>0</v>
      </c>
      <c r="I18" s="151"/>
    </row>
    <row r="19" spans="2:11">
      <c r="B19" s="693" t="s">
        <v>546</v>
      </c>
      <c r="C19" s="688" t="s">
        <v>450</v>
      </c>
      <c r="D19" s="688" t="s">
        <v>451</v>
      </c>
      <c r="E19" s="692">
        <v>0</v>
      </c>
      <c r="F19" s="688" t="s">
        <v>686</v>
      </c>
      <c r="G19" s="687">
        <v>137933584</v>
      </c>
      <c r="H19" s="687">
        <v>125545847</v>
      </c>
      <c r="I19" s="151"/>
    </row>
    <row r="20" spans="2:11" hidden="1">
      <c r="B20" s="158" t="s">
        <v>546</v>
      </c>
      <c r="C20" s="156" t="s">
        <v>450</v>
      </c>
      <c r="D20" s="156" t="s">
        <v>930</v>
      </c>
      <c r="E20" s="608">
        <v>44637</v>
      </c>
      <c r="F20" s="607">
        <v>44637</v>
      </c>
      <c r="G20" s="157">
        <v>14296156.875</v>
      </c>
      <c r="H20" s="157"/>
      <c r="I20" s="151"/>
    </row>
    <row r="21" spans="2:11">
      <c r="B21" s="158"/>
      <c r="C21" s="156"/>
      <c r="D21" s="156"/>
      <c r="E21" s="608"/>
      <c r="F21" s="607"/>
      <c r="G21" s="157"/>
      <c r="H21" s="157"/>
      <c r="I21" s="151"/>
    </row>
    <row r="22" spans="2:11">
      <c r="B22" s="137" t="str">
        <f>+'NOTAS M-Q ACREED y CTAS A PAG'!B33</f>
        <v>Total al 30/06/2022</v>
      </c>
      <c r="C22" s="51"/>
      <c r="D22" s="156"/>
      <c r="E22" s="156"/>
      <c r="F22" s="156"/>
      <c r="G22" s="159">
        <f>SUM(G7:G21)</f>
        <v>2737616150.0855999</v>
      </c>
      <c r="H22" s="160">
        <v>0</v>
      </c>
      <c r="I22" s="161"/>
      <c r="K22" s="161"/>
    </row>
    <row r="23" spans="2:11">
      <c r="B23" s="137" t="str">
        <f>+'NOTAS M-Q ACREED y CTAS A PAG'!B10</f>
        <v>Total al 31/12/2021</v>
      </c>
      <c r="C23" s="51"/>
      <c r="D23" s="51"/>
      <c r="E23" s="51"/>
      <c r="F23" s="51"/>
      <c r="G23" s="159"/>
      <c r="H23" s="159">
        <f>SUM(H7:H21)</f>
        <v>1309339323.036</v>
      </c>
      <c r="K23" s="161"/>
    </row>
    <row r="28" spans="2:11">
      <c r="E28" s="428"/>
      <c r="F28" s="428"/>
    </row>
  </sheetData>
  <autoFilter ref="B6:H23" xr:uid="{00000000-0009-0000-0000-000013000000}">
    <filterColumn colId="2">
      <filters blank="1">
        <filter val="Cuentas a cobrar"/>
      </filters>
    </filterColumn>
  </autoFilter>
  <mergeCells count="2">
    <mergeCell ref="G5:H5"/>
    <mergeCell ref="B3:H3"/>
  </mergeCells>
  <phoneticPr fontId="9" type="noConversion"/>
  <hyperlinks>
    <hyperlink ref="B4" location="'Balance Gral. Resol. 30'!A1" display="'Balance Gral. Resol. 30'!A1" xr:uid="{00000000-0004-0000-1300-000000000000}"/>
  </hyperlinks>
  <pageMargins left="0.7" right="0.7" top="0.75" bottom="0.75" header="0.3" footer="0.3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tabColor rgb="FF002060"/>
  </sheetPr>
  <dimension ref="B1:O37"/>
  <sheetViews>
    <sheetView showGridLines="0" topLeftCell="A3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50.88671875" style="25" bestFit="1" customWidth="1"/>
    <col min="3" max="3" width="13" style="39" bestFit="1" customWidth="1"/>
    <col min="4" max="4" width="13" style="25" bestFit="1" customWidth="1"/>
    <col min="5" max="5" width="11.44140625" style="25"/>
    <col min="6" max="6" width="12" style="25" hidden="1" customWidth="1"/>
    <col min="7" max="8" width="0" style="25" hidden="1" customWidth="1"/>
    <col min="9" max="9" width="12.44140625" style="25" bestFit="1" customWidth="1"/>
    <col min="10" max="16384" width="11.44140625" style="25"/>
  </cols>
  <sheetData>
    <row r="1" spans="2:8" ht="40.200000000000003" customHeight="1">
      <c r="B1" s="203"/>
    </row>
    <row r="2" spans="2:8" ht="40.200000000000003" customHeight="1">
      <c r="B2" s="448"/>
    </row>
    <row r="3" spans="2:8" ht="30.6" customHeight="1">
      <c r="B3" s="742" t="s">
        <v>700</v>
      </c>
      <c r="C3" s="742"/>
      <c r="D3" s="742"/>
    </row>
    <row r="4" spans="2:8">
      <c r="B4" s="109"/>
    </row>
    <row r="5" spans="2:8">
      <c r="B5" s="88" t="s">
        <v>455</v>
      </c>
      <c r="C5" s="162" t="s">
        <v>456</v>
      </c>
      <c r="D5" s="88" t="s">
        <v>457</v>
      </c>
      <c r="H5" s="39"/>
    </row>
    <row r="6" spans="2:8">
      <c r="B6" s="163" t="s">
        <v>584</v>
      </c>
      <c r="C6" s="164">
        <v>27748200</v>
      </c>
      <c r="D6" s="165">
        <v>490123782.72727269</v>
      </c>
      <c r="F6" s="39"/>
      <c r="G6" s="39"/>
      <c r="H6" s="39"/>
    </row>
    <row r="7" spans="2:8">
      <c r="B7" s="163" t="s">
        <v>586</v>
      </c>
      <c r="C7" s="165">
        <v>46363.636363636302</v>
      </c>
      <c r="D7" s="165">
        <v>417424873.63636303</v>
      </c>
      <c r="F7" s="39"/>
      <c r="G7" s="39"/>
      <c r="H7" s="39"/>
    </row>
    <row r="8" spans="2:8">
      <c r="B8" s="163" t="s">
        <v>585</v>
      </c>
      <c r="C8" s="165">
        <v>0</v>
      </c>
      <c r="D8" s="97">
        <v>494639419.090909</v>
      </c>
      <c r="F8" s="39"/>
      <c r="G8" s="39"/>
      <c r="H8" s="55"/>
    </row>
    <row r="9" spans="2:8">
      <c r="B9" s="163" t="s">
        <v>497</v>
      </c>
      <c r="C9" s="165">
        <v>1028793939.1999998</v>
      </c>
      <c r="D9" s="97">
        <v>0</v>
      </c>
      <c r="F9" s="39"/>
      <c r="G9" s="39"/>
      <c r="H9" s="55"/>
    </row>
    <row r="10" spans="2:8">
      <c r="B10" s="163" t="s">
        <v>498</v>
      </c>
      <c r="C10" s="165">
        <v>0</v>
      </c>
      <c r="D10" s="97">
        <v>7038999.9999999991</v>
      </c>
      <c r="F10" s="39"/>
      <c r="G10" s="39"/>
      <c r="H10" s="55"/>
    </row>
    <row r="11" spans="2:8">
      <c r="B11" s="163" t="s">
        <v>932</v>
      </c>
      <c r="C11" s="165">
        <v>97146220.154545441</v>
      </c>
      <c r="D11" s="97">
        <v>48984781.818181813</v>
      </c>
      <c r="F11" s="39"/>
      <c r="G11" s="39"/>
      <c r="H11" s="55"/>
    </row>
    <row r="12" spans="2:8">
      <c r="B12" s="163" t="s">
        <v>931</v>
      </c>
      <c r="C12" s="97">
        <v>0</v>
      </c>
      <c r="D12" s="165">
        <v>1200000</v>
      </c>
      <c r="E12" s="115"/>
      <c r="F12" s="39"/>
      <c r="G12" s="39"/>
      <c r="H12" s="55"/>
    </row>
    <row r="13" spans="2:8">
      <c r="B13" s="163" t="s">
        <v>459</v>
      </c>
      <c r="C13" s="97">
        <v>109021053.46363637</v>
      </c>
      <c r="D13" s="165">
        <v>0</v>
      </c>
      <c r="E13" s="115"/>
      <c r="F13" s="39"/>
      <c r="G13" s="39"/>
    </row>
    <row r="14" spans="2:8">
      <c r="B14" s="163" t="s">
        <v>460</v>
      </c>
      <c r="C14" s="97">
        <v>29793011.781818185</v>
      </c>
      <c r="D14" s="165">
        <v>3036079.9999999995</v>
      </c>
      <c r="F14" s="39"/>
      <c r="G14" s="39"/>
    </row>
    <row r="15" spans="2:8">
      <c r="B15" s="163" t="s">
        <v>505</v>
      </c>
      <c r="C15" s="97">
        <v>1968181.8181818181</v>
      </c>
      <c r="D15" s="165">
        <v>115847432.27272727</v>
      </c>
      <c r="F15" s="39"/>
      <c r="G15" s="39"/>
    </row>
    <row r="16" spans="2:8">
      <c r="B16" s="163" t="s">
        <v>587</v>
      </c>
      <c r="C16" s="97">
        <v>0</v>
      </c>
      <c r="D16" s="165">
        <v>0</v>
      </c>
      <c r="F16" s="39"/>
      <c r="G16" s="39"/>
    </row>
    <row r="17" spans="2:15">
      <c r="B17" s="163" t="s">
        <v>588</v>
      </c>
      <c r="C17" s="97">
        <v>572790</v>
      </c>
      <c r="D17" s="165">
        <v>115766428.18181817</v>
      </c>
      <c r="F17" s="39"/>
      <c r="G17" s="39"/>
    </row>
    <row r="18" spans="2:15">
      <c r="B18" s="163" t="s">
        <v>589</v>
      </c>
      <c r="C18" s="97">
        <v>0</v>
      </c>
      <c r="D18" s="165">
        <v>0</v>
      </c>
      <c r="F18" s="39"/>
      <c r="G18" s="39"/>
    </row>
    <row r="19" spans="2:15">
      <c r="B19" s="163" t="s">
        <v>687</v>
      </c>
      <c r="C19" s="97">
        <v>0</v>
      </c>
      <c r="D19" s="165">
        <v>0</v>
      </c>
      <c r="F19" s="39"/>
      <c r="G19" s="39"/>
    </row>
    <row r="20" spans="2:15">
      <c r="B20" s="163" t="s">
        <v>688</v>
      </c>
      <c r="C20" s="97">
        <v>0</v>
      </c>
      <c r="D20" s="165">
        <v>1477850032.7272725</v>
      </c>
      <c r="F20" s="39"/>
      <c r="G20" s="39"/>
    </row>
    <row r="21" spans="2:15">
      <c r="B21" s="163" t="s">
        <v>933</v>
      </c>
      <c r="C21" s="97">
        <v>0</v>
      </c>
      <c r="D21" s="165">
        <v>42000000</v>
      </c>
      <c r="F21" s="39"/>
      <c r="G21" s="39"/>
    </row>
    <row r="22" spans="2:15">
      <c r="B22" s="163" t="s">
        <v>934</v>
      </c>
      <c r="C22" s="97">
        <v>72643597.272727266</v>
      </c>
      <c r="D22" s="165">
        <v>0</v>
      </c>
      <c r="F22" s="39"/>
      <c r="G22" s="39"/>
    </row>
    <row r="23" spans="2:15">
      <c r="B23" s="163" t="s">
        <v>935</v>
      </c>
      <c r="C23" s="97">
        <v>0</v>
      </c>
      <c r="D23" s="165">
        <v>40090909.090909086</v>
      </c>
      <c r="F23" s="39"/>
      <c r="G23" s="39"/>
    </row>
    <row r="24" spans="2:15">
      <c r="B24" s="163" t="s">
        <v>936</v>
      </c>
      <c r="C24" s="97">
        <v>0</v>
      </c>
      <c r="D24" s="165">
        <v>0</v>
      </c>
      <c r="F24" s="39"/>
      <c r="G24" s="39"/>
    </row>
    <row r="25" spans="2:15">
      <c r="B25" s="163"/>
      <c r="C25" s="97"/>
      <c r="D25" s="165"/>
      <c r="F25" s="39"/>
      <c r="G25" s="39"/>
    </row>
    <row r="26" spans="2:15">
      <c r="B26" s="121" t="str">
        <f>+'NOTA R SALDOS Y TRANSACC'!B22</f>
        <v>Total al 30/06/2022</v>
      </c>
      <c r="C26" s="166">
        <f>SUM(C6:C25)</f>
        <v>1367733357.3272724</v>
      </c>
      <c r="D26" s="166">
        <f>SUM(D6:D25)</f>
        <v>3254002739.5454535</v>
      </c>
    </row>
    <row r="27" spans="2:15">
      <c r="B27" s="121" t="s">
        <v>1033</v>
      </c>
      <c r="C27" s="167">
        <v>9443028719</v>
      </c>
      <c r="D27" s="166">
        <v>1726678369</v>
      </c>
    </row>
    <row r="30" spans="2:15">
      <c r="K30" s="168"/>
      <c r="M30" s="169"/>
      <c r="O30" s="169"/>
    </row>
    <row r="31" spans="2:15">
      <c r="K31" s="168"/>
      <c r="M31" s="169"/>
      <c r="O31" s="169"/>
    </row>
    <row r="32" spans="2:15">
      <c r="K32" s="168"/>
      <c r="M32" s="169"/>
      <c r="O32" s="170"/>
    </row>
    <row r="37" spans="7:7">
      <c r="G37" s="169"/>
    </row>
  </sheetData>
  <mergeCells count="1">
    <mergeCell ref="B3:D3"/>
  </mergeCell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tabColor rgb="FF002060"/>
  </sheetPr>
  <dimension ref="B1:H17"/>
  <sheetViews>
    <sheetView showGridLines="0" zoomScale="113" zoomScaleNormal="85" workbookViewId="0">
      <selection activeCell="E92" sqref="E92"/>
    </sheetView>
  </sheetViews>
  <sheetFormatPr baseColWidth="10" defaultColWidth="11.44140625" defaultRowHeight="12"/>
  <cols>
    <col min="1" max="1" width="4.6640625" style="84" customWidth="1"/>
    <col min="2" max="2" width="32.44140625" style="84" customWidth="1"/>
    <col min="3" max="3" width="22.109375" style="84" bestFit="1" customWidth="1"/>
    <col min="4" max="4" width="14.44140625" style="84" bestFit="1" customWidth="1"/>
    <col min="5" max="5" width="14.109375" style="84" bestFit="1" customWidth="1"/>
    <col min="6" max="6" width="14.44140625" style="84" hidden="1" customWidth="1"/>
    <col min="7" max="7" width="14.109375" style="84" hidden="1" customWidth="1"/>
    <col min="8" max="8" width="12.109375" style="84" hidden="1" customWidth="1"/>
    <col min="9" max="9" width="12.109375" style="84" bestFit="1" customWidth="1"/>
    <col min="10" max="16384" width="11.44140625" style="84"/>
  </cols>
  <sheetData>
    <row r="1" spans="2:8" ht="37.950000000000003" customHeight="1">
      <c r="C1" s="203"/>
    </row>
    <row r="2" spans="2:8" ht="14.4">
      <c r="C2" s="357"/>
    </row>
    <row r="3" spans="2:8" ht="15.6">
      <c r="B3" s="786" t="s">
        <v>461</v>
      </c>
      <c r="C3" s="786"/>
      <c r="D3" s="786"/>
      <c r="E3" s="786"/>
      <c r="F3" s="786"/>
    </row>
    <row r="4" spans="2:8" ht="15.6">
      <c r="B4" s="429"/>
      <c r="C4" s="429"/>
      <c r="D4" s="429"/>
      <c r="E4" s="429"/>
      <c r="F4" s="429"/>
    </row>
    <row r="5" spans="2:8" ht="14.4">
      <c r="B5" s="430" t="s">
        <v>666</v>
      </c>
    </row>
    <row r="6" spans="2:8" ht="24">
      <c r="B6" s="35" t="s">
        <v>338</v>
      </c>
      <c r="C6" s="35" t="s">
        <v>462</v>
      </c>
      <c r="D6" s="35" t="s">
        <v>420</v>
      </c>
      <c r="E6" s="35" t="s">
        <v>463</v>
      </c>
      <c r="F6" s="578">
        <f>+Indice!G6</f>
        <v>44742</v>
      </c>
    </row>
    <row r="7" spans="2:8">
      <c r="B7" s="91" t="s">
        <v>464</v>
      </c>
      <c r="C7" s="171">
        <f>+'Balance Gral. Resol. 30'!H64</f>
        <v>27164000001</v>
      </c>
      <c r="D7" s="172">
        <f>+F7-C7</f>
        <v>15600000000</v>
      </c>
      <c r="E7" s="172">
        <v>0</v>
      </c>
      <c r="F7" s="171">
        <f>+'Balance Gral. Resol. 30'!G64</f>
        <v>42764000001</v>
      </c>
      <c r="G7" s="173"/>
      <c r="H7" s="175"/>
    </row>
    <row r="8" spans="2:8">
      <c r="B8" s="91" t="s">
        <v>465</v>
      </c>
      <c r="C8" s="172">
        <f>+'Balance Gral. Resol. 30'!H73</f>
        <v>8933184</v>
      </c>
      <c r="D8" s="172">
        <f>+F8-C8</f>
        <v>0</v>
      </c>
      <c r="E8" s="172">
        <v>0</v>
      </c>
      <c r="F8" s="171">
        <f>+'Balance Gral. Resol. 30'!G74</f>
        <v>8933184</v>
      </c>
      <c r="G8" s="173"/>
      <c r="H8" s="175"/>
    </row>
    <row r="9" spans="2:8">
      <c r="B9" s="91" t="s">
        <v>111</v>
      </c>
      <c r="C9" s="171">
        <f>+'Balance Gral. Resol. 30'!H70</f>
        <v>1595573343</v>
      </c>
      <c r="D9" s="174">
        <v>0</v>
      </c>
      <c r="E9" s="172">
        <v>0</v>
      </c>
      <c r="F9" s="171">
        <f>+'Balance Gral. Resol. 30'!G70</f>
        <v>1595573343</v>
      </c>
      <c r="G9" s="173"/>
      <c r="H9" s="175"/>
    </row>
    <row r="10" spans="2:8">
      <c r="B10" s="91" t="s">
        <v>122</v>
      </c>
      <c r="C10" s="172">
        <f>+'Balance Gral. Resol. 30'!H76</f>
        <v>9411087</v>
      </c>
      <c r="D10" s="172">
        <v>0</v>
      </c>
      <c r="E10" s="172">
        <f>+C10-F10</f>
        <v>-232346890</v>
      </c>
      <c r="F10" s="172">
        <f>+'Balance Gral. Resol. 30'!$G$76</f>
        <v>241757977</v>
      </c>
      <c r="G10" s="173"/>
      <c r="H10" s="175"/>
    </row>
    <row r="11" spans="2:8">
      <c r="B11" s="91" t="s">
        <v>124</v>
      </c>
      <c r="C11" s="171">
        <f>+'Balance Gral. Resol. 30'!H77</f>
        <v>23332346890.369999</v>
      </c>
      <c r="D11" s="172">
        <f>+'Balance Gral. Resol. 30'!$G$77</f>
        <v>9177905587.0499992</v>
      </c>
      <c r="E11" s="172">
        <f>+C11</f>
        <v>23332346890.369999</v>
      </c>
      <c r="F11" s="171">
        <f>+'Balance Gral. Resol. 30'!$G$77</f>
        <v>9177905587.0499992</v>
      </c>
      <c r="G11" s="173"/>
      <c r="H11" s="175"/>
    </row>
    <row r="12" spans="2:8">
      <c r="B12" s="121" t="str">
        <f>+'NOTA R SALDOS Y TRANSACC'!B22</f>
        <v>Total al 30/06/2022</v>
      </c>
      <c r="C12" s="176">
        <f>SUM(C7:C11)</f>
        <v>52110264505.369995</v>
      </c>
      <c r="D12" s="176">
        <f>SUM(D7:D11)</f>
        <v>24777905587.049999</v>
      </c>
      <c r="E12" s="176">
        <f>SUM(E7:E11)</f>
        <v>23100000000.369999</v>
      </c>
      <c r="F12" s="176">
        <f>SUM(F7:F11)</f>
        <v>53788170092.050003</v>
      </c>
      <c r="G12" s="173"/>
      <c r="H12" s="175"/>
    </row>
    <row r="13" spans="2:8">
      <c r="B13" s="121" t="str">
        <f>+'NOTA R SALDOS Y TRANSACC'!B23</f>
        <v>Total al 31/12/2021</v>
      </c>
      <c r="C13" s="176">
        <f>+F13-D13+E13</f>
        <v>33998767039.999996</v>
      </c>
      <c r="D13" s="176">
        <v>26217280074.369999</v>
      </c>
      <c r="E13" s="177">
        <v>8105782609</v>
      </c>
      <c r="F13" s="176">
        <v>52110264505.369995</v>
      </c>
    </row>
    <row r="14" spans="2:8">
      <c r="D14" s="175"/>
      <c r="E14" s="175"/>
      <c r="F14" s="173"/>
    </row>
    <row r="15" spans="2:8">
      <c r="D15" s="175"/>
      <c r="E15" s="85"/>
      <c r="F15" s="178">
        <f>+F12-'Balance Gral. Resol. 30'!G79</f>
        <v>0</v>
      </c>
      <c r="G15" s="173">
        <f>+F13-'Balance Gral. Resol. 30'!H79</f>
        <v>0</v>
      </c>
    </row>
    <row r="16" spans="2:8" ht="15.6">
      <c r="B16" s="786" t="s">
        <v>521</v>
      </c>
      <c r="C16" s="786"/>
      <c r="D16" s="786"/>
      <c r="E16" s="786"/>
      <c r="F16" s="786"/>
    </row>
    <row r="17" spans="2:5">
      <c r="B17" s="179" t="s">
        <v>466</v>
      </c>
      <c r="E17" s="85"/>
    </row>
  </sheetData>
  <mergeCells count="2">
    <mergeCell ref="B3:F3"/>
    <mergeCell ref="B16:F16"/>
  </mergeCells>
  <hyperlinks>
    <hyperlink ref="B5" location="'Balance Gral. Resol. 30'!A1" display="'Balance Gral. Resol. 30'!A1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tabColor rgb="FF002060"/>
  </sheetPr>
  <dimension ref="B1:E26"/>
  <sheetViews>
    <sheetView showGridLines="0" topLeftCell="A4" zoomScale="119" zoomScaleNormal="85" workbookViewId="0">
      <selection activeCell="E92" sqref="E92"/>
    </sheetView>
  </sheetViews>
  <sheetFormatPr baseColWidth="10" defaultColWidth="20.33203125" defaultRowHeight="12"/>
  <cols>
    <col min="1" max="1" width="4.6640625" style="25" customWidth="1"/>
    <col min="2" max="2" width="38.6640625" style="25" customWidth="1"/>
    <col min="3" max="5" width="20.33203125" style="25"/>
    <col min="6" max="8" width="0" style="25" hidden="1" customWidth="1"/>
    <col min="9" max="16384" width="20.33203125" style="25"/>
  </cols>
  <sheetData>
    <row r="1" spans="2:4" ht="28.2" customHeight="1">
      <c r="B1" s="203"/>
    </row>
    <row r="4" spans="2:4" ht="15.6">
      <c r="B4" s="742" t="s">
        <v>689</v>
      </c>
      <c r="C4" s="742"/>
      <c r="D4" s="742"/>
    </row>
    <row r="6" spans="2:4" ht="14.4">
      <c r="B6" s="420" t="s">
        <v>690</v>
      </c>
    </row>
    <row r="7" spans="2:4" ht="15.6">
      <c r="B7" s="787" t="s">
        <v>467</v>
      </c>
      <c r="C7" s="787"/>
      <c r="D7" s="787"/>
    </row>
    <row r="8" spans="2:4">
      <c r="B8" s="119" t="s">
        <v>338</v>
      </c>
      <c r="C8" s="445">
        <f>+Indice!G7</f>
        <v>44742</v>
      </c>
      <c r="D8" s="445">
        <f>+Indice!H7</f>
        <v>44377</v>
      </c>
    </row>
    <row r="9" spans="2:4">
      <c r="B9" s="33" t="s">
        <v>468</v>
      </c>
      <c r="C9" s="180"/>
      <c r="D9" s="180">
        <v>0</v>
      </c>
    </row>
    <row r="10" spans="2:4">
      <c r="B10" s="33" t="s">
        <v>469</v>
      </c>
      <c r="C10" s="126">
        <f>+'Estado de Resultado Resol. 30'!D14</f>
        <v>509488707</v>
      </c>
      <c r="D10" s="126">
        <f>+'Estado de Resultado Resol. 30'!E14</f>
        <v>350951513</v>
      </c>
    </row>
    <row r="11" spans="2:4">
      <c r="B11" s="33" t="s">
        <v>470</v>
      </c>
      <c r="C11" s="126">
        <f>+'Estado de Resultado Resol. 30'!D26</f>
        <v>424418628</v>
      </c>
      <c r="D11" s="126">
        <f>+'Estado de Resultado Resol. 30'!E26</f>
        <v>4436327057</v>
      </c>
    </row>
    <row r="12" spans="2:4">
      <c r="B12" s="33" t="s">
        <v>471</v>
      </c>
      <c r="C12" s="126">
        <f>+'Estado de Resultado Resol. 30'!D28</f>
        <v>10987532132</v>
      </c>
      <c r="D12" s="180">
        <f>+'Estado de Resultado Resol. 30'!E28+'Estado de Resultado Resol. 30'!E29</f>
        <v>4181024269</v>
      </c>
    </row>
    <row r="13" spans="2:4">
      <c r="B13" s="33" t="s">
        <v>980</v>
      </c>
      <c r="C13" s="126">
        <f>+'Estado de Resultado Resol. 30'!D27</f>
        <v>4014111834</v>
      </c>
      <c r="D13" s="180">
        <f>+'Estado de Resultado Resol. 30'!E27</f>
        <v>1637878104</v>
      </c>
    </row>
    <row r="14" spans="2:4" ht="24">
      <c r="B14" s="51" t="s">
        <v>590</v>
      </c>
      <c r="C14" s="126">
        <f>+'Estado de Resultado Resol. 30'!D29</f>
        <v>0</v>
      </c>
      <c r="D14" s="180"/>
    </row>
    <row r="15" spans="2:4" ht="24">
      <c r="B15" s="51" t="str">
        <f>+'Estado de Resultado Resol. 30'!B30</f>
        <v>Ingresos por Operciones y Servicios a personas relacionadas</v>
      </c>
      <c r="C15" s="126">
        <f>+'Estado de Resultado Resol. 30'!D30</f>
        <v>0</v>
      </c>
      <c r="D15" s="180"/>
    </row>
    <row r="16" spans="2:4">
      <c r="B16" s="49" t="s">
        <v>472</v>
      </c>
      <c r="C16" s="127">
        <f>SUM(C10:C15)</f>
        <v>15935551301</v>
      </c>
      <c r="D16" s="127">
        <f>SUM(D9:D15)</f>
        <v>10606180943</v>
      </c>
    </row>
    <row r="18" spans="2:5" ht="15.6">
      <c r="B18" s="787" t="s">
        <v>191</v>
      </c>
      <c r="C18" s="787"/>
      <c r="D18" s="787"/>
    </row>
    <row r="19" spans="2:5">
      <c r="B19" s="119" t="s">
        <v>338</v>
      </c>
      <c r="C19" s="445">
        <f>+C8</f>
        <v>44742</v>
      </c>
      <c r="D19" s="445">
        <f>+D8</f>
        <v>44377</v>
      </c>
    </row>
    <row r="20" spans="2:5">
      <c r="B20" s="33" t="s">
        <v>473</v>
      </c>
      <c r="C20" s="97">
        <f>+'Estado de Resultado Resol. 30'!D35</f>
        <v>0</v>
      </c>
      <c r="D20" s="53">
        <f>+'Estado de Resultado Resol. 30'!E35</f>
        <v>0</v>
      </c>
    </row>
    <row r="21" spans="2:5">
      <c r="B21" s="33" t="s">
        <v>474</v>
      </c>
      <c r="C21" s="97">
        <f>+'Estado de Resultado Resol. 30'!D36</f>
        <v>0</v>
      </c>
      <c r="D21" s="97">
        <f>+'Estado de Resultado Resol. 30'!E36</f>
        <v>0</v>
      </c>
    </row>
    <row r="22" spans="2:5">
      <c r="B22" s="33" t="s">
        <v>475</v>
      </c>
      <c r="C22" s="97">
        <f>+'Estado de Resultado Resol. 30'!D37</f>
        <v>542380418</v>
      </c>
      <c r="D22" s="97">
        <f>+'Estado de Resultado Resol. 30'!E37</f>
        <v>540252979</v>
      </c>
    </row>
    <row r="23" spans="2:5">
      <c r="B23" s="49" t="s">
        <v>472</v>
      </c>
      <c r="C23" s="118">
        <f>SUM(C20:C22)</f>
        <v>542380418</v>
      </c>
      <c r="D23" s="118">
        <f>SUM(D20:D22)</f>
        <v>540252979</v>
      </c>
    </row>
    <row r="25" spans="2:5">
      <c r="C25" s="39">
        <f>+C23-'Estado de Resultado Resol. 30'!D34</f>
        <v>0</v>
      </c>
      <c r="D25" s="39">
        <v>0</v>
      </c>
      <c r="E25" s="39"/>
    </row>
    <row r="26" spans="2:5">
      <c r="C26" s="39">
        <f>+C23+C16-'Estado de Resultado Resol. 30'!G11</f>
        <v>0</v>
      </c>
      <c r="D26" s="39">
        <f>+D23+D16-'Estado de Resultado Resol. 30'!H11</f>
        <v>0</v>
      </c>
      <c r="E26" s="39"/>
    </row>
  </sheetData>
  <mergeCells count="3">
    <mergeCell ref="B4:D4"/>
    <mergeCell ref="B7:D7"/>
    <mergeCell ref="B18:D18"/>
  </mergeCells>
  <hyperlinks>
    <hyperlink ref="B6" location="'Estado de Resultado Resol. 30'!A1" display="'Estado de Resultado Resol. 30'!A1" xr:uid="{00000000-0004-0000-1600-000000000000}"/>
  </hyperlink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>
    <tabColor rgb="FF002060"/>
  </sheetPr>
  <dimension ref="B1:G51"/>
  <sheetViews>
    <sheetView showGridLines="0" zoomScale="133" zoomScaleNormal="100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37.44140625" style="25" customWidth="1"/>
    <col min="3" max="3" width="13.44140625" style="25" bestFit="1" customWidth="1"/>
    <col min="4" max="4" width="14.33203125" style="25" customWidth="1"/>
    <col min="5" max="5" width="15.109375" style="25" bestFit="1" customWidth="1"/>
    <col min="6" max="8" width="0" style="25" hidden="1" customWidth="1"/>
    <col min="9" max="16384" width="11.44140625" style="25"/>
  </cols>
  <sheetData>
    <row r="1" spans="2:7" s="59" customFormat="1" ht="14.4">
      <c r="B1" s="788"/>
      <c r="C1" s="779"/>
      <c r="D1" s="779"/>
    </row>
    <row r="2" spans="2:7" s="59" customFormat="1">
      <c r="B2" s="181"/>
      <c r="C2" s="181"/>
      <c r="D2" s="181"/>
    </row>
    <row r="3" spans="2:7" s="59" customFormat="1">
      <c r="B3" s="181"/>
      <c r="C3" s="181"/>
      <c r="D3" s="181"/>
    </row>
    <row r="4" spans="2:7" s="59" customFormat="1">
      <c r="B4" s="181"/>
      <c r="C4" s="181"/>
      <c r="D4" s="181"/>
    </row>
    <row r="5" spans="2:7" s="59" customFormat="1" ht="15.6">
      <c r="B5" s="786" t="s">
        <v>477</v>
      </c>
      <c r="C5" s="786"/>
      <c r="D5" s="786"/>
    </row>
    <row r="6" spans="2:7" s="59" customFormat="1">
      <c r="B6" s="181"/>
      <c r="C6" s="181"/>
      <c r="D6" s="181"/>
    </row>
    <row r="7" spans="2:7" ht="14.4">
      <c r="B7" s="433" t="s">
        <v>690</v>
      </c>
      <c r="C7" s="182"/>
      <c r="D7" s="182"/>
    </row>
    <row r="8" spans="2:7">
      <c r="B8" s="196" t="s">
        <v>338</v>
      </c>
      <c r="C8" s="445">
        <f>+'NOTA V INGRESOS OPERATIVOS'!C8</f>
        <v>44742</v>
      </c>
      <c r="D8" s="445">
        <f>+'NOTA V INGRESOS OPERATIVOS'!D8</f>
        <v>44377</v>
      </c>
    </row>
    <row r="9" spans="2:7">
      <c r="B9" s="49" t="s">
        <v>478</v>
      </c>
      <c r="C9" s="1">
        <f>+'Estado de Resultado Resol. 30'!D39</f>
        <v>5649170243</v>
      </c>
      <c r="D9" s="1">
        <f>+'Estado de Resultado Resol. 30'!E39</f>
        <v>272062480</v>
      </c>
      <c r="E9" s="55"/>
      <c r="F9" s="55">
        <f>+C9-'Estado de Resultado Resol. 30'!D39</f>
        <v>0</v>
      </c>
      <c r="G9" s="55">
        <f>+D9-'Estado de Resultado Resol. 30'!E39</f>
        <v>0</v>
      </c>
    </row>
    <row r="10" spans="2:7">
      <c r="B10" s="33" t="s">
        <v>193</v>
      </c>
      <c r="C10" s="346">
        <f>+'Estado de Resultado Resol. 30'!D40</f>
        <v>0</v>
      </c>
      <c r="D10" s="183">
        <f>+'Estado de Resultado Resol. 30'!E40</f>
        <v>45908000</v>
      </c>
    </row>
    <row r="11" spans="2:7">
      <c r="B11" s="33" t="s">
        <v>194</v>
      </c>
      <c r="C11" s="346">
        <f>+'Estado de Resultado Resol. 30'!D41</f>
        <v>575211622</v>
      </c>
      <c r="D11" s="183">
        <f>+'Estado de Resultado Resol. 30'!E41</f>
        <v>218123864</v>
      </c>
    </row>
    <row r="12" spans="2:7">
      <c r="B12" s="33" t="s">
        <v>479</v>
      </c>
      <c r="C12" s="39">
        <f>+'Estado de Resultado Resol. 30'!D42</f>
        <v>5073958621</v>
      </c>
      <c r="D12" s="183">
        <f>+'Estado de Resultado Resol. 30'!E42</f>
        <v>8030616</v>
      </c>
    </row>
    <row r="13" spans="2:7">
      <c r="B13" s="184" t="s">
        <v>478</v>
      </c>
      <c r="C13" s="346">
        <f>+'Estado de Resultado Resol. 30'!D43</f>
        <v>10828761476</v>
      </c>
      <c r="D13" s="185">
        <f>+'Estado de Resultado Resol. 30'!E43</f>
        <v>10874371442</v>
      </c>
    </row>
    <row r="14" spans="2:7">
      <c r="B14" s="49"/>
      <c r="C14" s="186">
        <f>+'Estado de Resultado Resol. 30'!D44</f>
        <v>0</v>
      </c>
      <c r="D14" s="186">
        <f>+'Estado de Resultado Resol. 30'!E44</f>
        <v>0</v>
      </c>
      <c r="F14" s="55">
        <f>+C15-'Estado de Resultado Resol. 30'!D45</f>
        <v>0</v>
      </c>
      <c r="G14" s="55">
        <f>+D15-'Estado de Resultado Resol. 30'!E45</f>
        <v>0</v>
      </c>
    </row>
    <row r="15" spans="2:7">
      <c r="B15" s="49" t="s">
        <v>196</v>
      </c>
      <c r="C15" s="1">
        <f>+'Estado de Resultado Resol. 30'!D45</f>
        <v>158656636</v>
      </c>
      <c r="D15" s="1">
        <f>+'Estado de Resultado Resol. 30'!E45</f>
        <v>369177777</v>
      </c>
    </row>
    <row r="16" spans="2:7">
      <c r="B16" s="33" t="s">
        <v>197</v>
      </c>
      <c r="C16" s="183">
        <f>+'Estado de Resultado Resol. 30'!D46</f>
        <v>0</v>
      </c>
      <c r="D16" s="183">
        <f>+'Estado de Resultado Resol. 30'!E46</f>
        <v>79713471</v>
      </c>
    </row>
    <row r="17" spans="2:7">
      <c r="B17" s="33" t="s">
        <v>198</v>
      </c>
      <c r="C17" s="183">
        <f>+'Estado de Resultado Resol. 30'!D47</f>
        <v>0</v>
      </c>
      <c r="D17" s="183">
        <f>+'Estado de Resultado Resol. 30'!E47</f>
        <v>0</v>
      </c>
    </row>
    <row r="18" spans="2:7">
      <c r="B18" s="33" t="s">
        <v>199</v>
      </c>
      <c r="C18" s="183">
        <f>+'Estado de Resultado Resol. 30'!D48</f>
        <v>158656636</v>
      </c>
      <c r="D18" s="183">
        <f>+'Estado de Resultado Resol. 30'!E48</f>
        <v>289464306</v>
      </c>
    </row>
    <row r="19" spans="2:7">
      <c r="B19" s="49"/>
      <c r="C19" s="186">
        <f>+'Estado de Resultado Resol. 30'!D49</f>
        <v>0</v>
      </c>
      <c r="D19" s="186">
        <f>+'Estado de Resultado Resol. 30'!E49</f>
        <v>0</v>
      </c>
    </row>
    <row r="20" spans="2:7">
      <c r="B20" s="49" t="s">
        <v>200</v>
      </c>
      <c r="C20" s="1">
        <f>+'Estado de Resultado Resol. 30'!D50</f>
        <v>4964571597</v>
      </c>
      <c r="D20" s="1">
        <f>+'Estado de Resultado Resol. 30'!E50</f>
        <v>3038961465</v>
      </c>
      <c r="F20" s="55">
        <f>+C20-'Estado de Resultado Resol. 30'!D50</f>
        <v>0</v>
      </c>
      <c r="G20" s="55">
        <f>+D20-'Estado de Resultado Resol. 30'!E50</f>
        <v>0</v>
      </c>
    </row>
    <row r="21" spans="2:7">
      <c r="B21" s="579" t="s">
        <v>765</v>
      </c>
      <c r="C21" s="183">
        <f>+'Estado de Resultado Resol. 30'!D51</f>
        <v>1590964629</v>
      </c>
      <c r="D21" s="183">
        <f>+'Estado de Resultado Resol. 30'!E51</f>
        <v>1288088184</v>
      </c>
    </row>
    <row r="22" spans="2:7">
      <c r="B22" s="33" t="s">
        <v>766</v>
      </c>
      <c r="C22" s="183">
        <f>+'Estado de Resultado Resol. 30'!D52</f>
        <v>1277740046</v>
      </c>
      <c r="D22" s="183">
        <f>+'Estado de Resultado Resol. 30'!E52</f>
        <v>1062922140</v>
      </c>
    </row>
    <row r="23" spans="2:7">
      <c r="B23" s="33" t="s">
        <v>201</v>
      </c>
      <c r="C23" s="183">
        <f>+'Estado de Resultado Resol. 30'!D53</f>
        <v>211058109</v>
      </c>
      <c r="D23" s="183">
        <f>+'Estado de Resultado Resol. 30'!E53</f>
        <v>175382155</v>
      </c>
    </row>
    <row r="24" spans="2:7">
      <c r="B24" s="33" t="s">
        <v>767</v>
      </c>
      <c r="C24" s="183">
        <f>+'Estado de Resultado Resol. 30'!D54</f>
        <v>47213956</v>
      </c>
      <c r="D24" s="183">
        <f>+'Estado de Resultado Resol. 30'!E54</f>
        <v>37784959</v>
      </c>
    </row>
    <row r="25" spans="2:7">
      <c r="B25" s="33" t="s">
        <v>1012</v>
      </c>
      <c r="C25" s="183">
        <f>+'Estado de Resultado Resol. 30'!D55</f>
        <v>1341667</v>
      </c>
      <c r="D25" s="183">
        <f>+'Estado de Resultado Resol. 30'!E55</f>
        <v>0</v>
      </c>
    </row>
    <row r="26" spans="2:7">
      <c r="B26" s="33" t="s">
        <v>768</v>
      </c>
      <c r="C26" s="183">
        <f>+'Estado de Resultado Resol. 30'!D56</f>
        <v>48917739</v>
      </c>
      <c r="D26" s="183">
        <f>+'Estado de Resultado Resol. 30'!E56</f>
        <v>8051818</v>
      </c>
    </row>
    <row r="27" spans="2:7">
      <c r="B27" s="33" t="s">
        <v>769</v>
      </c>
      <c r="C27" s="183">
        <f>+'Estado de Resultado Resol. 30'!D57</f>
        <v>4693112</v>
      </c>
      <c r="D27" s="183">
        <f>+'Estado de Resultado Resol. 30'!E57</f>
        <v>3947112</v>
      </c>
    </row>
    <row r="28" spans="2:7">
      <c r="B28" s="33" t="s">
        <v>971</v>
      </c>
      <c r="C28" s="183">
        <f>+'Estado de Resultado Resol. 30'!D58</f>
        <v>1507354691</v>
      </c>
      <c r="D28" s="183">
        <f>+'Estado de Resultado Resol. 30'!E58</f>
        <v>642165111</v>
      </c>
    </row>
    <row r="29" spans="2:7">
      <c r="B29" s="33" t="s">
        <v>972</v>
      </c>
      <c r="C29" s="183">
        <f>+'Estado de Resultado Resol. 30'!D59</f>
        <v>1456066714</v>
      </c>
      <c r="D29" s="183">
        <f>+'Estado de Resultado Resol. 30'!E59</f>
        <v>611112046</v>
      </c>
    </row>
    <row r="30" spans="2:7">
      <c r="B30" s="33" t="s">
        <v>770</v>
      </c>
      <c r="C30" s="183">
        <f>+'Estado de Resultado Resol. 30'!D60</f>
        <v>51287977</v>
      </c>
      <c r="D30" s="183">
        <f>+'Estado de Resultado Resol. 30'!E60</f>
        <v>31053065</v>
      </c>
    </row>
    <row r="31" spans="2:7">
      <c r="B31" s="33" t="s">
        <v>771</v>
      </c>
      <c r="C31" s="183">
        <f>+'Estado de Resultado Resol. 30'!D61</f>
        <v>1866252277</v>
      </c>
      <c r="D31" s="183">
        <f>+'Estado de Resultado Resol. 30'!E61</f>
        <v>1108708171</v>
      </c>
      <c r="F31" s="55"/>
    </row>
    <row r="32" spans="2:7">
      <c r="B32" s="33" t="s">
        <v>772</v>
      </c>
      <c r="C32" s="183">
        <f>+'Estado de Resultado Resol. 30'!D62</f>
        <v>253661463</v>
      </c>
      <c r="D32" s="183">
        <f>+'Estado de Resultado Resol. 30'!E62</f>
        <v>133629817</v>
      </c>
    </row>
    <row r="33" spans="2:4">
      <c r="B33" s="33" t="s">
        <v>773</v>
      </c>
      <c r="C33" s="183">
        <f>+'Estado de Resultado Resol. 30'!D63</f>
        <v>237335254</v>
      </c>
      <c r="D33" s="183">
        <f>+'Estado de Resultado Resol. 30'!E63</f>
        <v>236006349</v>
      </c>
    </row>
    <row r="34" spans="2:4">
      <c r="B34" s="33" t="s">
        <v>774</v>
      </c>
      <c r="C34" s="183">
        <f>+'Estado de Resultado Resol. 30'!D64</f>
        <v>303235559</v>
      </c>
      <c r="D34" s="183">
        <f>+'Estado de Resultado Resol. 30'!E64</f>
        <v>423807495</v>
      </c>
    </row>
    <row r="35" spans="2:4">
      <c r="B35" s="33" t="s">
        <v>775</v>
      </c>
      <c r="C35" s="183">
        <f>+'Estado de Resultado Resol. 30'!D65</f>
        <v>79468596</v>
      </c>
      <c r="D35" s="183">
        <f>+'Estado de Resultado Resol. 30'!E65</f>
        <v>76086011</v>
      </c>
    </row>
    <row r="36" spans="2:4">
      <c r="B36" s="33" t="s">
        <v>776</v>
      </c>
      <c r="C36" s="183">
        <f>+'Estado de Resultado Resol. 30'!D66</f>
        <v>1787247</v>
      </c>
      <c r="D36" s="183">
        <f>+'Estado de Resultado Resol. 30'!E66</f>
        <v>667271</v>
      </c>
    </row>
    <row r="37" spans="2:4">
      <c r="B37" s="33" t="s">
        <v>777</v>
      </c>
      <c r="C37" s="183">
        <f>+'Estado de Resultado Resol. 30'!D67</f>
        <v>21856486</v>
      </c>
      <c r="D37" s="183">
        <f>+'Estado de Resultado Resol. 30'!E67</f>
        <v>14025958</v>
      </c>
    </row>
    <row r="38" spans="2:4">
      <c r="B38" s="33" t="s">
        <v>778</v>
      </c>
      <c r="C38" s="183">
        <f>+'Estado de Resultado Resol. 30'!D68</f>
        <v>67449957</v>
      </c>
      <c r="D38" s="183">
        <f>+'Estado de Resultado Resol. 30'!E68</f>
        <v>25414485</v>
      </c>
    </row>
    <row r="39" spans="2:4">
      <c r="B39" s="33" t="s">
        <v>779</v>
      </c>
      <c r="C39" s="183">
        <f>+'Estado de Resultado Resol. 30'!D69</f>
        <v>11882694</v>
      </c>
      <c r="D39" s="183">
        <f>+'Estado de Resultado Resol. 30'!E69</f>
        <v>7103770</v>
      </c>
    </row>
    <row r="40" spans="2:4">
      <c r="B40" s="33" t="s">
        <v>973</v>
      </c>
      <c r="C40" s="183">
        <f>+'Estado de Resultado Resol. 30'!D70</f>
        <v>9537020</v>
      </c>
      <c r="D40" s="183">
        <f>+'Estado de Resultado Resol. 30'!E70</f>
        <v>0</v>
      </c>
    </row>
    <row r="41" spans="2:4">
      <c r="B41" s="33" t="s">
        <v>780</v>
      </c>
      <c r="C41" s="183">
        <f>+'Estado de Resultado Resol. 30'!D71</f>
        <v>42071728</v>
      </c>
      <c r="D41" s="183">
        <f>+'Estado de Resultado Resol. 30'!E71</f>
        <v>35712827</v>
      </c>
    </row>
    <row r="42" spans="2:4">
      <c r="B42" s="579" t="s">
        <v>781</v>
      </c>
      <c r="C42" s="183">
        <f>+'Estado de Resultado Resol. 30'!D72</f>
        <v>472727</v>
      </c>
      <c r="D42" s="183">
        <f>+'Estado de Resultado Resol. 30'!E72</f>
        <v>63636</v>
      </c>
    </row>
    <row r="43" spans="2:4">
      <c r="B43" s="33" t="s">
        <v>782</v>
      </c>
      <c r="C43" s="183">
        <f>+'Estado de Resultado Resol. 30'!D73</f>
        <v>40030353</v>
      </c>
      <c r="D43" s="183">
        <f>+'Estado de Resultado Resol. 30'!E73</f>
        <v>14972983</v>
      </c>
    </row>
    <row r="44" spans="2:4">
      <c r="B44" s="33" t="s">
        <v>974</v>
      </c>
      <c r="C44" s="183">
        <f>+'Estado de Resultado Resol. 30'!D74</f>
        <v>19164196</v>
      </c>
      <c r="D44" s="183">
        <f>+'Estado de Resultado Resol. 30'!E74</f>
        <v>0</v>
      </c>
    </row>
    <row r="45" spans="2:4">
      <c r="B45" s="579" t="s">
        <v>783</v>
      </c>
      <c r="C45" s="183">
        <f>+'Estado de Resultado Resol. 30'!D75</f>
        <v>41772182</v>
      </c>
      <c r="D45" s="183">
        <f>+'Estado de Resultado Resol. 30'!E75</f>
        <v>53883471</v>
      </c>
    </row>
    <row r="46" spans="2:4">
      <c r="B46" s="33" t="s">
        <v>784</v>
      </c>
      <c r="C46" s="183">
        <f>+'Estado de Resultado Resol. 30'!D76</f>
        <v>332320</v>
      </c>
      <c r="D46" s="183">
        <f>+'Estado de Resultado Resol. 30'!E76</f>
        <v>166160</v>
      </c>
    </row>
    <row r="47" spans="2:4">
      <c r="B47" s="579" t="s">
        <v>785</v>
      </c>
      <c r="C47" s="183">
        <f>+'Estado de Resultado Resol. 30'!D77</f>
        <v>35000</v>
      </c>
      <c r="D47" s="183">
        <f>+'Estado de Resultado Resol. 30'!E77</f>
        <v>14621019</v>
      </c>
    </row>
    <row r="48" spans="2:4">
      <c r="B48" s="579" t="s">
        <v>786</v>
      </c>
      <c r="C48" s="183">
        <f>+'Estado de Resultado Resol. 30'!D78</f>
        <v>25802727</v>
      </c>
      <c r="D48" s="183">
        <f>+'Estado de Resultado Resol. 30'!E78</f>
        <v>12348561</v>
      </c>
    </row>
    <row r="49" spans="2:4">
      <c r="B49" s="33" t="s">
        <v>787</v>
      </c>
      <c r="C49" s="183">
        <f>+'Estado de Resultado Resol. 30'!D79</f>
        <v>710356768</v>
      </c>
      <c r="D49" s="183">
        <f>+'Estado de Resultado Resol. 30'!E79</f>
        <v>45393363</v>
      </c>
    </row>
    <row r="50" spans="2:4">
      <c r="B50" s="33" t="s">
        <v>788</v>
      </c>
      <c r="C50" s="183">
        <f>+'Estado de Resultado Resol. 30'!D80</f>
        <v>306695940</v>
      </c>
      <c r="D50" s="183">
        <f>+'Estado de Resultado Resol. 30'!E80</f>
        <v>0</v>
      </c>
    </row>
    <row r="51" spans="2:4">
      <c r="B51" s="33" t="s">
        <v>789</v>
      </c>
      <c r="C51" s="183">
        <f>+'Estado de Resultado Resol. 30'!D81</f>
        <v>403660828</v>
      </c>
      <c r="D51" s="183">
        <f>+'Estado de Resultado Resol. 30'!E81</f>
        <v>31848968</v>
      </c>
    </row>
  </sheetData>
  <mergeCells count="2">
    <mergeCell ref="B1:D1"/>
    <mergeCell ref="B5:D5"/>
  </mergeCells>
  <hyperlinks>
    <hyperlink ref="B7" location="'Estado de Resultado Resol. 30'!A1" display="'Estado de Resultado Resol. 30'!A1" xr:uid="{00000000-0004-0000-1700-000000000000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>
    <tabColor rgb="FF002060"/>
  </sheetPr>
  <dimension ref="B1:D13"/>
  <sheetViews>
    <sheetView showGridLines="0" zoomScaleNormal="100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48" customHeight="1">
      <c r="B1" s="203"/>
    </row>
    <row r="2" spans="2:4" ht="14.4">
      <c r="B2" s="357"/>
    </row>
    <row r="3" spans="2:4" ht="15.6">
      <c r="B3" s="742" t="s">
        <v>694</v>
      </c>
      <c r="C3" s="742"/>
      <c r="D3" s="742"/>
    </row>
    <row r="5" spans="2:4" ht="14.4">
      <c r="B5" s="420" t="s">
        <v>690</v>
      </c>
    </row>
    <row r="6" spans="2:4">
      <c r="B6" s="196" t="s">
        <v>338</v>
      </c>
      <c r="C6" s="445">
        <f>+'NOTA W OTROS GASTOS OPER'!C8</f>
        <v>44742</v>
      </c>
      <c r="D6" s="590">
        <f>+'NOTA W OTROS GASTOS OPER'!D8</f>
        <v>44377</v>
      </c>
    </row>
    <row r="7" spans="2:4">
      <c r="B7" s="49" t="s">
        <v>204</v>
      </c>
      <c r="C7" s="187">
        <f>+C8</f>
        <v>367000</v>
      </c>
      <c r="D7" s="187">
        <f>+D8</f>
        <v>0</v>
      </c>
    </row>
    <row r="8" spans="2:4">
      <c r="B8" s="33" t="s">
        <v>204</v>
      </c>
      <c r="C8" s="188">
        <f>+'Estado de Resultado Resol. 30'!D88</f>
        <v>367000</v>
      </c>
      <c r="D8" s="53">
        <f>+'Estado de Resultado Resol. 30'!E88</f>
        <v>0</v>
      </c>
    </row>
    <row r="9" spans="2:4">
      <c r="B9" s="49" t="s">
        <v>203</v>
      </c>
      <c r="C9" s="187">
        <f>+C10</f>
        <v>602126676</v>
      </c>
      <c r="D9" s="187">
        <f>+D10</f>
        <v>0</v>
      </c>
    </row>
    <row r="10" spans="2:4">
      <c r="B10" s="33" t="s">
        <v>203</v>
      </c>
      <c r="C10" s="188">
        <f>+'Estado de Resultado Resol. 30'!D87</f>
        <v>602126676</v>
      </c>
      <c r="D10" s="188">
        <f>+'Estado de Resultado Resol. 30'!E87</f>
        <v>0</v>
      </c>
    </row>
    <row r="11" spans="2:4">
      <c r="B11" s="49" t="s">
        <v>472</v>
      </c>
      <c r="C11" s="187">
        <f>+C9-C7</f>
        <v>601759676</v>
      </c>
      <c r="D11" s="187">
        <f>+D9-D7</f>
        <v>0</v>
      </c>
    </row>
    <row r="13" spans="2:4">
      <c r="C13" s="55">
        <f>+C11-'Estado de Resultado Resol. 30'!D86</f>
        <v>0</v>
      </c>
      <c r="D13" s="55">
        <f>+D11-'Estado de Resultado Resol. 30'!E86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800-000000000000}"/>
  </hyperlinks>
  <pageMargins left="0.7" right="0.7" top="0.75" bottom="0.75" header="0.3" footer="0.3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>
    <tabColor rgb="FF002060"/>
  </sheetPr>
  <dimension ref="B1:D16"/>
  <sheetViews>
    <sheetView showGridLines="0" topLeftCell="A2" zoomScale="115" zoomScaleNormal="115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4" width="14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30" customHeight="1">
      <c r="B1" s="203"/>
    </row>
    <row r="2" spans="2:4" ht="17.399999999999999" customHeight="1"/>
    <row r="3" spans="2:4" ht="15.6">
      <c r="B3" s="742" t="s">
        <v>697</v>
      </c>
      <c r="C3" s="742"/>
      <c r="D3" s="742"/>
    </row>
    <row r="4" spans="2:4" ht="15.6">
      <c r="B4" s="374"/>
      <c r="C4" s="374"/>
      <c r="D4" s="374"/>
    </row>
    <row r="5" spans="2:4" ht="14.4">
      <c r="B5" s="420" t="s">
        <v>690</v>
      </c>
    </row>
    <row r="6" spans="2:4">
      <c r="B6" s="119" t="s">
        <v>338</v>
      </c>
      <c r="C6" s="445">
        <f>+'NOTA X OTROS INGRESOS Y EGR'!C6</f>
        <v>44742</v>
      </c>
      <c r="D6" s="590">
        <f>+'NOTA X OTROS INGRESOS Y EGR'!D6</f>
        <v>44377</v>
      </c>
    </row>
    <row r="7" spans="2:4">
      <c r="B7" s="49" t="s">
        <v>480</v>
      </c>
      <c r="C7" s="53"/>
      <c r="D7" s="53"/>
    </row>
    <row r="8" spans="2:4">
      <c r="B8" s="33" t="s">
        <v>481</v>
      </c>
      <c r="C8" s="53">
        <f>+'Estado de Resultado Resol. 30'!D93</f>
        <v>3021980643</v>
      </c>
      <c r="D8" s="53">
        <f>+'Estado de Resultado Resol. 30'!E93</f>
        <v>133744877</v>
      </c>
    </row>
    <row r="9" spans="2:4">
      <c r="B9" s="33" t="s">
        <v>207</v>
      </c>
      <c r="C9" s="53">
        <f>+'Estado de Resultado Resol. 30'!D94</f>
        <v>1216980348</v>
      </c>
      <c r="D9" s="53">
        <f>+'Estado de Resultado Resol. 30'!E94</f>
        <v>2163744706</v>
      </c>
    </row>
    <row r="10" spans="2:4">
      <c r="B10" s="49" t="s">
        <v>472</v>
      </c>
      <c r="C10" s="118">
        <f>SUM(C8:C9)</f>
        <v>4238960991</v>
      </c>
      <c r="D10" s="118">
        <f>SUM(D8:D9)</f>
        <v>2297489583</v>
      </c>
    </row>
    <row r="11" spans="2:4">
      <c r="B11" s="49" t="s">
        <v>482</v>
      </c>
      <c r="C11" s="53"/>
      <c r="D11" s="53"/>
    </row>
    <row r="12" spans="2:4">
      <c r="B12" s="33" t="s">
        <v>483</v>
      </c>
      <c r="C12" s="97">
        <f>'Estado de Resultado Resol. 30'!D96</f>
        <v>757507175</v>
      </c>
      <c r="D12" s="97">
        <f>'Estado de Resultado Resol. 30'!E96</f>
        <v>1323471816</v>
      </c>
    </row>
    <row r="13" spans="2:4">
      <c r="B13" s="33" t="s">
        <v>207</v>
      </c>
      <c r="C13" s="97">
        <f>'Estado de Resultado Resol. 30'!D97</f>
        <v>610841148</v>
      </c>
      <c r="D13" s="97">
        <f>'Estado de Resultado Resol. 30'!E97</f>
        <v>871152777</v>
      </c>
    </row>
    <row r="14" spans="2:4">
      <c r="B14" s="49" t="s">
        <v>472</v>
      </c>
      <c r="C14" s="186">
        <f>SUM(C12:C13)</f>
        <v>1368348323</v>
      </c>
      <c r="D14" s="186">
        <f>SUM(D12:D13)</f>
        <v>2194624593</v>
      </c>
    </row>
    <row r="15" spans="2:4">
      <c r="B15" s="49" t="s">
        <v>937</v>
      </c>
      <c r="C15" s="186">
        <f>+C10-C14</f>
        <v>2870612668</v>
      </c>
      <c r="D15" s="186">
        <f>+D10-D14</f>
        <v>102864990</v>
      </c>
    </row>
    <row r="16" spans="2:4">
      <c r="C16" s="55">
        <f>+C15-'Estado de Resultado Resol. 30'!D90</f>
        <v>0</v>
      </c>
      <c r="D16" s="55">
        <f>+D15-'Estado de Resultado Resol. 30'!E90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rgb="FF002060"/>
  </sheetPr>
  <dimension ref="B1:D16"/>
  <sheetViews>
    <sheetView showGridLines="0" zoomScaleNormal="100" workbookViewId="0">
      <selection activeCell="E92" sqref="E92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34.200000000000003" customHeight="1">
      <c r="B1" s="203"/>
    </row>
    <row r="4" spans="2:4" ht="15.6">
      <c r="B4" s="789" t="s">
        <v>698</v>
      </c>
      <c r="C4" s="789"/>
      <c r="D4" s="789"/>
    </row>
    <row r="5" spans="2:4" ht="15.6">
      <c r="B5" s="408"/>
      <c r="C5" s="408"/>
      <c r="D5" s="408"/>
    </row>
    <row r="6" spans="2:4" ht="14.4">
      <c r="B6" s="420" t="s">
        <v>690</v>
      </c>
    </row>
    <row r="7" spans="2:4">
      <c r="B7" s="196" t="s">
        <v>338</v>
      </c>
      <c r="C7" s="445">
        <f>+'NOTA Y RESULTADOS FINANC'!C6</f>
        <v>44742</v>
      </c>
      <c r="D7" s="590">
        <f>+'NOTA Y RESULTADOS FINANC'!D6</f>
        <v>44377</v>
      </c>
    </row>
    <row r="8" spans="2:4">
      <c r="B8" s="49" t="s">
        <v>484</v>
      </c>
      <c r="C8" s="49"/>
      <c r="D8" s="49"/>
    </row>
    <row r="9" spans="2:4">
      <c r="B9" s="33" t="s">
        <v>485</v>
      </c>
      <c r="C9" s="189">
        <v>0</v>
      </c>
      <c r="D9" s="188">
        <v>0</v>
      </c>
    </row>
    <row r="10" spans="2:4">
      <c r="B10" s="33" t="s">
        <v>938</v>
      </c>
      <c r="C10" s="189"/>
      <c r="D10" s="188"/>
    </row>
    <row r="11" spans="2:4">
      <c r="B11" s="49" t="s">
        <v>472</v>
      </c>
      <c r="C11" s="190">
        <f>SUM(C9)</f>
        <v>0</v>
      </c>
      <c r="D11" s="190">
        <f>SUM(D9)</f>
        <v>0</v>
      </c>
    </row>
    <row r="12" spans="2:4">
      <c r="B12" s="49" t="s">
        <v>486</v>
      </c>
      <c r="C12" s="49"/>
      <c r="D12" s="49"/>
    </row>
    <row r="13" spans="2:4">
      <c r="B13" s="33" t="s">
        <v>487</v>
      </c>
      <c r="C13" s="49"/>
      <c r="D13" s="49"/>
    </row>
    <row r="14" spans="2:4">
      <c r="B14" s="33" t="s">
        <v>939</v>
      </c>
      <c r="C14" s="189">
        <f>+'Estado de Resultado Resol. 30'!D101</f>
        <v>0</v>
      </c>
      <c r="D14" s="189">
        <f>+'Estado de Resultado Resol. 30'!E101</f>
        <v>0</v>
      </c>
    </row>
    <row r="15" spans="2:4">
      <c r="B15" s="49" t="s">
        <v>472</v>
      </c>
      <c r="C15" s="190">
        <f>SUM(C14)</f>
        <v>0</v>
      </c>
      <c r="D15" s="190">
        <f>SUM(D14)</f>
        <v>0</v>
      </c>
    </row>
    <row r="16" spans="2:4" ht="15.6" customHeight="1">
      <c r="C16" s="55">
        <f>+C15+'Estado de Resultado Resol. 30'!D99</f>
        <v>0</v>
      </c>
      <c r="D16" s="55">
        <f>+D15+'Estado de Resultado Resol. 30'!E99</f>
        <v>0</v>
      </c>
    </row>
  </sheetData>
  <mergeCells count="1">
    <mergeCell ref="B4:D4"/>
  </mergeCells>
  <hyperlinks>
    <hyperlink ref="B6" location="'Estado de Resultado Resol. 30'!A1" display="'Estado de Resultado Resol. 30'!A1" xr:uid="{00000000-0004-0000-1A00-000000000000}"/>
  </hyperlinks>
  <pageMargins left="0.7" right="0.7" top="0.75" bottom="0.75" header="0.3" footer="0.3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rgb="FF002060"/>
  </sheetPr>
  <dimension ref="B1:H22"/>
  <sheetViews>
    <sheetView showGridLines="0" topLeftCell="A22" zoomScaleNormal="100" workbookViewId="0">
      <selection activeCell="E92" sqref="E92"/>
    </sheetView>
  </sheetViews>
  <sheetFormatPr baseColWidth="10" defaultColWidth="9.109375" defaultRowHeight="12"/>
  <cols>
    <col min="1" max="1" width="4.6640625" style="25" customWidth="1"/>
    <col min="2" max="2" width="93.109375" style="337" customWidth="1"/>
    <col min="3" max="5" width="11.44140625" style="25" customWidth="1"/>
    <col min="6" max="8" width="11.44140625" style="25" hidden="1" customWidth="1"/>
    <col min="9" max="255" width="11.44140625" style="25" customWidth="1"/>
    <col min="256" max="16384" width="9.109375" style="25"/>
  </cols>
  <sheetData>
    <row r="1" spans="2:2" ht="42" customHeight="1">
      <c r="B1" s="203"/>
    </row>
    <row r="5" spans="2:2" ht="15.6">
      <c r="B5" s="436" t="s">
        <v>488</v>
      </c>
    </row>
    <row r="6" spans="2:2">
      <c r="B6" s="26" t="s">
        <v>547</v>
      </c>
    </row>
    <row r="7" spans="2:2">
      <c r="B7" s="84" t="s">
        <v>489</v>
      </c>
    </row>
    <row r="8" spans="2:2">
      <c r="B8" s="26" t="s">
        <v>548</v>
      </c>
    </row>
    <row r="9" spans="2:2">
      <c r="B9" s="84" t="s">
        <v>489</v>
      </c>
    </row>
    <row r="10" spans="2:2">
      <c r="B10" s="26" t="s">
        <v>549</v>
      </c>
    </row>
    <row r="11" spans="2:2" ht="54.75" customHeight="1">
      <c r="B11" s="438" t="s">
        <v>940</v>
      </c>
    </row>
    <row r="12" spans="2:2" ht="54.75" customHeight="1">
      <c r="B12" s="438" t="s">
        <v>941</v>
      </c>
    </row>
    <row r="13" spans="2:2" ht="15.6">
      <c r="B13" s="436" t="s">
        <v>490</v>
      </c>
    </row>
    <row r="14" spans="2:2">
      <c r="B14" s="84" t="s">
        <v>491</v>
      </c>
    </row>
    <row r="15" spans="2:2" ht="33.75" customHeight="1">
      <c r="B15" s="437" t="s">
        <v>942</v>
      </c>
    </row>
    <row r="16" spans="2:2">
      <c r="B16" s="84" t="s">
        <v>492</v>
      </c>
    </row>
    <row r="17" spans="2:2" ht="15.6">
      <c r="B17" s="437" t="s">
        <v>493</v>
      </c>
    </row>
    <row r="18" spans="2:2">
      <c r="B18" s="84" t="s">
        <v>492</v>
      </c>
    </row>
    <row r="19" spans="2:2" ht="15.6">
      <c r="B19" s="437" t="s">
        <v>494</v>
      </c>
    </row>
    <row r="20" spans="2:2">
      <c r="B20" s="84" t="s">
        <v>492</v>
      </c>
    </row>
    <row r="21" spans="2:2" ht="15.6">
      <c r="B21" s="437" t="s">
        <v>495</v>
      </c>
    </row>
    <row r="22" spans="2:2">
      <c r="B22" s="84" t="s">
        <v>496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2060"/>
    <pageSetUpPr fitToPage="1"/>
  </sheetPr>
  <dimension ref="B2:K149"/>
  <sheetViews>
    <sheetView showGridLines="0" tabSelected="1" topLeftCell="A67" zoomScale="115" zoomScaleNormal="115" workbookViewId="0">
      <selection activeCell="C86" sqref="C86"/>
    </sheetView>
  </sheetViews>
  <sheetFormatPr baseColWidth="10" defaultColWidth="11.44140625" defaultRowHeight="12"/>
  <cols>
    <col min="1" max="1" width="5.6640625" style="204" customWidth="1"/>
    <col min="2" max="2" width="20.88671875" style="204" hidden="1" customWidth="1"/>
    <col min="3" max="3" width="42.6640625" style="204" customWidth="1"/>
    <col min="4" max="5" width="13.6640625" style="204" customWidth="1"/>
    <col min="6" max="6" width="42.6640625" style="204" customWidth="1"/>
    <col min="7" max="8" width="13.6640625" style="204" customWidth="1"/>
    <col min="9" max="9" width="5.5546875" style="204" customWidth="1"/>
    <col min="10" max="10" width="13.33203125" style="204" bestFit="1" customWidth="1"/>
    <col min="11" max="11" width="12" style="204" bestFit="1" customWidth="1"/>
    <col min="12" max="16384" width="11.44140625" style="204"/>
  </cols>
  <sheetData>
    <row r="2" spans="2:10">
      <c r="E2" s="194"/>
    </row>
    <row r="3" spans="2:10" ht="21.9" customHeight="1">
      <c r="E3" s="194"/>
    </row>
    <row r="4" spans="2:10" s="206" customFormat="1" ht="18">
      <c r="B4" s="205">
        <v>1</v>
      </c>
      <c r="C4" s="698" t="s">
        <v>0</v>
      </c>
      <c r="D4" s="698"/>
      <c r="E4" s="698"/>
      <c r="F4" s="698"/>
      <c r="G4" s="698"/>
      <c r="H4" s="698"/>
    </row>
    <row r="5" spans="2:10" s="206" customFormat="1" ht="11.25" customHeight="1">
      <c r="C5" s="698" t="s">
        <v>500</v>
      </c>
      <c r="D5" s="698"/>
      <c r="E5" s="698"/>
      <c r="F5" s="698"/>
      <c r="G5" s="698"/>
      <c r="H5" s="698"/>
    </row>
    <row r="6" spans="2:10" s="206" customFormat="1" ht="27" customHeight="1">
      <c r="B6" s="207" t="s">
        <v>29</v>
      </c>
      <c r="C6" s="733" t="s">
        <v>1010</v>
      </c>
      <c r="D6" s="733"/>
      <c r="E6" s="733"/>
      <c r="F6" s="733"/>
      <c r="G6" s="733"/>
      <c r="H6" s="733"/>
    </row>
    <row r="7" spans="2:10" s="206" customFormat="1" ht="12" customHeight="1">
      <c r="B7" s="208" t="s">
        <v>30</v>
      </c>
      <c r="C7" s="734" t="s">
        <v>31</v>
      </c>
      <c r="D7" s="734"/>
      <c r="E7" s="734"/>
      <c r="F7" s="734"/>
      <c r="G7" s="734"/>
      <c r="H7" s="734"/>
    </row>
    <row r="8" spans="2:10" s="206" customFormat="1" ht="32.4" customHeight="1">
      <c r="B8" s="208"/>
      <c r="C8" s="375" t="s">
        <v>32</v>
      </c>
      <c r="D8" s="209" t="s">
        <v>1011</v>
      </c>
      <c r="E8" s="209" t="s">
        <v>944</v>
      </c>
      <c r="F8" s="375" t="s">
        <v>33</v>
      </c>
      <c r="G8" s="209" t="str">
        <f>+D8</f>
        <v>PERIODO ACTUAL 30/06/ 2022</v>
      </c>
      <c r="H8" s="209" t="str">
        <f>+E8</f>
        <v>PERIODO ANTERIOR   31/12/ 2021</v>
      </c>
    </row>
    <row r="9" spans="2:10" s="206" customFormat="1" ht="11.25" customHeight="1">
      <c r="B9" s="208" t="s">
        <v>34</v>
      </c>
      <c r="C9" s="412" t="s">
        <v>35</v>
      </c>
      <c r="D9" s="211"/>
      <c r="E9" s="212"/>
      <c r="F9" s="213" t="s">
        <v>36</v>
      </c>
      <c r="G9" s="214"/>
      <c r="H9" s="215"/>
    </row>
    <row r="10" spans="2:10" s="206" customFormat="1" ht="11.25" customHeight="1">
      <c r="B10" s="208" t="s">
        <v>37</v>
      </c>
      <c r="C10" s="412" t="s">
        <v>38</v>
      </c>
      <c r="D10" s="216"/>
      <c r="E10" s="215"/>
      <c r="F10" s="213" t="s">
        <v>617</v>
      </c>
      <c r="G10" s="214"/>
      <c r="H10" s="215"/>
    </row>
    <row r="11" spans="2:10" s="206" customFormat="1" ht="11.25" customHeight="1">
      <c r="B11" s="208"/>
      <c r="C11" s="217" t="s">
        <v>39</v>
      </c>
      <c r="D11" s="216">
        <f>+'[4]EEFF '!$B$7+'[4]EEFF '!$B$9</f>
        <v>851000</v>
      </c>
      <c r="E11" s="215">
        <v>3819055348</v>
      </c>
      <c r="F11" s="426" t="s">
        <v>534</v>
      </c>
      <c r="G11" s="214">
        <v>0</v>
      </c>
      <c r="H11" s="215">
        <v>5726846168</v>
      </c>
      <c r="J11" s="609"/>
    </row>
    <row r="12" spans="2:10" s="206" customFormat="1" ht="11.25" customHeight="1">
      <c r="B12" s="208"/>
      <c r="C12" s="217" t="s">
        <v>40</v>
      </c>
      <c r="D12" s="216">
        <v>0</v>
      </c>
      <c r="E12" s="215">
        <v>0</v>
      </c>
      <c r="F12" s="426" t="s">
        <v>41</v>
      </c>
      <c r="G12" s="214">
        <f>+'[4]EEFF '!$B$114+'[4]EEFF '!$B$121-G27-109999</f>
        <v>218498787</v>
      </c>
      <c r="H12" s="215">
        <v>535305930</v>
      </c>
    </row>
    <row r="13" spans="2:10" s="206" customFormat="1" ht="11.25" customHeight="1">
      <c r="B13" s="208"/>
      <c r="C13" s="217" t="s">
        <v>42</v>
      </c>
      <c r="D13" s="216">
        <f>+'[4]EEFF '!$B$11+'[4]EEFF '!$B$16+'[4]EEFF '!$B$21</f>
        <v>889913621</v>
      </c>
      <c r="E13" s="215">
        <v>2226806832</v>
      </c>
      <c r="F13" s="426" t="s">
        <v>535</v>
      </c>
      <c r="G13" s="215">
        <f>+'[4]EEFF '!$B$97</f>
        <v>200055</v>
      </c>
      <c r="H13" s="219">
        <v>110000</v>
      </c>
    </row>
    <row r="14" spans="2:10" s="206" customFormat="1" ht="11.25" customHeight="1">
      <c r="B14" s="208"/>
      <c r="C14" s="220"/>
      <c r="D14" s="221">
        <f>SUM(D11:D13)</f>
        <v>890764621</v>
      </c>
      <c r="E14" s="221">
        <v>6045862180</v>
      </c>
      <c r="F14" s="218" t="s">
        <v>523</v>
      </c>
      <c r="G14" s="214">
        <v>0</v>
      </c>
      <c r="H14" s="215">
        <v>0</v>
      </c>
    </row>
    <row r="15" spans="2:10" s="206" customFormat="1" ht="11.25" customHeight="1">
      <c r="B15" s="208"/>
      <c r="C15" s="220"/>
      <c r="D15" s="216"/>
      <c r="E15" s="215"/>
      <c r="F15" s="218" t="s">
        <v>43</v>
      </c>
      <c r="G15" s="214">
        <v>0</v>
      </c>
      <c r="H15" s="215">
        <v>0</v>
      </c>
    </row>
    <row r="16" spans="2:10" s="206" customFormat="1" ht="11.25" customHeight="1">
      <c r="B16" s="208"/>
      <c r="C16" s="220"/>
      <c r="D16" s="216"/>
      <c r="E16" s="215"/>
      <c r="F16" s="213"/>
      <c r="G16" s="221">
        <f>SUM(G11:G15)</f>
        <v>218698842</v>
      </c>
      <c r="H16" s="221">
        <v>6262262098</v>
      </c>
      <c r="J16" s="609"/>
    </row>
    <row r="17" spans="2:11" s="206" customFormat="1" ht="11.25" customHeight="1">
      <c r="B17" s="208" t="s">
        <v>44</v>
      </c>
      <c r="C17" s="412" t="s">
        <v>618</v>
      </c>
      <c r="D17" s="216">
        <v>0</v>
      </c>
      <c r="E17" s="215">
        <v>0</v>
      </c>
      <c r="F17" s="427" t="s">
        <v>45</v>
      </c>
      <c r="G17" s="214"/>
      <c r="H17" s="215"/>
    </row>
    <row r="18" spans="2:11" s="206" customFormat="1" ht="11.25" customHeight="1">
      <c r="B18" s="208" t="s">
        <v>46</v>
      </c>
      <c r="C18" s="220" t="s">
        <v>47</v>
      </c>
      <c r="D18" s="216">
        <f>+'[4]EEFF '!$B$29</f>
        <v>5067712000</v>
      </c>
      <c r="E18" s="215">
        <v>1250020000</v>
      </c>
      <c r="F18" s="218" t="s">
        <v>48</v>
      </c>
      <c r="G18" s="214">
        <v>0</v>
      </c>
      <c r="H18" s="215">
        <v>0</v>
      </c>
    </row>
    <row r="19" spans="2:11" s="206" customFormat="1" ht="11.25" customHeight="1">
      <c r="B19" s="208"/>
      <c r="C19" s="220" t="s">
        <v>49</v>
      </c>
      <c r="D19" s="216">
        <f>+'[4]EEFF '!$B$26+'[4]EEFF '!$B$30</f>
        <v>55050008285</v>
      </c>
      <c r="E19" s="215">
        <v>123897600576</v>
      </c>
      <c r="F19" s="218" t="s">
        <v>50</v>
      </c>
      <c r="G19" s="214">
        <f>+'[4]EEFF '!$B$101</f>
        <v>30596490858</v>
      </c>
      <c r="H19" s="215">
        <v>29505799800</v>
      </c>
    </row>
    <row r="20" spans="2:11" s="206" customFormat="1" ht="11.25" customHeight="1">
      <c r="B20" s="208"/>
      <c r="C20" s="220" t="s">
        <v>758</v>
      </c>
      <c r="D20" s="216">
        <f>+'[4]EEFF '!$B$34+'[4]EEFF '!$B$36</f>
        <v>2933814722</v>
      </c>
      <c r="E20" s="215">
        <v>1811764209</v>
      </c>
      <c r="F20" s="218" t="s">
        <v>52</v>
      </c>
      <c r="G20" s="214">
        <f>+'[4]EEFF '!$B$106+'[4]EEFF '!$B$111+'[4]EEFF '!$B$112</f>
        <v>29407968</v>
      </c>
      <c r="H20" s="215">
        <v>-240243328</v>
      </c>
    </row>
    <row r="21" spans="2:11" s="206" customFormat="1" ht="11.25" customHeight="1">
      <c r="B21" s="208"/>
      <c r="C21" s="222" t="s">
        <v>51</v>
      </c>
      <c r="D21" s="216">
        <v>0</v>
      </c>
      <c r="E21" s="215">
        <v>0</v>
      </c>
      <c r="F21" s="218" t="s">
        <v>759</v>
      </c>
      <c r="G21" s="214">
        <f>+'[4]EEFF '!$B$110</f>
        <v>38613662174</v>
      </c>
      <c r="H21" s="215">
        <v>101801147485</v>
      </c>
    </row>
    <row r="22" spans="2:11" s="206" customFormat="1" ht="11.25" customHeight="1">
      <c r="B22" s="208"/>
      <c r="C22" s="220"/>
      <c r="D22" s="224">
        <f>SUM(D17:D21)</f>
        <v>63051535007</v>
      </c>
      <c r="E22" s="224">
        <v>126959384785</v>
      </c>
      <c r="F22" s="225"/>
      <c r="G22" s="224">
        <f>SUM(G17:G21)</f>
        <v>69239561000</v>
      </c>
      <c r="H22" s="224">
        <v>131066703957</v>
      </c>
      <c r="J22" s="227"/>
      <c r="K22" s="227"/>
    </row>
    <row r="23" spans="2:11" s="206" customFormat="1" ht="11.25" customHeight="1">
      <c r="B23" s="208"/>
      <c r="C23" s="412" t="s">
        <v>53</v>
      </c>
      <c r="D23" s="216"/>
      <c r="E23" s="215"/>
      <c r="F23" s="427" t="s">
        <v>536</v>
      </c>
      <c r="G23" s="214"/>
      <c r="H23" s="215"/>
    </row>
    <row r="24" spans="2:11" s="206" customFormat="1" ht="11.25" customHeight="1">
      <c r="B24" s="208"/>
      <c r="C24" s="217" t="s">
        <v>55</v>
      </c>
      <c r="D24" s="216">
        <f>+'[4]EEFF '!$B$40</f>
        <v>14875549707</v>
      </c>
      <c r="E24" s="219">
        <v>11358134441</v>
      </c>
      <c r="F24" s="218" t="s">
        <v>56</v>
      </c>
      <c r="G24" s="214">
        <v>0</v>
      </c>
      <c r="H24" s="215">
        <v>1740657839</v>
      </c>
    </row>
    <row r="25" spans="2:11" s="206" customFormat="1" ht="11.25" customHeight="1">
      <c r="B25" s="208"/>
      <c r="C25" s="217" t="s">
        <v>57</v>
      </c>
      <c r="D25" s="216">
        <f>+'[4]EEFF '!$B$44+'[4]EEFF '!$B$49+'[4]EEFF '!$B$51</f>
        <v>1324031834</v>
      </c>
      <c r="E25" s="215">
        <v>922158467</v>
      </c>
      <c r="F25" s="218" t="s">
        <v>58</v>
      </c>
      <c r="G25" s="214">
        <v>0</v>
      </c>
      <c r="H25" s="215">
        <v>0</v>
      </c>
    </row>
    <row r="26" spans="2:11" s="206" customFormat="1" ht="14.1" customHeight="1">
      <c r="B26" s="208"/>
      <c r="C26" s="217" t="s">
        <v>59</v>
      </c>
      <c r="D26" s="216">
        <f>+'[5]EEFF 31 03 2022'!$B$49</f>
        <v>3200000</v>
      </c>
      <c r="E26" s="215">
        <v>3200000</v>
      </c>
      <c r="F26" s="218" t="s">
        <v>60</v>
      </c>
      <c r="G26" s="214">
        <v>0</v>
      </c>
      <c r="H26" s="215">
        <v>0</v>
      </c>
    </row>
    <row r="27" spans="2:11" s="206" customFormat="1" ht="11.25" customHeight="1">
      <c r="B27" s="208"/>
      <c r="C27" s="222" t="s">
        <v>61</v>
      </c>
      <c r="D27" s="216">
        <v>0</v>
      </c>
      <c r="E27" s="215">
        <v>0</v>
      </c>
      <c r="F27" s="218" t="s">
        <v>62</v>
      </c>
      <c r="G27" s="214">
        <f>+'[4]EEFF '!$B$121</f>
        <v>56413476</v>
      </c>
      <c r="H27" s="215">
        <v>49929495</v>
      </c>
    </row>
    <row r="28" spans="2:11" s="206" customFormat="1" ht="11.25" customHeight="1">
      <c r="B28" s="208"/>
      <c r="C28" s="217" t="s">
        <v>63</v>
      </c>
      <c r="D28" s="216">
        <f>+'[4]EEFF '!$B$56</f>
        <v>2655411935</v>
      </c>
      <c r="E28" s="215">
        <v>1309229323</v>
      </c>
      <c r="F28" s="218" t="s">
        <v>64</v>
      </c>
      <c r="G28" s="214">
        <v>0</v>
      </c>
      <c r="H28" s="215">
        <v>0</v>
      </c>
    </row>
    <row r="29" spans="2:11" s="206" customFormat="1" ht="11.25" customHeight="1">
      <c r="B29" s="208" t="s">
        <v>65</v>
      </c>
      <c r="C29" s="222" t="s">
        <v>66</v>
      </c>
      <c r="D29" s="216">
        <v>0</v>
      </c>
      <c r="E29" s="215">
        <v>0</v>
      </c>
      <c r="F29" s="218"/>
      <c r="G29" s="214"/>
      <c r="H29" s="215"/>
    </row>
    <row r="30" spans="2:11" s="206" customFormat="1" ht="11.25" customHeight="1">
      <c r="B30" s="208" t="s">
        <v>67</v>
      </c>
      <c r="C30" s="217" t="s">
        <v>68</v>
      </c>
      <c r="D30" s="216">
        <v>0</v>
      </c>
      <c r="E30" s="215">
        <v>0</v>
      </c>
      <c r="F30" s="218"/>
      <c r="G30" s="214"/>
      <c r="H30" s="215"/>
      <c r="J30" s="227"/>
      <c r="K30" s="227"/>
    </row>
    <row r="31" spans="2:11" s="206" customFormat="1" ht="11.25" customHeight="1">
      <c r="B31" s="208" t="s">
        <v>69</v>
      </c>
      <c r="C31" s="217"/>
      <c r="D31" s="221">
        <f>SUM(D24:D30)</f>
        <v>18858193476</v>
      </c>
      <c r="E31" s="221">
        <v>13592722231</v>
      </c>
      <c r="F31" s="218"/>
      <c r="G31" s="221">
        <f>SUM(G24:G30)</f>
        <v>56413476</v>
      </c>
      <c r="H31" s="221">
        <v>1790587334</v>
      </c>
      <c r="I31" s="227"/>
      <c r="J31" s="227"/>
      <c r="K31" s="227"/>
    </row>
    <row r="32" spans="2:11" s="206" customFormat="1" ht="11.25" customHeight="1">
      <c r="B32" s="208"/>
      <c r="C32" s="210" t="s">
        <v>70</v>
      </c>
      <c r="D32" s="216"/>
      <c r="E32" s="215"/>
      <c r="F32" s="427" t="s">
        <v>702</v>
      </c>
      <c r="G32" s="214"/>
      <c r="H32" s="215"/>
      <c r="I32" s="228"/>
    </row>
    <row r="33" spans="2:11" s="206" customFormat="1" ht="11.25" customHeight="1">
      <c r="B33" s="208" t="s">
        <v>72</v>
      </c>
      <c r="C33" s="413" t="s">
        <v>668</v>
      </c>
      <c r="D33" s="211"/>
      <c r="E33" s="212"/>
      <c r="F33" s="229" t="s">
        <v>761</v>
      </c>
      <c r="G33" s="230"/>
      <c r="H33" s="212"/>
    </row>
    <row r="34" spans="2:11" s="206" customFormat="1" ht="11.25" customHeight="1">
      <c r="B34" s="208" t="s">
        <v>73</v>
      </c>
      <c r="C34" s="217" t="s">
        <v>667</v>
      </c>
      <c r="D34" s="216">
        <f>+'[4]EEFF '!$B$62+'[4]EEFF '!$B$63</f>
        <v>450792260</v>
      </c>
      <c r="E34" s="215">
        <v>452015256</v>
      </c>
      <c r="F34" s="218" t="s">
        <v>701</v>
      </c>
      <c r="G34" s="214">
        <f>+'[4]EEFF '!$B$127</f>
        <v>15644304</v>
      </c>
      <c r="H34" s="215">
        <v>14244884</v>
      </c>
    </row>
    <row r="35" spans="2:11" s="206" customFormat="1" ht="11.25" customHeight="1">
      <c r="B35" s="208" t="s">
        <v>74</v>
      </c>
      <c r="C35" s="217" t="s">
        <v>669</v>
      </c>
      <c r="D35" s="216">
        <f>+'[4]EEFF '!$B$61</f>
        <v>12854801</v>
      </c>
      <c r="E35" s="215">
        <v>6582803</v>
      </c>
      <c r="F35" s="218" t="s">
        <v>75</v>
      </c>
      <c r="G35" s="214">
        <v>0</v>
      </c>
      <c r="H35" s="215">
        <v>0</v>
      </c>
      <c r="I35" s="228"/>
    </row>
    <row r="36" spans="2:11" s="206" customFormat="1" ht="11.25" customHeight="1">
      <c r="B36" s="208" t="s">
        <v>76</v>
      </c>
      <c r="C36" s="217" t="s">
        <v>578</v>
      </c>
      <c r="D36" s="216">
        <v>0</v>
      </c>
      <c r="E36" s="215">
        <v>0</v>
      </c>
      <c r="F36" s="218" t="s">
        <v>77</v>
      </c>
      <c r="G36" s="214">
        <f>+'[4]EEFF '!$B$125+'[4]EEFF '!$B$126+'[4]EEFF '!$B$128</f>
        <v>13224433411</v>
      </c>
      <c r="H36" s="215">
        <v>0</v>
      </c>
    </row>
    <row r="37" spans="2:11" s="206" customFormat="1" ht="11.25" customHeight="1">
      <c r="B37" s="208"/>
      <c r="C37" s="217"/>
      <c r="D37" s="216"/>
      <c r="E37" s="215"/>
      <c r="F37" s="218"/>
      <c r="G37" s="214"/>
      <c r="H37" s="223"/>
      <c r="J37" s="609"/>
    </row>
    <row r="38" spans="2:11" s="206" customFormat="1" ht="11.25" customHeight="1">
      <c r="B38" s="208"/>
      <c r="C38" s="210"/>
      <c r="D38" s="221">
        <f>SUM(D34:D37)</f>
        <v>463647061</v>
      </c>
      <c r="E38" s="221">
        <v>458598059</v>
      </c>
      <c r="F38" s="218"/>
      <c r="G38" s="221">
        <f>SUM(G34:G37)</f>
        <v>13240077715</v>
      </c>
      <c r="H38" s="226">
        <v>14244884</v>
      </c>
      <c r="J38" s="227"/>
      <c r="K38" s="228"/>
    </row>
    <row r="39" spans="2:11" s="206" customFormat="1" ht="11.25" customHeight="1" thickBot="1">
      <c r="B39" s="208" t="s">
        <v>78</v>
      </c>
      <c r="C39" s="231" t="s">
        <v>79</v>
      </c>
      <c r="D39" s="232">
        <f>+D14+D22+D31+D38</f>
        <v>83264140165</v>
      </c>
      <c r="E39" s="232">
        <v>147056567255</v>
      </c>
      <c r="F39" s="233" t="s">
        <v>80</v>
      </c>
      <c r="G39" s="232">
        <f>+G16+G22+G31+G38</f>
        <v>82754751033</v>
      </c>
      <c r="H39" s="234">
        <v>139133798273</v>
      </c>
      <c r="J39" s="227"/>
      <c r="K39" s="609"/>
    </row>
    <row r="40" spans="2:11" s="206" customFormat="1" ht="11.25" customHeight="1" thickTop="1">
      <c r="B40" s="208"/>
      <c r="C40" s="217"/>
      <c r="D40" s="235"/>
      <c r="E40" s="215"/>
      <c r="F40" s="225"/>
      <c r="G40" s="214"/>
      <c r="H40" s="215"/>
    </row>
    <row r="41" spans="2:11" s="206" customFormat="1" ht="11.25" customHeight="1">
      <c r="B41" s="208" t="s">
        <v>81</v>
      </c>
      <c r="C41" s="210" t="s">
        <v>82</v>
      </c>
      <c r="D41" s="216"/>
      <c r="E41" s="215"/>
      <c r="F41" s="213" t="s">
        <v>83</v>
      </c>
      <c r="G41" s="214"/>
      <c r="H41" s="215"/>
    </row>
    <row r="42" spans="2:11" s="206" customFormat="1" ht="11.25" customHeight="1">
      <c r="B42" s="208" t="s">
        <v>84</v>
      </c>
      <c r="C42" s="412" t="s">
        <v>85</v>
      </c>
      <c r="D42" s="216"/>
      <c r="E42" s="215"/>
      <c r="F42" s="213" t="s">
        <v>617</v>
      </c>
      <c r="G42" s="214"/>
      <c r="H42" s="215"/>
    </row>
    <row r="43" spans="2:11" s="206" customFormat="1" ht="11.25" customHeight="1">
      <c r="B43" s="208"/>
      <c r="C43" s="217" t="s">
        <v>47</v>
      </c>
      <c r="D43" s="216">
        <f>+'[4]EEFF '!$B$66</f>
        <v>34117500000</v>
      </c>
      <c r="E43" s="215">
        <v>25108500000</v>
      </c>
      <c r="F43" s="218" t="s">
        <v>534</v>
      </c>
      <c r="G43" s="214">
        <v>0</v>
      </c>
      <c r="H43" s="215">
        <v>0</v>
      </c>
    </row>
    <row r="44" spans="2:11" s="206" customFormat="1" ht="11.25" customHeight="1">
      <c r="B44" s="208"/>
      <c r="C44" s="217" t="s">
        <v>88</v>
      </c>
      <c r="D44" s="216">
        <v>0</v>
      </c>
      <c r="E44" s="215"/>
      <c r="F44" s="218" t="s">
        <v>41</v>
      </c>
      <c r="G44" s="214">
        <v>0</v>
      </c>
      <c r="H44" s="215">
        <v>0</v>
      </c>
    </row>
    <row r="45" spans="2:11" s="206" customFormat="1" ht="11.25" customHeight="1">
      <c r="B45" s="208"/>
      <c r="C45" s="217" t="s">
        <v>89</v>
      </c>
      <c r="D45" s="216">
        <v>900000000</v>
      </c>
      <c r="E45" s="215">
        <v>900000000</v>
      </c>
      <c r="F45" s="218" t="s">
        <v>535</v>
      </c>
      <c r="G45" s="215">
        <v>0</v>
      </c>
      <c r="H45" s="219">
        <v>0</v>
      </c>
    </row>
    <row r="46" spans="2:11" s="206" customFormat="1" ht="11.25" customHeight="1">
      <c r="B46" s="208"/>
      <c r="C46" s="217" t="s">
        <v>90</v>
      </c>
      <c r="D46" s="216">
        <v>1000000000</v>
      </c>
      <c r="E46" s="215">
        <v>1000000000</v>
      </c>
      <c r="F46" s="218" t="s">
        <v>523</v>
      </c>
      <c r="G46" s="214">
        <v>0</v>
      </c>
      <c r="H46" s="215">
        <v>0</v>
      </c>
    </row>
    <row r="47" spans="2:11" s="206" customFormat="1" ht="11.25" customHeight="1">
      <c r="B47" s="237" t="s">
        <v>92</v>
      </c>
      <c r="C47" s="217" t="s">
        <v>93</v>
      </c>
      <c r="D47" s="216">
        <v>0</v>
      </c>
      <c r="E47" s="215">
        <v>0</v>
      </c>
      <c r="F47" s="218" t="s">
        <v>43</v>
      </c>
      <c r="G47" s="214">
        <v>0</v>
      </c>
      <c r="H47" s="215">
        <v>0</v>
      </c>
    </row>
    <row r="48" spans="2:11" s="206" customFormat="1" ht="11.25" customHeight="1">
      <c r="B48" s="208" t="s">
        <v>94</v>
      </c>
      <c r="C48" s="217" t="s">
        <v>760</v>
      </c>
      <c r="D48" s="216">
        <v>47451703</v>
      </c>
      <c r="E48" s="215">
        <v>47451703</v>
      </c>
      <c r="F48" s="218"/>
      <c r="G48" s="214"/>
      <c r="H48" s="215"/>
    </row>
    <row r="49" spans="2:8" s="206" customFormat="1" ht="11.25" customHeight="1">
      <c r="B49" s="208" t="s">
        <v>96</v>
      </c>
      <c r="C49" s="222" t="s">
        <v>61</v>
      </c>
      <c r="D49" s="216">
        <v>0</v>
      </c>
      <c r="E49" s="215">
        <v>0</v>
      </c>
      <c r="F49" s="213"/>
      <c r="G49" s="214"/>
      <c r="H49" s="215"/>
    </row>
    <row r="50" spans="2:8" s="206" customFormat="1" ht="11.25" customHeight="1">
      <c r="B50" s="208"/>
      <c r="C50" s="220"/>
      <c r="D50" s="221">
        <f>SUM(D43:D49)</f>
        <v>36064951703</v>
      </c>
      <c r="E50" s="221">
        <v>27055951703</v>
      </c>
      <c r="F50" s="213"/>
      <c r="G50" s="221">
        <f>SUM(G43:G49)</f>
        <v>0</v>
      </c>
      <c r="H50" s="221">
        <v>0</v>
      </c>
    </row>
    <row r="51" spans="2:8" s="206" customFormat="1" ht="11.25" customHeight="1">
      <c r="B51" s="208"/>
      <c r="C51" s="412" t="s">
        <v>53</v>
      </c>
      <c r="D51" s="216"/>
      <c r="E51" s="215"/>
      <c r="F51" s="213" t="s">
        <v>45</v>
      </c>
      <c r="G51" s="214"/>
      <c r="H51" s="215"/>
    </row>
    <row r="52" spans="2:8" s="206" customFormat="1" ht="11.25" customHeight="1">
      <c r="B52" s="208" t="s">
        <v>100</v>
      </c>
      <c r="C52" s="217" t="s">
        <v>55</v>
      </c>
      <c r="D52" s="216">
        <v>0</v>
      </c>
      <c r="E52" s="216">
        <v>0</v>
      </c>
      <c r="F52" s="218" t="s">
        <v>87</v>
      </c>
      <c r="G52" s="214">
        <v>0</v>
      </c>
      <c r="H52" s="215">
        <v>0</v>
      </c>
    </row>
    <row r="53" spans="2:8" s="206" customFormat="1" ht="11.25" customHeight="1">
      <c r="B53" s="208" t="s">
        <v>101</v>
      </c>
      <c r="C53" s="217" t="s">
        <v>59</v>
      </c>
      <c r="D53" s="216">
        <v>0</v>
      </c>
      <c r="E53" s="216">
        <v>0</v>
      </c>
      <c r="F53" s="218" t="s">
        <v>52</v>
      </c>
      <c r="G53" s="214">
        <v>0</v>
      </c>
      <c r="H53" s="215">
        <v>0</v>
      </c>
    </row>
    <row r="54" spans="2:8" s="206" customFormat="1" ht="11.25" customHeight="1">
      <c r="B54" s="208" t="s">
        <v>104</v>
      </c>
      <c r="C54" s="217" t="s">
        <v>102</v>
      </c>
      <c r="D54" s="216"/>
      <c r="E54" s="216"/>
      <c r="F54" s="236"/>
      <c r="G54" s="221">
        <v>0</v>
      </c>
      <c r="H54" s="224">
        <v>0</v>
      </c>
    </row>
    <row r="55" spans="2:8" s="206" customFormat="1" ht="11.25" customHeight="1">
      <c r="B55" s="208" t="s">
        <v>106</v>
      </c>
      <c r="C55" s="222" t="s">
        <v>61</v>
      </c>
      <c r="D55" s="216"/>
      <c r="E55" s="216"/>
      <c r="F55" s="213" t="s">
        <v>91</v>
      </c>
      <c r="G55" s="214"/>
      <c r="H55" s="215"/>
    </row>
    <row r="56" spans="2:8" s="206" customFormat="1" ht="11.25" customHeight="1">
      <c r="B56" s="208"/>
      <c r="C56" s="217" t="s">
        <v>63</v>
      </c>
      <c r="D56" s="216"/>
      <c r="E56" s="216"/>
      <c r="F56" s="218" t="s">
        <v>95</v>
      </c>
      <c r="G56" s="214">
        <v>0</v>
      </c>
      <c r="H56" s="215">
        <v>0</v>
      </c>
    </row>
    <row r="57" spans="2:8" s="206" customFormat="1" ht="11.25" customHeight="1">
      <c r="B57" s="208"/>
      <c r="C57" s="222" t="s">
        <v>66</v>
      </c>
      <c r="D57" s="216"/>
      <c r="E57" s="216"/>
      <c r="F57" s="218" t="s">
        <v>97</v>
      </c>
      <c r="G57" s="214">
        <v>0</v>
      </c>
      <c r="H57" s="215">
        <v>0</v>
      </c>
    </row>
    <row r="58" spans="2:8" s="206" customFormat="1" ht="11.25" customHeight="1">
      <c r="B58" s="208"/>
      <c r="C58" s="217" t="s">
        <v>68</v>
      </c>
      <c r="D58" s="216"/>
      <c r="E58" s="216"/>
      <c r="F58" s="218" t="s">
        <v>99</v>
      </c>
      <c r="G58" s="214"/>
      <c r="H58" s="215"/>
    </row>
    <row r="59" spans="2:8" s="206" customFormat="1" ht="11.25" customHeight="1">
      <c r="B59" s="208" t="s">
        <v>109</v>
      </c>
      <c r="C59" s="217"/>
      <c r="D59" s="216"/>
      <c r="E59" s="215"/>
      <c r="F59" s="225"/>
      <c r="G59" s="221">
        <v>0</v>
      </c>
      <c r="H59" s="224">
        <v>0</v>
      </c>
    </row>
    <row r="60" spans="2:8" s="206" customFormat="1" ht="11.25" customHeight="1" thickBot="1">
      <c r="B60" s="208"/>
      <c r="C60" s="220"/>
      <c r="D60" s="221">
        <f>SUM(D52:D59)</f>
        <v>0</v>
      </c>
      <c r="E60" s="221">
        <v>0</v>
      </c>
      <c r="F60" s="233" t="s">
        <v>103</v>
      </c>
      <c r="G60" s="221">
        <f>+G50+G54+G59</f>
        <v>0</v>
      </c>
      <c r="H60" s="232">
        <v>0</v>
      </c>
    </row>
    <row r="61" spans="2:8" s="206" customFormat="1" ht="11.25" customHeight="1" thickTop="1">
      <c r="B61" s="208"/>
      <c r="C61" s="412" t="s">
        <v>110</v>
      </c>
      <c r="D61" s="216"/>
      <c r="E61" s="215"/>
      <c r="F61" s="238" t="s">
        <v>105</v>
      </c>
      <c r="G61" s="239">
        <f>+G39+G60</f>
        <v>82754751033</v>
      </c>
      <c r="H61" s="239">
        <v>139133798273</v>
      </c>
    </row>
    <row r="62" spans="2:8" s="206" customFormat="1" ht="11.25" customHeight="1">
      <c r="B62" s="208"/>
      <c r="C62" s="217" t="s">
        <v>112</v>
      </c>
      <c r="D62" s="216">
        <f>+'[4]EEFF '!$B$77-D63</f>
        <v>13349751345</v>
      </c>
      <c r="E62" s="215">
        <v>13290773438</v>
      </c>
      <c r="F62" s="427" t="s">
        <v>107</v>
      </c>
      <c r="G62" s="214"/>
      <c r="H62" s="215"/>
    </row>
    <row r="63" spans="2:8" s="206" customFormat="1" ht="11.25" customHeight="1">
      <c r="B63" s="208"/>
      <c r="C63" s="217" t="s">
        <v>114</v>
      </c>
      <c r="D63" s="216">
        <f>+'[4]EEFF '!$B$85</f>
        <v>-957359047</v>
      </c>
      <c r="E63" s="215">
        <v>-957359047</v>
      </c>
      <c r="F63" s="213" t="s">
        <v>249</v>
      </c>
      <c r="G63" s="214"/>
      <c r="H63" s="215"/>
    </row>
    <row r="64" spans="2:8" s="206" customFormat="1" ht="11.25" customHeight="1">
      <c r="B64" s="208"/>
      <c r="C64" s="217"/>
      <c r="D64" s="221">
        <f>SUM(D62:D63)</f>
        <v>12392392298</v>
      </c>
      <c r="E64" s="221">
        <v>12333414391</v>
      </c>
      <c r="F64" s="218" t="s">
        <v>108</v>
      </c>
      <c r="G64" s="214">
        <f>+'[5]EEFF 31 03 2022'!$B$134</f>
        <v>42764000001</v>
      </c>
      <c r="H64" s="215">
        <v>27164000001</v>
      </c>
    </row>
    <row r="65" spans="2:11" s="206" customFormat="1" ht="11.25" customHeight="1">
      <c r="B65" s="208"/>
      <c r="C65" s="412" t="s">
        <v>117</v>
      </c>
      <c r="D65" s="216"/>
      <c r="E65" s="215"/>
      <c r="F65" s="218"/>
      <c r="G65" s="221">
        <f>SUM(G64)</f>
        <v>42764000001</v>
      </c>
      <c r="H65" s="221">
        <v>27164000001</v>
      </c>
    </row>
    <row r="66" spans="2:11" s="206" customFormat="1" ht="11.25" customHeight="1">
      <c r="B66" s="208"/>
      <c r="C66" s="217" t="s">
        <v>118</v>
      </c>
      <c r="D66" s="216">
        <f>+'[4]EEFF '!$B$90+'[4]EEFF '!$B$91</f>
        <v>180580005</v>
      </c>
      <c r="E66" s="215">
        <v>180580005</v>
      </c>
      <c r="F66" s="213" t="s">
        <v>250</v>
      </c>
      <c r="G66" s="214"/>
      <c r="H66" s="215"/>
    </row>
    <row r="67" spans="2:11" s="206" customFormat="1" ht="11.25" customHeight="1">
      <c r="B67" s="208"/>
      <c r="C67" s="217" t="s">
        <v>119</v>
      </c>
      <c r="D67" s="216">
        <f>+'[4]EEFF '!$B$87</f>
        <v>46295765</v>
      </c>
      <c r="E67" s="215">
        <v>22988235</v>
      </c>
      <c r="F67" s="218" t="s">
        <v>113</v>
      </c>
      <c r="G67" s="214">
        <v>1546573343</v>
      </c>
      <c r="H67" s="215">
        <v>1546573343</v>
      </c>
    </row>
    <row r="68" spans="2:11" s="206" customFormat="1" ht="11.25" customHeight="1">
      <c r="B68" s="208"/>
      <c r="C68" s="217" t="s">
        <v>120</v>
      </c>
      <c r="D68" s="216">
        <v>27866433</v>
      </c>
      <c r="E68" s="215">
        <v>27866433</v>
      </c>
      <c r="F68" s="218" t="s">
        <v>115</v>
      </c>
      <c r="G68" s="214">
        <v>0</v>
      </c>
      <c r="H68" s="216">
        <v>0</v>
      </c>
    </row>
    <row r="69" spans="2:11" s="206" customFormat="1" ht="11.25" customHeight="1">
      <c r="B69" s="208"/>
      <c r="C69" s="217" t="s">
        <v>121</v>
      </c>
      <c r="D69" s="216">
        <v>2752296184</v>
      </c>
      <c r="E69" s="215">
        <v>2752296184</v>
      </c>
      <c r="F69" s="218" t="s">
        <v>116</v>
      </c>
      <c r="G69" s="214">
        <v>49000000</v>
      </c>
      <c r="H69" s="215">
        <v>49000000</v>
      </c>
    </row>
    <row r="70" spans="2:11" s="206" customFormat="1" ht="11.25" customHeight="1">
      <c r="B70" s="208"/>
      <c r="C70" s="217" t="s">
        <v>620</v>
      </c>
      <c r="D70" s="216">
        <v>4448595000</v>
      </c>
      <c r="E70" s="215">
        <v>4448595000</v>
      </c>
      <c r="G70" s="221">
        <f>SUM(G67:G69)</f>
        <v>1595573343</v>
      </c>
      <c r="H70" s="221">
        <v>1595573343</v>
      </c>
    </row>
    <row r="71" spans="2:11" s="206" customFormat="1" ht="11.25" customHeight="1">
      <c r="B71" s="208"/>
      <c r="C71" s="217" t="s">
        <v>123</v>
      </c>
      <c r="D71" s="240">
        <v>-2634196428</v>
      </c>
      <c r="E71" s="223">
        <v>-2634196428</v>
      </c>
      <c r="F71" s="229" t="s">
        <v>762</v>
      </c>
      <c r="G71" s="214"/>
      <c r="H71" s="216"/>
    </row>
    <row r="72" spans="2:11" s="206" customFormat="1" ht="11.25" customHeight="1">
      <c r="B72" s="208" t="s">
        <v>125</v>
      </c>
      <c r="C72" s="220"/>
      <c r="D72" s="221">
        <f>SUM(D66:D71)</f>
        <v>4821436959</v>
      </c>
      <c r="E72" s="221">
        <v>4798129429</v>
      </c>
      <c r="F72" s="218" t="s">
        <v>763</v>
      </c>
      <c r="G72" s="214">
        <v>0</v>
      </c>
      <c r="H72" s="215">
        <v>0</v>
      </c>
      <c r="J72" s="227"/>
      <c r="K72" s="609"/>
    </row>
    <row r="73" spans="2:11" s="206" customFormat="1" ht="11.25" customHeight="1">
      <c r="B73" s="208" t="s">
        <v>127</v>
      </c>
      <c r="C73" s="210" t="s">
        <v>70</v>
      </c>
      <c r="D73" s="216"/>
      <c r="E73" s="215"/>
      <c r="F73" s="206" t="s">
        <v>764</v>
      </c>
      <c r="G73" s="214">
        <v>8933184</v>
      </c>
      <c r="H73" s="215">
        <v>8933184</v>
      </c>
    </row>
    <row r="74" spans="2:11" s="206" customFormat="1" ht="11.25" customHeight="1">
      <c r="B74" s="208"/>
      <c r="C74" s="412" t="s">
        <v>671</v>
      </c>
      <c r="D74" s="216"/>
      <c r="E74" s="215"/>
      <c r="F74" s="213"/>
      <c r="G74" s="221">
        <f>SUM(G72:G73)</f>
        <v>8933184</v>
      </c>
      <c r="H74" s="221">
        <v>8933184</v>
      </c>
    </row>
    <row r="75" spans="2:11" s="206" customFormat="1" ht="11.25" customHeight="1">
      <c r="B75" s="208" t="s">
        <v>129</v>
      </c>
      <c r="C75" s="217" t="s">
        <v>670</v>
      </c>
      <c r="D75" s="216">
        <v>0</v>
      </c>
      <c r="E75" s="215">
        <v>0</v>
      </c>
      <c r="F75" s="213" t="s">
        <v>619</v>
      </c>
      <c r="G75" s="230"/>
      <c r="H75" s="212"/>
    </row>
    <row r="76" spans="2:11" ht="11.25" customHeight="1">
      <c r="B76" s="246" t="s">
        <v>131</v>
      </c>
      <c r="C76" s="217" t="s">
        <v>130</v>
      </c>
      <c r="D76" s="216">
        <v>0</v>
      </c>
      <c r="E76" s="215">
        <v>0</v>
      </c>
      <c r="F76" s="225" t="s">
        <v>122</v>
      </c>
      <c r="G76" s="214">
        <f>+'[5]EEFF 31 03 2022'!$B$143</f>
        <v>241757977</v>
      </c>
      <c r="H76" s="215">
        <v>9411087</v>
      </c>
    </row>
    <row r="77" spans="2:11" ht="11.25" customHeight="1">
      <c r="B77" s="246" t="s">
        <v>133</v>
      </c>
      <c r="C77" s="217" t="s">
        <v>132</v>
      </c>
      <c r="D77" s="216">
        <v>0</v>
      </c>
      <c r="E77" s="215">
        <v>0</v>
      </c>
      <c r="F77" s="225" t="s">
        <v>124</v>
      </c>
      <c r="G77" s="241">
        <f>+'[4]EEFF '!$B$146</f>
        <v>9177905587.0499992</v>
      </c>
      <c r="H77" s="241">
        <v>23332346890.369999</v>
      </c>
    </row>
    <row r="78" spans="2:11" ht="11.25" customHeight="1">
      <c r="B78" s="246" t="s">
        <v>134</v>
      </c>
      <c r="C78" s="220"/>
      <c r="D78" s="247">
        <v>0</v>
      </c>
      <c r="E78" s="247">
        <v>0</v>
      </c>
      <c r="F78" s="225"/>
      <c r="G78" s="242">
        <f>SUM(G76:G77)</f>
        <v>9419663564.0499992</v>
      </c>
      <c r="H78" s="242">
        <v>23341757977.369999</v>
      </c>
    </row>
    <row r="79" spans="2:11" ht="11.25" customHeight="1">
      <c r="B79" s="246" t="s">
        <v>136</v>
      </c>
      <c r="C79" s="248" t="s">
        <v>135</v>
      </c>
      <c r="D79" s="245">
        <f>+D50+D60+D64+D72+D78</f>
        <v>53278780960</v>
      </c>
      <c r="E79" s="244">
        <v>44187495523</v>
      </c>
      <c r="F79" s="243" t="s">
        <v>126</v>
      </c>
      <c r="G79" s="244">
        <f>+G65+G70+G74+G78</f>
        <v>53788170092.050003</v>
      </c>
      <c r="H79" s="244">
        <v>52110264505.369995</v>
      </c>
    </row>
    <row r="80" spans="2:11" ht="11.25" customHeight="1">
      <c r="B80" s="246"/>
      <c r="C80" s="248" t="s">
        <v>137</v>
      </c>
      <c r="D80" s="245">
        <f>+D79+D39</f>
        <v>136542921125</v>
      </c>
      <c r="E80" s="245">
        <v>191244062778</v>
      </c>
      <c r="F80" s="243" t="s">
        <v>128</v>
      </c>
      <c r="G80" s="245">
        <f>+G79+G61</f>
        <v>136542921125.05</v>
      </c>
      <c r="H80" s="245">
        <v>191244062778.37</v>
      </c>
    </row>
    <row r="81" spans="2:8" ht="11.25" hidden="1" customHeight="1">
      <c r="B81" s="246" t="s">
        <v>138</v>
      </c>
      <c r="C81" s="735" t="s">
        <v>703</v>
      </c>
      <c r="D81" s="735"/>
      <c r="E81" s="735"/>
      <c r="F81" s="735"/>
      <c r="G81" s="735"/>
      <c r="H81" s="735"/>
    </row>
    <row r="82" spans="2:8" ht="11.25" customHeight="1">
      <c r="B82" s="246" t="s">
        <v>139</v>
      </c>
      <c r="D82" s="249"/>
      <c r="G82" s="249"/>
    </row>
    <row r="83" spans="2:8" ht="11.25" customHeight="1">
      <c r="B83" s="246" t="s">
        <v>140</v>
      </c>
      <c r="D83" s="250"/>
      <c r="G83" s="250"/>
    </row>
    <row r="84" spans="2:8" ht="11.25" customHeight="1">
      <c r="B84" s="246"/>
      <c r="D84" s="250"/>
      <c r="G84" s="250"/>
    </row>
    <row r="85" spans="2:8" ht="11.25" customHeight="1">
      <c r="B85" s="246" t="s">
        <v>141</v>
      </c>
    </row>
    <row r="86" spans="2:8" ht="11.25" customHeight="1">
      <c r="B86" s="246"/>
    </row>
    <row r="87" spans="2:8" ht="11.25" customHeight="1">
      <c r="B87" s="246"/>
      <c r="F87" s="25"/>
      <c r="G87" s="25"/>
      <c r="H87" s="25"/>
    </row>
    <row r="88" spans="2:8" ht="11.25" customHeight="1">
      <c r="B88" s="246"/>
    </row>
    <row r="89" spans="2:8" ht="11.25" customHeight="1">
      <c r="B89" s="246"/>
    </row>
    <row r="90" spans="2:8" ht="11.25" customHeight="1">
      <c r="B90" s="251">
        <v>2</v>
      </c>
    </row>
    <row r="91" spans="2:8" ht="11.25" customHeight="1">
      <c r="B91" s="252" t="s">
        <v>142</v>
      </c>
    </row>
    <row r="92" spans="2:8" ht="11.25" customHeight="1">
      <c r="B92" s="246" t="s">
        <v>143</v>
      </c>
      <c r="C92" s="253"/>
      <c r="D92" s="254"/>
      <c r="E92" s="254"/>
    </row>
    <row r="93" spans="2:8" ht="11.25" customHeight="1">
      <c r="B93" s="246" t="s">
        <v>144</v>
      </c>
    </row>
    <row r="94" spans="2:8" ht="11.25" customHeight="1">
      <c r="B94" s="246" t="s">
        <v>145</v>
      </c>
    </row>
    <row r="95" spans="2:8" ht="11.25" customHeight="1">
      <c r="B95" s="246"/>
    </row>
    <row r="96" spans="2:8" ht="11.25" customHeight="1">
      <c r="B96" s="246" t="s">
        <v>146</v>
      </c>
    </row>
    <row r="97" spans="2:7" ht="11.25" customHeight="1">
      <c r="B97" s="246" t="s">
        <v>147</v>
      </c>
    </row>
    <row r="98" spans="2:7" ht="11.25" customHeight="1">
      <c r="B98" s="246" t="s">
        <v>148</v>
      </c>
      <c r="G98" s="255"/>
    </row>
    <row r="99" spans="2:7" ht="11.25" customHeight="1">
      <c r="B99" s="246" t="s">
        <v>149</v>
      </c>
    </row>
    <row r="100" spans="2:7" ht="11.25" customHeight="1">
      <c r="B100" s="246"/>
    </row>
    <row r="101" spans="2:7" ht="11.25" customHeight="1">
      <c r="B101" s="246" t="s">
        <v>150</v>
      </c>
    </row>
    <row r="102" spans="2:7" ht="11.25" customHeight="1">
      <c r="B102" s="246" t="s">
        <v>151</v>
      </c>
    </row>
    <row r="103" spans="2:7" ht="11.25" customHeight="1">
      <c r="B103" s="246" t="s">
        <v>152</v>
      </c>
    </row>
    <row r="104" spans="2:7" ht="11.25" customHeight="1">
      <c r="B104" s="246" t="s">
        <v>153</v>
      </c>
    </row>
    <row r="105" spans="2:7" ht="11.25" customHeight="1">
      <c r="B105" s="246"/>
    </row>
    <row r="106" spans="2:7" ht="11.25" customHeight="1">
      <c r="B106" s="246" t="s">
        <v>154</v>
      </c>
    </row>
    <row r="107" spans="2:7" ht="11.25" customHeight="1">
      <c r="B107" s="246" t="s">
        <v>155</v>
      </c>
    </row>
    <row r="108" spans="2:7" ht="11.25" customHeight="1">
      <c r="B108" s="246"/>
    </row>
    <row r="109" spans="2:7" ht="11.25" customHeight="1">
      <c r="B109" s="246"/>
    </row>
    <row r="110" spans="2:7" ht="11.25" customHeight="1">
      <c r="B110" s="246"/>
    </row>
    <row r="111" spans="2:7" ht="11.25" customHeight="1">
      <c r="B111" s="246" t="s">
        <v>156</v>
      </c>
    </row>
    <row r="112" spans="2:7" ht="11.25" customHeight="1">
      <c r="B112" s="246"/>
    </row>
    <row r="113" spans="2:2" ht="11.25" customHeight="1">
      <c r="B113" s="246" t="s">
        <v>157</v>
      </c>
    </row>
    <row r="114" spans="2:2" ht="11.25" customHeight="1">
      <c r="B114" s="246" t="s">
        <v>158</v>
      </c>
    </row>
    <row r="115" spans="2:2" ht="11.25" customHeight="1">
      <c r="B115" s="246" t="s">
        <v>159</v>
      </c>
    </row>
    <row r="116" spans="2:2" ht="11.25" customHeight="1">
      <c r="B116" s="246"/>
    </row>
    <row r="117" spans="2:2" ht="11.25" customHeight="1">
      <c r="B117" s="246" t="s">
        <v>160</v>
      </c>
    </row>
    <row r="118" spans="2:2" ht="11.25" customHeight="1">
      <c r="B118" s="246" t="s">
        <v>161</v>
      </c>
    </row>
    <row r="119" spans="2:2" ht="11.25" customHeight="1">
      <c r="B119" s="246" t="s">
        <v>162</v>
      </c>
    </row>
    <row r="120" spans="2:2" ht="11.25" customHeight="1">
      <c r="B120" s="246"/>
    </row>
    <row r="121" spans="2:2" ht="11.25" customHeight="1">
      <c r="B121" s="246"/>
    </row>
    <row r="122" spans="2:2" ht="11.25" customHeight="1">
      <c r="B122" s="246"/>
    </row>
    <row r="123" spans="2:2" ht="11.25" customHeight="1">
      <c r="B123" s="246"/>
    </row>
    <row r="124" spans="2:2" ht="11.25" customHeight="1">
      <c r="B124" s="246"/>
    </row>
    <row r="125" spans="2:2" ht="11.25" customHeight="1">
      <c r="B125" s="246" t="s">
        <v>163</v>
      </c>
    </row>
    <row r="126" spans="2:2" ht="11.25" customHeight="1">
      <c r="B126" s="246" t="s">
        <v>164</v>
      </c>
    </row>
    <row r="127" spans="2:2" ht="11.25" customHeight="1">
      <c r="B127" s="246" t="s">
        <v>165</v>
      </c>
    </row>
    <row r="128" spans="2:2" ht="11.25" customHeight="1">
      <c r="B128" s="246" t="s">
        <v>166</v>
      </c>
    </row>
    <row r="129" spans="2:2" ht="11.25" customHeight="1">
      <c r="B129" s="246"/>
    </row>
    <row r="130" spans="2:2" ht="11.25" customHeight="1">
      <c r="B130" s="246" t="s">
        <v>167</v>
      </c>
    </row>
    <row r="131" spans="2:2" ht="11.25" customHeight="1">
      <c r="B131" s="246" t="s">
        <v>168</v>
      </c>
    </row>
    <row r="132" spans="2:2" ht="11.25" customHeight="1">
      <c r="B132" s="246" t="s">
        <v>169</v>
      </c>
    </row>
    <row r="133" spans="2:2" ht="11.25" customHeight="1">
      <c r="B133" s="246" t="s">
        <v>170</v>
      </c>
    </row>
    <row r="134" spans="2:2" ht="11.25" customHeight="1">
      <c r="B134" s="246" t="s">
        <v>171</v>
      </c>
    </row>
    <row r="135" spans="2:2" ht="11.25" customHeight="1">
      <c r="B135" s="246"/>
    </row>
    <row r="136" spans="2:2" ht="11.25" customHeight="1">
      <c r="B136" s="246" t="s">
        <v>172</v>
      </c>
    </row>
    <row r="137" spans="2:2" ht="11.25" customHeight="1">
      <c r="B137" s="246" t="s">
        <v>173</v>
      </c>
    </row>
    <row r="138" spans="2:2" ht="11.25" customHeight="1">
      <c r="B138" s="246" t="s">
        <v>174</v>
      </c>
    </row>
    <row r="139" spans="2:2" ht="11.25" customHeight="1">
      <c r="B139" s="246"/>
    </row>
    <row r="140" spans="2:2" ht="11.25" customHeight="1">
      <c r="B140" s="246"/>
    </row>
    <row r="141" spans="2:2" ht="11.25" customHeight="1">
      <c r="B141" s="246"/>
    </row>
    <row r="144" spans="2:2" ht="11.25" customHeight="1"/>
    <row r="145" spans="4:5" ht="11.25" customHeight="1">
      <c r="D145" s="256"/>
      <c r="E145" s="256"/>
    </row>
    <row r="146" spans="4:5">
      <c r="D146" s="257">
        <v>0</v>
      </c>
      <c r="E146" s="256">
        <v>0</v>
      </c>
    </row>
    <row r="148" spans="4:5" ht="11.25" customHeight="1"/>
    <row r="149" spans="4:5">
      <c r="D149" s="258"/>
    </row>
  </sheetData>
  <mergeCells count="5">
    <mergeCell ref="C4:H4"/>
    <mergeCell ref="C5:H5"/>
    <mergeCell ref="C6:H6"/>
    <mergeCell ref="C7:H7"/>
    <mergeCell ref="C81:H81"/>
  </mergeCells>
  <hyperlinks>
    <hyperlink ref="C10" location="'NOTA D - DISPONIBILIDADES'!A1" display="DISPONIBILIDADES Nota 5 d" xr:uid="{00000000-0004-0000-0200-000000000000}"/>
    <hyperlink ref="C9" location="'NOTA 5 A-C CRITERIOS ESPECIF.'!A1" display="ACTIVO CORRIENTE Nota 5 a" xr:uid="{00000000-0004-0000-0200-000001000000}"/>
    <hyperlink ref="C17" location="'NOTA E - INVERSIONES'!A1" display="INVERSIONES TEMPORARIAS  NOTA 5 E" xr:uid="{00000000-0004-0000-0200-000002000000}"/>
    <hyperlink ref="C23" location="'NOTA F - CREDITOS'!A1" display="CREDITOS Nota 5 f" xr:uid="{00000000-0004-0000-0200-000003000000}"/>
    <hyperlink ref="C33" location="'NOTA H CARGOS DIFERIDOS'!A1" display="GASTOS NO DEVENGADOS - Nota 5 h" xr:uid="{00000000-0004-0000-0200-000004000000}"/>
    <hyperlink ref="C42" location="'NOTA E - INVERSIONES'!A1" display="INVERSIONES PERMANENTES Nota 5 e" xr:uid="{00000000-0004-0000-0200-000005000000}"/>
    <hyperlink ref="C51" location="'NOTA F - CREDITOS'!A1" display="CREDITOS Nota 5 f" xr:uid="{00000000-0004-0000-0200-000006000000}"/>
    <hyperlink ref="C61" location="'NOTA G BIENES DE USO'!A1" display="BIENES DE USO Nota 5 g" xr:uid="{00000000-0004-0000-0200-000007000000}"/>
    <hyperlink ref="C65" location="' NOTA I INTANGIBLES'!A1" display="ACTIVOS INTANGIBLES  Nota 5 i" xr:uid="{00000000-0004-0000-0200-000008000000}"/>
    <hyperlink ref="C74" location="'NOTA J OTROS ACTIVOS CTES y NO '!A1" display="GASTOS NO DEVENGADOS  - Nota 5 j" xr:uid="{00000000-0004-0000-0200-000009000000}"/>
    <hyperlink ref="F11" location="'NOTAS M-Q ACREED y CTAS A PAG'!A1" display="Acreedores por Intermediación. Nota 5 m" xr:uid="{00000000-0004-0000-0200-00000A000000}"/>
    <hyperlink ref="F12" location="'NOTA L DOCUM y CTAS A PAG'!A1" display="Acreedores Varios  - Nota 5 l" xr:uid="{00000000-0004-0000-0200-00000B000000}"/>
    <hyperlink ref="F13" location="'NOTAS M-Q ACREED y CTAS A PAG'!A1" display="Cuentas por Pagar a Personas y Emp. Relacionadas. Nota o" xr:uid="{00000000-0004-0000-0200-00000C000000}"/>
    <hyperlink ref="F17" location="'NOTA K PRESTAMOS'!A1" display="PRESTAMOS FINANCIEROS - Nota 5 k" xr:uid="{00000000-0004-0000-0200-00000D000000}"/>
    <hyperlink ref="F23" location="'NOTAS M-Q ACREED y CTAS A PAG'!A1" display="PROVISIONES. Nota q" xr:uid="{00000000-0004-0000-0200-00000E000000}"/>
    <hyperlink ref="F62" location="' NOTA T PATRIMONIO Y PREVIS'!A1" display="PATRIMONIO NETO  Nota 5 t" xr:uid="{00000000-0004-0000-0200-00000F000000}"/>
    <hyperlink ref="F32" location="'NOTAS M-Q ACREED y CTAS A PAG'!A1" display="OTROS PASIVOS - Nota q" xr:uid="{00000000-0004-0000-0200-000010000000}"/>
  </hyperlink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2060"/>
    <pageSetUpPr fitToPage="1"/>
  </sheetPr>
  <dimension ref="B3:J113"/>
  <sheetViews>
    <sheetView showGridLines="0" zoomScale="94" zoomScaleNormal="94" workbookViewId="0">
      <selection activeCell="E92" sqref="E92"/>
    </sheetView>
  </sheetViews>
  <sheetFormatPr baseColWidth="10" defaultColWidth="11.44140625" defaultRowHeight="12"/>
  <cols>
    <col min="1" max="1" width="5.6640625" style="204" customWidth="1"/>
    <col min="2" max="2" width="50.6640625" style="204" customWidth="1"/>
    <col min="3" max="3" width="0.33203125" style="204" hidden="1" customWidth="1"/>
    <col min="4" max="5" width="25.6640625" style="204" customWidth="1"/>
    <col min="6" max="6" width="14.33203125" style="204" hidden="1" customWidth="1"/>
    <col min="7" max="7" width="16.33203125" style="256" hidden="1" customWidth="1"/>
    <col min="8" max="8" width="15.33203125" style="204" hidden="1" customWidth="1"/>
    <col min="9" max="9" width="16.6640625" style="204" bestFit="1" customWidth="1"/>
    <col min="10" max="10" width="13.5546875" style="204" bestFit="1" customWidth="1"/>
    <col min="11" max="16384" width="11.44140625" style="204"/>
  </cols>
  <sheetData>
    <row r="3" spans="2:8" ht="15" customHeight="1">
      <c r="B3" s="699"/>
      <c r="C3" s="699"/>
      <c r="D3" s="699"/>
      <c r="E3" s="699"/>
    </row>
    <row r="4" spans="2:8" ht="15" customHeight="1">
      <c r="B4" s="699"/>
      <c r="C4" s="699"/>
      <c r="D4" s="699"/>
      <c r="E4" s="699"/>
    </row>
    <row r="5" spans="2:8" ht="9.75" customHeight="1">
      <c r="B5" s="699" t="s">
        <v>0</v>
      </c>
      <c r="C5" s="699"/>
      <c r="D5" s="699"/>
      <c r="E5" s="699"/>
    </row>
    <row r="6" spans="2:8">
      <c r="B6" s="699" t="s">
        <v>175</v>
      </c>
      <c r="C6" s="699"/>
      <c r="D6" s="699"/>
      <c r="E6" s="699"/>
    </row>
    <row r="7" spans="2:8" ht="26.25" customHeight="1">
      <c r="B7" s="733" t="s">
        <v>1013</v>
      </c>
      <c r="C7" s="733"/>
      <c r="D7" s="733"/>
      <c r="E7" s="733"/>
    </row>
    <row r="8" spans="2:8">
      <c r="B8" s="734" t="s">
        <v>176</v>
      </c>
      <c r="C8" s="734"/>
      <c r="D8" s="734"/>
      <c r="E8" s="734"/>
    </row>
    <row r="9" spans="2:8" ht="12.6" thickBot="1">
      <c r="B9" s="737"/>
      <c r="C9" s="737"/>
      <c r="D9" s="737"/>
      <c r="E9" s="737"/>
    </row>
    <row r="10" spans="2:8" ht="12.6" thickBot="1">
      <c r="B10" s="302"/>
      <c r="C10" s="303"/>
      <c r="D10" s="304">
        <f>+Indice!G7</f>
        <v>44742</v>
      </c>
      <c r="E10" s="304">
        <f>+Indice!H7</f>
        <v>44377</v>
      </c>
    </row>
    <row r="11" spans="2:8" ht="14.4">
      <c r="B11" s="431" t="s">
        <v>691</v>
      </c>
      <c r="C11" s="376"/>
      <c r="D11" s="377"/>
      <c r="E11" s="378"/>
      <c r="G11" s="256">
        <f>+D12+D26+D28+D29+D30+D34+D27</f>
        <v>16477931719</v>
      </c>
      <c r="H11" s="256">
        <f>+E12+E26+E28+E29+E30+E34+E27</f>
        <v>11146433922</v>
      </c>
    </row>
    <row r="12" spans="2:8" ht="9.75" customHeight="1">
      <c r="B12" s="305" t="s">
        <v>177</v>
      </c>
      <c r="C12" s="306"/>
      <c r="D12" s="309">
        <f>SUM(D13:D14)</f>
        <v>509488707</v>
      </c>
      <c r="E12" s="310">
        <v>350951513</v>
      </c>
      <c r="G12" s="262">
        <v>274569801710</v>
      </c>
    </row>
    <row r="13" spans="2:8" ht="9.75" customHeight="1">
      <c r="B13" s="311" t="s">
        <v>178</v>
      </c>
      <c r="C13" s="306"/>
      <c r="D13" s="312">
        <v>0</v>
      </c>
      <c r="E13" s="313">
        <v>0</v>
      </c>
    </row>
    <row r="14" spans="2:8" ht="9.75" customHeight="1">
      <c r="B14" s="311" t="s">
        <v>179</v>
      </c>
      <c r="C14" s="306"/>
      <c r="D14" s="312">
        <f>+'[4]EERR '!$B$7</f>
        <v>509488707</v>
      </c>
      <c r="E14" s="313">
        <v>350951513</v>
      </c>
      <c r="G14" s="256">
        <f>+G12-G11</f>
        <v>258091869991</v>
      </c>
    </row>
    <row r="15" spans="2:8" ht="9.75" customHeight="1">
      <c r="B15" s="311"/>
      <c r="C15" s="306"/>
      <c r="D15" s="312"/>
      <c r="E15" s="313"/>
      <c r="G15" s="256">
        <f>+'[4]EERR '!$B$13+'[4]EERR '!$B$21-'[4]EERR '!$B$25+'[4]EERR '!$B$42+'[4]EERR '!$B$43+'[4]EERR '!$B$44</f>
        <v>250840166667</v>
      </c>
    </row>
    <row r="16" spans="2:8" ht="9.75" customHeight="1">
      <c r="B16" s="305" t="s">
        <v>180</v>
      </c>
      <c r="C16" s="306"/>
      <c r="D16" s="312"/>
      <c r="E16" s="313"/>
      <c r="G16" s="256">
        <f>+G14-G15</f>
        <v>7251703324</v>
      </c>
    </row>
    <row r="17" spans="2:8" ht="9.75" customHeight="1">
      <c r="B17" s="311" t="s">
        <v>181</v>
      </c>
      <c r="C17" s="306"/>
      <c r="D17" s="312">
        <v>0</v>
      </c>
      <c r="E17" s="313">
        <v>0</v>
      </c>
    </row>
    <row r="18" spans="2:8" ht="9.75" customHeight="1">
      <c r="B18" s="311" t="s">
        <v>182</v>
      </c>
      <c r="C18" s="306"/>
      <c r="D18" s="312">
        <v>0</v>
      </c>
      <c r="E18" s="313">
        <v>0</v>
      </c>
    </row>
    <row r="19" spans="2:8" ht="9.75" customHeight="1">
      <c r="B19" s="311"/>
      <c r="C19" s="306"/>
      <c r="D19" s="312"/>
      <c r="E19" s="313"/>
    </row>
    <row r="20" spans="2:8" ht="9.75" customHeight="1">
      <c r="B20" s="305" t="s">
        <v>183</v>
      </c>
      <c r="C20" s="306"/>
      <c r="D20" s="312"/>
      <c r="E20" s="313"/>
    </row>
    <row r="21" spans="2:8" ht="9.75" customHeight="1">
      <c r="B21" s="311" t="s">
        <v>184</v>
      </c>
      <c r="C21" s="306"/>
      <c r="D21" s="312">
        <v>0</v>
      </c>
      <c r="E21" s="313">
        <v>0</v>
      </c>
    </row>
    <row r="22" spans="2:8" ht="9.75" customHeight="1">
      <c r="B22" s="311" t="s">
        <v>185</v>
      </c>
      <c r="C22" s="306"/>
      <c r="D22" s="312">
        <v>0</v>
      </c>
      <c r="E22" s="313">
        <v>0</v>
      </c>
    </row>
    <row r="23" spans="2:8" ht="9.75" customHeight="1">
      <c r="B23" s="311"/>
      <c r="C23" s="306"/>
      <c r="D23" s="312"/>
      <c r="E23" s="313"/>
    </row>
    <row r="24" spans="2:8" ht="9.75" customHeight="1">
      <c r="B24" s="305" t="s">
        <v>525</v>
      </c>
      <c r="C24" s="306"/>
      <c r="D24" s="312">
        <v>0</v>
      </c>
      <c r="E24" s="313">
        <v>0</v>
      </c>
    </row>
    <row r="25" spans="2:8" ht="9.75" customHeight="1">
      <c r="B25" s="305" t="s">
        <v>526</v>
      </c>
      <c r="C25" s="306"/>
      <c r="D25" s="309">
        <v>0</v>
      </c>
      <c r="E25" s="313">
        <v>0</v>
      </c>
    </row>
    <row r="26" spans="2:8" ht="9.75" customHeight="1">
      <c r="B26" s="305" t="s">
        <v>186</v>
      </c>
      <c r="C26" s="306"/>
      <c r="D26" s="309">
        <f>+'[4]EERR '!$B$12</f>
        <v>424418628</v>
      </c>
      <c r="E26" s="310">
        <v>4436327057</v>
      </c>
    </row>
    <row r="27" spans="2:8" ht="9.75" customHeight="1">
      <c r="B27" s="305" t="s">
        <v>187</v>
      </c>
      <c r="C27" s="306"/>
      <c r="D27" s="309">
        <f>+'[4]EERR '!$B$25</f>
        <v>4014111834</v>
      </c>
      <c r="E27" s="310">
        <v>1637878104</v>
      </c>
    </row>
    <row r="28" spans="2:8" ht="9.75" customHeight="1">
      <c r="B28" s="305" t="s">
        <v>188</v>
      </c>
      <c r="C28" s="306"/>
      <c r="D28" s="309">
        <f>+'[4]EERR '!$B$15-'[4]EERR '!$B$42-'[4]EERR '!$B$43-'[4]EERR '!$B$44+7221000000</f>
        <v>10987532132</v>
      </c>
      <c r="E28" s="310">
        <v>3982429269</v>
      </c>
      <c r="F28" s="255"/>
      <c r="H28" s="255"/>
    </row>
    <row r="29" spans="2:8" ht="9.75" customHeight="1">
      <c r="B29" s="305" t="s">
        <v>189</v>
      </c>
      <c r="C29" s="306"/>
      <c r="D29" s="309">
        <v>0</v>
      </c>
      <c r="E29" s="313">
        <v>198595000</v>
      </c>
    </row>
    <row r="30" spans="2:8" ht="9.75" customHeight="1">
      <c r="B30" s="305" t="s">
        <v>190</v>
      </c>
      <c r="C30" s="306"/>
      <c r="D30" s="309">
        <v>0</v>
      </c>
      <c r="E30" s="313">
        <v>0</v>
      </c>
    </row>
    <row r="31" spans="2:8" ht="9.75" customHeight="1">
      <c r="B31" s="311"/>
      <c r="C31" s="307"/>
      <c r="D31" s="312"/>
      <c r="E31" s="313"/>
      <c r="F31" s="256"/>
    </row>
    <row r="32" spans="2:8" ht="9.75" customHeight="1">
      <c r="B32" s="305" t="s">
        <v>499</v>
      </c>
      <c r="C32" s="306"/>
      <c r="D32" s="312">
        <v>0</v>
      </c>
      <c r="E32" s="313">
        <v>0</v>
      </c>
      <c r="H32" s="256"/>
    </row>
    <row r="33" spans="2:10" ht="9.75" customHeight="1">
      <c r="B33" s="305"/>
      <c r="C33" s="306"/>
      <c r="D33" s="307"/>
      <c r="E33" s="313"/>
      <c r="H33" s="256"/>
    </row>
    <row r="34" spans="2:10" ht="9.75" customHeight="1">
      <c r="B34" s="305" t="s">
        <v>191</v>
      </c>
      <c r="C34" s="306"/>
      <c r="D34" s="309">
        <f>SUM(D35:D37)</f>
        <v>542380418</v>
      </c>
      <c r="E34" s="310">
        <v>540252979</v>
      </c>
    </row>
    <row r="35" spans="2:10" ht="9.75" customHeight="1">
      <c r="B35" s="311" t="s">
        <v>192</v>
      </c>
      <c r="C35" s="306"/>
      <c r="D35" s="309">
        <v>0</v>
      </c>
      <c r="E35" s="310">
        <v>0</v>
      </c>
    </row>
    <row r="36" spans="2:10" ht="9.75" customHeight="1">
      <c r="B36" s="314" t="s">
        <v>621</v>
      </c>
      <c r="C36" s="319"/>
      <c r="D36" s="312">
        <v>0</v>
      </c>
      <c r="E36" s="313">
        <v>0</v>
      </c>
    </row>
    <row r="37" spans="2:10" ht="9.75" customHeight="1">
      <c r="B37" s="314" t="s">
        <v>191</v>
      </c>
      <c r="C37" s="319"/>
      <c r="D37" s="312">
        <f>+'[4]EERR '!$B$29</f>
        <v>542380418</v>
      </c>
      <c r="E37" s="313">
        <v>540252979</v>
      </c>
      <c r="H37" s="249"/>
      <c r="I37" s="255"/>
      <c r="J37" s="249"/>
    </row>
    <row r="38" spans="2:10" ht="15.9" customHeight="1">
      <c r="B38" s="311"/>
      <c r="C38" s="319"/>
      <c r="D38" s="312"/>
      <c r="E38" s="313"/>
      <c r="H38" s="249"/>
      <c r="I38" s="255"/>
    </row>
    <row r="39" spans="2:10" ht="9.75" customHeight="1">
      <c r="B39" s="435" t="s">
        <v>693</v>
      </c>
      <c r="C39" s="319"/>
      <c r="D39" s="309">
        <f>SUM(D40:D42)</f>
        <v>5649170243</v>
      </c>
      <c r="E39" s="310">
        <v>272062480</v>
      </c>
      <c r="H39" s="320"/>
      <c r="I39" s="255"/>
    </row>
    <row r="40" spans="2:10" ht="9.75" customHeight="1">
      <c r="B40" s="311" t="s">
        <v>193</v>
      </c>
      <c r="C40" s="319"/>
      <c r="D40" s="312">
        <v>0</v>
      </c>
      <c r="E40" s="313">
        <v>45908000</v>
      </c>
    </row>
    <row r="41" spans="2:10" ht="9.75" customHeight="1">
      <c r="B41" s="311" t="s">
        <v>194</v>
      </c>
      <c r="C41" s="319"/>
      <c r="D41" s="312">
        <f>+'[4]EERR '!$B$39+'[4]EERR '!$B$40+'[4]EERR '!$B$41+'[4]EERR '!$B$45+'[4]EERR '!$B$47</f>
        <v>575211622</v>
      </c>
      <c r="E41" s="313">
        <v>218123864</v>
      </c>
    </row>
    <row r="42" spans="2:10" ht="9.75" customHeight="1">
      <c r="B42" s="311" t="s">
        <v>579</v>
      </c>
      <c r="C42" s="319"/>
      <c r="D42" s="312">
        <f>+'[4]EERR '!$B$48</f>
        <v>5073958621</v>
      </c>
      <c r="E42" s="432">
        <v>8030616</v>
      </c>
      <c r="H42" s="250"/>
    </row>
    <row r="43" spans="2:10" ht="9.75" customHeight="1" thickBot="1">
      <c r="B43" s="661" t="s">
        <v>195</v>
      </c>
      <c r="C43" s="662"/>
      <c r="D43" s="663">
        <f>+D12+D26+D27+D34-D39+D28+D29+D30</f>
        <v>10828761476</v>
      </c>
      <c r="E43" s="663">
        <f>+E12+E26+E27+E34-E39+E28+E29+E30</f>
        <v>10874371442</v>
      </c>
    </row>
    <row r="44" spans="2:10" ht="9.75" customHeight="1">
      <c r="B44" s="665"/>
      <c r="C44" s="666"/>
      <c r="D44" s="667"/>
      <c r="E44" s="378"/>
      <c r="F44" s="258"/>
      <c r="H44" s="255"/>
      <c r="I44" s="262"/>
    </row>
    <row r="45" spans="2:10" ht="9.75" customHeight="1">
      <c r="B45" s="434" t="s">
        <v>692</v>
      </c>
      <c r="C45" s="306"/>
      <c r="D45" s="309">
        <f>SUM(D46:D48)</f>
        <v>158656636</v>
      </c>
      <c r="E45" s="341">
        <f>SUM(E46:E48)</f>
        <v>369177777</v>
      </c>
      <c r="F45" s="258"/>
    </row>
    <row r="46" spans="2:10" ht="9.75" customHeight="1">
      <c r="B46" s="314" t="s">
        <v>790</v>
      </c>
      <c r="C46" s="306"/>
      <c r="D46" s="312">
        <v>0</v>
      </c>
      <c r="E46" s="308">
        <f>79713471</f>
        <v>79713471</v>
      </c>
      <c r="F46" s="258"/>
    </row>
    <row r="47" spans="2:10" ht="9.75" customHeight="1">
      <c r="B47" s="314" t="s">
        <v>791</v>
      </c>
      <c r="C47" s="306"/>
      <c r="D47" s="312">
        <v>0</v>
      </c>
      <c r="E47" s="308">
        <v>0</v>
      </c>
      <c r="F47" s="580"/>
    </row>
    <row r="48" spans="2:10" ht="9.75" customHeight="1">
      <c r="B48" s="314" t="s">
        <v>792</v>
      </c>
      <c r="C48" s="306"/>
      <c r="D48" s="312">
        <f>+'[4]EERR '!$B$53+2</f>
        <v>158656636</v>
      </c>
      <c r="E48" s="308">
        <v>289464306</v>
      </c>
      <c r="F48" s="258"/>
    </row>
    <row r="49" spans="2:7" ht="9.75" customHeight="1">
      <c r="B49" s="314"/>
      <c r="C49" s="319"/>
      <c r="D49" s="312"/>
      <c r="E49" s="308"/>
      <c r="F49" s="258"/>
    </row>
    <row r="50" spans="2:7" ht="13.95" customHeight="1">
      <c r="B50" s="434" t="s">
        <v>970</v>
      </c>
      <c r="C50" s="319" t="s">
        <v>970</v>
      </c>
      <c r="D50" s="309">
        <v>4964571597</v>
      </c>
      <c r="E50" s="341">
        <v>3038961465</v>
      </c>
      <c r="F50" s="258"/>
    </row>
    <row r="51" spans="2:7" s="450" customFormat="1" ht="9.6" customHeight="1">
      <c r="B51" s="317" t="s">
        <v>765</v>
      </c>
      <c r="C51" s="306" t="s">
        <v>765</v>
      </c>
      <c r="D51" s="309">
        <v>1590964629</v>
      </c>
      <c r="E51" s="341">
        <v>1288088184</v>
      </c>
      <c r="F51" s="263"/>
      <c r="G51" s="449"/>
    </row>
    <row r="52" spans="2:7" s="582" customFormat="1" ht="9.75" customHeight="1">
      <c r="B52" s="314" t="s">
        <v>766</v>
      </c>
      <c r="C52" s="319" t="s">
        <v>766</v>
      </c>
      <c r="D52" s="312">
        <v>1277740046</v>
      </c>
      <c r="E52" s="308">
        <v>1062922140</v>
      </c>
      <c r="F52" s="580"/>
      <c r="G52" s="581"/>
    </row>
    <row r="53" spans="2:7" ht="9.75" customHeight="1">
      <c r="B53" s="314" t="s">
        <v>201</v>
      </c>
      <c r="C53" s="319" t="s">
        <v>201</v>
      </c>
      <c r="D53" s="312">
        <v>211058109</v>
      </c>
      <c r="E53" s="308">
        <v>175382155</v>
      </c>
      <c r="F53" s="258"/>
    </row>
    <row r="54" spans="2:7" ht="9.75" customHeight="1">
      <c r="B54" s="314" t="s">
        <v>767</v>
      </c>
      <c r="C54" s="319" t="s">
        <v>767</v>
      </c>
      <c r="D54" s="312">
        <v>47213956</v>
      </c>
      <c r="E54" s="308">
        <v>37784959</v>
      </c>
      <c r="F54" s="258"/>
    </row>
    <row r="55" spans="2:7" ht="9.75" customHeight="1">
      <c r="B55" s="314" t="s">
        <v>1012</v>
      </c>
      <c r="C55" s="319" t="s">
        <v>768</v>
      </c>
      <c r="D55" s="312">
        <v>1341667</v>
      </c>
      <c r="E55" s="308">
        <v>0</v>
      </c>
      <c r="F55" s="258"/>
    </row>
    <row r="56" spans="2:7" ht="9.75" customHeight="1">
      <c r="B56" s="314" t="s">
        <v>768</v>
      </c>
      <c r="C56" s="319" t="s">
        <v>769</v>
      </c>
      <c r="D56" s="312">
        <v>48917739</v>
      </c>
      <c r="E56" s="308">
        <v>8051818</v>
      </c>
      <c r="F56" s="258"/>
    </row>
    <row r="57" spans="2:7" ht="9.75" customHeight="1">
      <c r="B57" s="314" t="s">
        <v>769</v>
      </c>
      <c r="C57" s="319" t="s">
        <v>971</v>
      </c>
      <c r="D57" s="312">
        <v>4693112</v>
      </c>
      <c r="E57" s="308">
        <v>3947112</v>
      </c>
      <c r="F57" s="258"/>
    </row>
    <row r="58" spans="2:7" s="450" customFormat="1" ht="9.75" customHeight="1">
      <c r="B58" s="317" t="s">
        <v>971</v>
      </c>
      <c r="C58" s="306" t="s">
        <v>972</v>
      </c>
      <c r="D58" s="309">
        <v>1507354691</v>
      </c>
      <c r="E58" s="341">
        <v>642165111</v>
      </c>
      <c r="F58" s="263"/>
      <c r="G58" s="449"/>
    </row>
    <row r="59" spans="2:7" ht="10.199999999999999" customHeight="1">
      <c r="B59" s="314" t="s">
        <v>972</v>
      </c>
      <c r="C59" s="319" t="s">
        <v>770</v>
      </c>
      <c r="D59" s="312">
        <v>1456066714</v>
      </c>
      <c r="E59" s="308">
        <v>611112046</v>
      </c>
      <c r="F59" s="258"/>
    </row>
    <row r="60" spans="2:7" s="450" customFormat="1" ht="9.75" customHeight="1">
      <c r="B60" s="314" t="s">
        <v>770</v>
      </c>
      <c r="C60" s="319" t="s">
        <v>771</v>
      </c>
      <c r="D60" s="312">
        <v>51287977</v>
      </c>
      <c r="E60" s="308">
        <v>31053065</v>
      </c>
      <c r="F60" s="263"/>
      <c r="G60" s="449"/>
    </row>
    <row r="61" spans="2:7" s="450" customFormat="1" ht="9.75" customHeight="1">
      <c r="B61" s="317" t="s">
        <v>771</v>
      </c>
      <c r="C61" s="306" t="s">
        <v>772</v>
      </c>
      <c r="D61" s="309">
        <v>1866252277</v>
      </c>
      <c r="E61" s="341">
        <v>1108708171</v>
      </c>
      <c r="F61" s="263"/>
      <c r="G61" s="449"/>
    </row>
    <row r="62" spans="2:7" ht="9.75" customHeight="1">
      <c r="B62" s="314" t="s">
        <v>772</v>
      </c>
      <c r="C62" s="319" t="s">
        <v>773</v>
      </c>
      <c r="D62" s="312">
        <v>253661463</v>
      </c>
      <c r="E62" s="308">
        <v>133629817</v>
      </c>
      <c r="F62" s="258"/>
    </row>
    <row r="63" spans="2:7" s="450" customFormat="1" ht="9.75" customHeight="1">
      <c r="B63" s="314" t="s">
        <v>773</v>
      </c>
      <c r="C63" s="319" t="s">
        <v>774</v>
      </c>
      <c r="D63" s="312">
        <v>237335254</v>
      </c>
      <c r="E63" s="308">
        <v>236006349</v>
      </c>
      <c r="F63" s="263"/>
      <c r="G63" s="449"/>
    </row>
    <row r="64" spans="2:7">
      <c r="B64" s="314" t="s">
        <v>774</v>
      </c>
      <c r="C64" s="319" t="s">
        <v>775</v>
      </c>
      <c r="D64" s="312">
        <v>303235559</v>
      </c>
      <c r="E64" s="308">
        <v>423807495</v>
      </c>
      <c r="F64" s="258"/>
    </row>
    <row r="65" spans="2:7">
      <c r="B65" s="314" t="s">
        <v>775</v>
      </c>
      <c r="C65" s="319" t="s">
        <v>776</v>
      </c>
      <c r="D65" s="312">
        <v>79468596</v>
      </c>
      <c r="E65" s="308">
        <v>76086011</v>
      </c>
      <c r="F65" s="258"/>
    </row>
    <row r="66" spans="2:7">
      <c r="B66" s="314" t="s">
        <v>776</v>
      </c>
      <c r="C66" s="319" t="s">
        <v>777</v>
      </c>
      <c r="D66" s="312">
        <v>1787247</v>
      </c>
      <c r="E66" s="308">
        <v>667271</v>
      </c>
      <c r="F66" s="258"/>
    </row>
    <row r="67" spans="2:7">
      <c r="B67" s="314" t="s">
        <v>777</v>
      </c>
      <c r="C67" s="319" t="s">
        <v>778</v>
      </c>
      <c r="D67" s="312">
        <v>21856486</v>
      </c>
      <c r="E67" s="308">
        <v>14025958</v>
      </c>
      <c r="F67" s="258"/>
    </row>
    <row r="68" spans="2:7" ht="9.75" customHeight="1">
      <c r="B68" s="314" t="s">
        <v>778</v>
      </c>
      <c r="C68" s="319" t="s">
        <v>779</v>
      </c>
      <c r="D68" s="312">
        <v>67449957</v>
      </c>
      <c r="E68" s="308">
        <v>25414485</v>
      </c>
      <c r="F68" s="258"/>
    </row>
    <row r="69" spans="2:7" ht="9.75" customHeight="1">
      <c r="B69" s="314" t="s">
        <v>779</v>
      </c>
      <c r="C69" s="319" t="s">
        <v>973</v>
      </c>
      <c r="D69" s="312">
        <v>11882694</v>
      </c>
      <c r="E69" s="308">
        <v>7103770</v>
      </c>
      <c r="F69" s="263"/>
    </row>
    <row r="70" spans="2:7" ht="9.75" customHeight="1">
      <c r="B70" s="314" t="s">
        <v>973</v>
      </c>
      <c r="C70" s="319" t="s">
        <v>780</v>
      </c>
      <c r="D70" s="312">
        <v>9537020</v>
      </c>
      <c r="E70" s="308">
        <v>0</v>
      </c>
      <c r="F70" s="263"/>
    </row>
    <row r="71" spans="2:7" ht="9.75" customHeight="1">
      <c r="B71" s="314" t="s">
        <v>780</v>
      </c>
      <c r="C71" s="319" t="s">
        <v>781</v>
      </c>
      <c r="D71" s="312">
        <v>42071728</v>
      </c>
      <c r="E71" s="308">
        <v>35712827</v>
      </c>
      <c r="F71" s="263"/>
    </row>
    <row r="72" spans="2:7" ht="9.6" customHeight="1">
      <c r="B72" s="314" t="s">
        <v>781</v>
      </c>
      <c r="C72" s="319" t="s">
        <v>782</v>
      </c>
      <c r="D72" s="312">
        <v>472727</v>
      </c>
      <c r="E72" s="308">
        <v>63636</v>
      </c>
    </row>
    <row r="73" spans="2:7" ht="9.6" customHeight="1">
      <c r="B73" s="314" t="s">
        <v>782</v>
      </c>
      <c r="C73" s="319" t="s">
        <v>974</v>
      </c>
      <c r="D73" s="312">
        <v>40030353</v>
      </c>
      <c r="E73" s="308">
        <v>14972983</v>
      </c>
    </row>
    <row r="74" spans="2:7" ht="9.6" customHeight="1">
      <c r="B74" s="314" t="s">
        <v>974</v>
      </c>
      <c r="C74" s="319" t="s">
        <v>783</v>
      </c>
      <c r="D74" s="312">
        <v>19164196</v>
      </c>
      <c r="E74" s="308">
        <v>0</v>
      </c>
    </row>
    <row r="75" spans="2:7" ht="9.6" customHeight="1">
      <c r="B75" s="314" t="s">
        <v>783</v>
      </c>
      <c r="C75" s="319" t="s">
        <v>784</v>
      </c>
      <c r="D75" s="312">
        <v>41772182</v>
      </c>
      <c r="E75" s="308">
        <v>53883471</v>
      </c>
    </row>
    <row r="76" spans="2:7" ht="9.75" customHeight="1">
      <c r="B76" s="314" t="s">
        <v>784</v>
      </c>
      <c r="C76" s="319" t="s">
        <v>785</v>
      </c>
      <c r="D76" s="312">
        <v>332320</v>
      </c>
      <c r="E76" s="308">
        <v>166160</v>
      </c>
    </row>
    <row r="77" spans="2:7" ht="9.75" customHeight="1">
      <c r="B77" s="314" t="s">
        <v>785</v>
      </c>
      <c r="C77" s="319" t="s">
        <v>786</v>
      </c>
      <c r="D77" s="312">
        <v>35000</v>
      </c>
      <c r="E77" s="308">
        <v>14621019</v>
      </c>
    </row>
    <row r="78" spans="2:7" ht="9.75" customHeight="1">
      <c r="B78" s="314" t="s">
        <v>786</v>
      </c>
      <c r="C78" s="319" t="s">
        <v>787</v>
      </c>
      <c r="D78" s="312">
        <v>25802727</v>
      </c>
      <c r="E78" s="308">
        <v>12348561</v>
      </c>
    </row>
    <row r="79" spans="2:7" s="450" customFormat="1" ht="9.75" customHeight="1">
      <c r="B79" s="317" t="s">
        <v>787</v>
      </c>
      <c r="C79" s="306" t="s">
        <v>788</v>
      </c>
      <c r="D79" s="309">
        <v>710356768</v>
      </c>
      <c r="E79" s="341">
        <v>45393363</v>
      </c>
      <c r="G79" s="449"/>
    </row>
    <row r="80" spans="2:7" ht="9.75" customHeight="1">
      <c r="B80" s="314" t="s">
        <v>788</v>
      </c>
      <c r="C80" s="319" t="s">
        <v>789</v>
      </c>
      <c r="D80" s="312">
        <v>306695940</v>
      </c>
      <c r="E80" s="308">
        <v>0</v>
      </c>
    </row>
    <row r="81" spans="2:8" ht="9.75" customHeight="1">
      <c r="B81" s="314" t="s">
        <v>789</v>
      </c>
      <c r="C81" s="319"/>
      <c r="D81" s="312">
        <v>403660828</v>
      </c>
      <c r="E81" s="308">
        <v>31848968</v>
      </c>
    </row>
    <row r="82" spans="2:8" ht="9.75" customHeight="1">
      <c r="B82" s="314"/>
      <c r="C82" s="319"/>
      <c r="D82" s="312"/>
      <c r="E82" s="308"/>
    </row>
    <row r="83" spans="2:8" ht="9.75" customHeight="1" thickBot="1">
      <c r="B83" s="668"/>
      <c r="C83" s="669"/>
      <c r="D83" s="670"/>
      <c r="E83" s="671"/>
    </row>
    <row r="84" spans="2:8" ht="9.75" customHeight="1">
      <c r="B84" s="340" t="s">
        <v>202</v>
      </c>
      <c r="C84" s="318"/>
      <c r="D84" s="664">
        <f>+D43-D45-D50</f>
        <v>5705533243</v>
      </c>
      <c r="E84" s="664">
        <f>+E43-E45-E50</f>
        <v>7466232200</v>
      </c>
    </row>
    <row r="85" spans="2:8" ht="9.75" customHeight="1">
      <c r="B85" s="314"/>
      <c r="C85" s="319"/>
      <c r="D85" s="312"/>
      <c r="E85" s="341"/>
    </row>
    <row r="86" spans="2:8" ht="9.75" customHeight="1">
      <c r="B86" s="434" t="s">
        <v>696</v>
      </c>
      <c r="C86" s="306"/>
      <c r="D86" s="309">
        <f>+D87-D88</f>
        <v>601759676</v>
      </c>
      <c r="E86" s="341">
        <v>0</v>
      </c>
    </row>
    <row r="87" spans="2:8" ht="9.75" customHeight="1">
      <c r="B87" s="314" t="s">
        <v>203</v>
      </c>
      <c r="C87" s="306"/>
      <c r="D87" s="312">
        <f>+'[4]EERR '!$B$13+'[4]EERR '!$B$34+'[4]EERR '!$B$14</f>
        <v>602126676</v>
      </c>
      <c r="E87" s="308">
        <v>0</v>
      </c>
    </row>
    <row r="88" spans="2:8" ht="9.75" customHeight="1">
      <c r="B88" s="314" t="s">
        <v>204</v>
      </c>
      <c r="C88" s="306"/>
      <c r="D88" s="312">
        <f>+'[4]EERR '!$B$92</f>
        <v>367000</v>
      </c>
      <c r="E88" s="308">
        <v>0</v>
      </c>
    </row>
    <row r="89" spans="2:8" ht="9.75" customHeight="1">
      <c r="B89" s="317"/>
      <c r="C89" s="319"/>
      <c r="D89" s="312"/>
      <c r="E89" s="341"/>
    </row>
    <row r="90" spans="2:8" ht="9.75" customHeight="1">
      <c r="B90" s="434" t="s">
        <v>695</v>
      </c>
      <c r="C90" s="319"/>
      <c r="D90" s="309">
        <f>+D92+D95</f>
        <v>2870612668</v>
      </c>
      <c r="E90" s="341">
        <v>102864990</v>
      </c>
      <c r="F90" s="264"/>
      <c r="G90" s="265"/>
      <c r="H90" s="265"/>
    </row>
    <row r="91" spans="2:8" ht="9.75" customHeight="1">
      <c r="B91" s="317"/>
      <c r="C91" s="319"/>
      <c r="D91" s="309"/>
      <c r="E91" s="341"/>
    </row>
    <row r="92" spans="2:8" ht="9.75" customHeight="1">
      <c r="B92" s="317" t="s">
        <v>205</v>
      </c>
      <c r="C92" s="319"/>
      <c r="D92" s="309">
        <f>SUM(D93:D94)</f>
        <v>4238960991</v>
      </c>
      <c r="E92" s="341">
        <v>2297489583</v>
      </c>
      <c r="F92" s="255"/>
    </row>
    <row r="93" spans="2:8" ht="9.75" customHeight="1">
      <c r="B93" s="314" t="s">
        <v>206</v>
      </c>
      <c r="C93" s="319"/>
      <c r="D93" s="312">
        <f>+'[4]EERR '!$B$21-D27</f>
        <v>3021980643</v>
      </c>
      <c r="E93" s="308">
        <v>133744877</v>
      </c>
      <c r="F93" s="255"/>
    </row>
    <row r="94" spans="2:8" ht="9.75" customHeight="1">
      <c r="B94" s="314" t="s">
        <v>207</v>
      </c>
      <c r="C94" s="319"/>
      <c r="D94" s="312">
        <f>-'[4]EERR '!$B$95</f>
        <v>1216980348</v>
      </c>
      <c r="E94" s="308">
        <v>2163744706</v>
      </c>
      <c r="F94" s="255"/>
    </row>
    <row r="95" spans="2:8" ht="9.75" customHeight="1">
      <c r="B95" s="317" t="s">
        <v>208</v>
      </c>
      <c r="C95" s="319"/>
      <c r="D95" s="309">
        <f>SUM(D96:D97)*-1</f>
        <v>-1368348323</v>
      </c>
      <c r="E95" s="341">
        <v>-2194624593</v>
      </c>
    </row>
    <row r="96" spans="2:8" ht="9.75" customHeight="1">
      <c r="B96" s="314" t="s">
        <v>209</v>
      </c>
      <c r="C96" s="319"/>
      <c r="D96" s="312">
        <f>+'[4]EERR '!$B$88</f>
        <v>757507175</v>
      </c>
      <c r="E96" s="308">
        <v>1323471816</v>
      </c>
    </row>
    <row r="97" spans="2:9" ht="9.75" customHeight="1">
      <c r="B97" s="314" t="s">
        <v>207</v>
      </c>
      <c r="C97" s="319"/>
      <c r="D97" s="312">
        <f>+'[4]EERR '!$B$96</f>
        <v>610841148</v>
      </c>
      <c r="E97" s="308">
        <v>871152777</v>
      </c>
    </row>
    <row r="98" spans="2:9" ht="9.75" customHeight="1">
      <c r="B98" s="314"/>
      <c r="C98" s="319"/>
      <c r="D98" s="312"/>
      <c r="E98" s="341"/>
      <c r="I98" s="250"/>
    </row>
    <row r="99" spans="2:9" ht="9.75" customHeight="1">
      <c r="B99" s="435" t="s">
        <v>699</v>
      </c>
      <c r="C99" s="306"/>
      <c r="D99" s="309">
        <f>+D100-D101</f>
        <v>0</v>
      </c>
      <c r="E99" s="341">
        <v>0</v>
      </c>
    </row>
    <row r="100" spans="2:9" ht="9.75" customHeight="1">
      <c r="B100" s="311" t="s">
        <v>210</v>
      </c>
      <c r="C100" s="319"/>
      <c r="D100" s="312">
        <v>0</v>
      </c>
      <c r="E100" s="308">
        <v>0</v>
      </c>
    </row>
    <row r="101" spans="2:9">
      <c r="B101" s="311" t="s">
        <v>211</v>
      </c>
      <c r="C101" s="319"/>
      <c r="D101" s="312">
        <v>0</v>
      </c>
      <c r="E101" s="308">
        <v>0</v>
      </c>
      <c r="F101" s="255"/>
    </row>
    <row r="102" spans="2:9">
      <c r="B102" s="311"/>
      <c r="C102" s="319"/>
      <c r="D102" s="312"/>
      <c r="E102" s="341"/>
    </row>
    <row r="103" spans="2:9">
      <c r="B103" s="305" t="s">
        <v>212</v>
      </c>
      <c r="C103" s="306"/>
      <c r="D103" s="309">
        <v>0</v>
      </c>
      <c r="E103" s="341">
        <v>0</v>
      </c>
    </row>
    <row r="104" spans="2:9">
      <c r="B104" s="311" t="s">
        <v>213</v>
      </c>
      <c r="C104" s="319"/>
      <c r="D104" s="312">
        <v>0</v>
      </c>
      <c r="E104" s="308">
        <v>0</v>
      </c>
      <c r="F104" s="255"/>
    </row>
    <row r="105" spans="2:9" ht="11.1" customHeight="1">
      <c r="B105" s="311" t="s">
        <v>214</v>
      </c>
      <c r="C105" s="319"/>
      <c r="D105" s="312"/>
      <c r="E105" s="308"/>
      <c r="F105" s="258"/>
    </row>
    <row r="106" spans="2:9" ht="9.75" customHeight="1">
      <c r="B106" s="311"/>
      <c r="C106" s="319"/>
      <c r="D106" s="312"/>
      <c r="E106" s="308"/>
    </row>
    <row r="107" spans="2:9" ht="9.75" customHeight="1">
      <c r="B107" s="315" t="s">
        <v>215</v>
      </c>
      <c r="C107" s="316"/>
      <c r="D107" s="343">
        <f>+D84+D90+D99+D103+D86</f>
        <v>9177905587</v>
      </c>
      <c r="E107" s="343">
        <f>+E84+E90+E99+E103+E86</f>
        <v>7569097190</v>
      </c>
    </row>
    <row r="108" spans="2:9">
      <c r="B108" s="311"/>
      <c r="C108" s="319"/>
      <c r="D108" s="312"/>
      <c r="E108" s="308"/>
    </row>
    <row r="109" spans="2:9" ht="9.75" customHeight="1">
      <c r="B109" s="305" t="s">
        <v>216</v>
      </c>
      <c r="C109" s="306"/>
      <c r="D109" s="312">
        <v>0</v>
      </c>
      <c r="E109" s="308">
        <v>0</v>
      </c>
    </row>
    <row r="110" spans="2:9">
      <c r="B110" s="340" t="s">
        <v>113</v>
      </c>
      <c r="C110" s="318"/>
      <c r="D110" s="312">
        <v>0</v>
      </c>
      <c r="E110" s="308">
        <v>0</v>
      </c>
    </row>
    <row r="111" spans="2:9" ht="12.6" thickBot="1">
      <c r="B111" s="342" t="s">
        <v>217</v>
      </c>
      <c r="C111" s="344"/>
      <c r="D111" s="345">
        <f>+D107-D109-D110</f>
        <v>9177905587</v>
      </c>
      <c r="E111" s="345">
        <f>+E107-E109-E110</f>
        <v>7569097190</v>
      </c>
      <c r="G111" s="204"/>
    </row>
    <row r="112" spans="2:9">
      <c r="B112" s="736" t="s">
        <v>703</v>
      </c>
      <c r="C112" s="736"/>
      <c r="D112" s="736"/>
      <c r="E112" s="736"/>
      <c r="G112" s="204"/>
    </row>
    <row r="113" spans="4:5">
      <c r="D113" s="320">
        <f>+D111-'Balance Gral. Resol. 30'!G77</f>
        <v>-4.9999237060546875E-2</v>
      </c>
      <c r="E113" s="320"/>
    </row>
  </sheetData>
  <mergeCells count="7">
    <mergeCell ref="B112:E112"/>
    <mergeCell ref="B8:E9"/>
    <mergeCell ref="B4:E4"/>
    <mergeCell ref="B3:E3"/>
    <mergeCell ref="B5:E5"/>
    <mergeCell ref="B6:E6"/>
    <mergeCell ref="B7:E7"/>
  </mergeCells>
  <hyperlinks>
    <hyperlink ref="B11" location="'NOTA V INGRESOS OPERATIVOS'!A1" display="Ingresos Operativos - Nota v" xr:uid="{00000000-0004-0000-0300-000000000000}"/>
    <hyperlink ref="B45" location="'NOTA W OTROS GASTOS OPER'!A1" display="Gastos de Comercialización -Nota w" xr:uid="{00000000-0004-0000-0300-000001000000}"/>
    <hyperlink ref="B39" location="'NOTA W OTROS GASTOS OPER'!A1" display="Gastos Operativos - Nota W" xr:uid="{00000000-0004-0000-0300-000002000000}"/>
    <hyperlink ref="B50" location="'NOTA W OTROS GASTOS OPER'!A1" display="Gastos de administración - Nota w" xr:uid="{00000000-0004-0000-0300-000003000000}"/>
    <hyperlink ref="B86" location="'NOTA X OTROS INGRESOS Y EGR'!A1" display="Otros ingresos y Egresos" xr:uid="{00000000-0004-0000-0300-000004000000}"/>
    <hyperlink ref="B90" location="'NOTA Y RESULTADOS FINANC'!A1" display="Resultados financieros" xr:uid="{00000000-0004-0000-0300-000005000000}"/>
    <hyperlink ref="B99" location="'NOTA Z RESULT EXTRA'!A1" display="Resultados  extraordinarias -Nota z" xr:uid="{00000000-0004-0000-0300-000006000000}"/>
  </hyperlink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02060"/>
  </sheetPr>
  <dimension ref="C1:F58"/>
  <sheetViews>
    <sheetView showGridLines="0" topLeftCell="B34" zoomScale="120" zoomScaleNormal="120" workbookViewId="0">
      <selection activeCell="E92" sqref="E92"/>
    </sheetView>
  </sheetViews>
  <sheetFormatPr baseColWidth="10" defaultColWidth="11.44140625" defaultRowHeight="12"/>
  <cols>
    <col min="1" max="1" width="11.44140625" style="204"/>
    <col min="2" max="2" width="5.6640625" style="204" customWidth="1"/>
    <col min="3" max="3" width="70.33203125" style="204" customWidth="1"/>
    <col min="4" max="5" width="25.6640625" style="204" customWidth="1"/>
    <col min="6" max="6" width="14.33203125" style="204" hidden="1" customWidth="1"/>
    <col min="7" max="8" width="0" style="204" hidden="1" customWidth="1"/>
    <col min="9" max="16384" width="11.44140625" style="204"/>
  </cols>
  <sheetData>
    <row r="1" spans="3:6">
      <c r="C1" s="699"/>
      <c r="D1" s="699"/>
      <c r="E1" s="699"/>
    </row>
    <row r="2" spans="3:6" ht="35.25" customHeight="1">
      <c r="C2" s="699"/>
      <c r="D2" s="699"/>
      <c r="E2" s="699"/>
    </row>
    <row r="3" spans="3:6" ht="14.4">
      <c r="C3" s="740" t="s">
        <v>0</v>
      </c>
      <c r="D3" s="740"/>
      <c r="E3" s="740"/>
    </row>
    <row r="4" spans="3:6">
      <c r="C4" s="699" t="s">
        <v>218</v>
      </c>
      <c r="D4" s="699"/>
      <c r="E4" s="699"/>
    </row>
    <row r="5" spans="3:6" ht="19.5" customHeight="1">
      <c r="C5" s="733" t="s">
        <v>1013</v>
      </c>
      <c r="D5" s="733"/>
      <c r="E5" s="733"/>
    </row>
    <row r="6" spans="3:6">
      <c r="C6" s="739" t="s">
        <v>31</v>
      </c>
      <c r="D6" s="739"/>
      <c r="E6" s="739"/>
    </row>
    <row r="7" spans="3:6" ht="38.25" customHeight="1">
      <c r="C7" s="321"/>
      <c r="D7" s="672">
        <f>+Indice!G5</f>
        <v>44742</v>
      </c>
      <c r="E7" s="672">
        <f>+Indice!H7</f>
        <v>44377</v>
      </c>
    </row>
    <row r="8" spans="3:6">
      <c r="C8" s="210" t="s">
        <v>219</v>
      </c>
      <c r="D8" s="322"/>
      <c r="E8" s="323"/>
    </row>
    <row r="9" spans="3:6" ht="12" customHeight="1">
      <c r="C9" s="220"/>
      <c r="D9" s="283"/>
      <c r="E9" s="324"/>
      <c r="F9" s="258"/>
    </row>
    <row r="10" spans="3:6">
      <c r="C10" s="220" t="s">
        <v>220</v>
      </c>
      <c r="D10" s="324">
        <f>+' Flujo de Fondos Calculo INVEST'!B61</f>
        <v>2327735954</v>
      </c>
      <c r="E10" s="324">
        <v>17328295166</v>
      </c>
      <c r="F10" s="258"/>
    </row>
    <row r="11" spans="3:6" ht="12.6" customHeight="1">
      <c r="C11" s="220" t="s">
        <v>221</v>
      </c>
      <c r="D11" s="324">
        <f>+' Flujo de Fondos Calculo INVEST'!B64</f>
        <v>-1590964629</v>
      </c>
      <c r="E11" s="324">
        <v>-1463470339</v>
      </c>
    </row>
    <row r="12" spans="3:6">
      <c r="C12" s="220" t="s">
        <v>222</v>
      </c>
      <c r="D12" s="324">
        <f>+' Flujo de Fondos Calculo INVEST'!B62</f>
        <v>339680995</v>
      </c>
      <c r="E12" s="324">
        <v>-10625805264</v>
      </c>
    </row>
    <row r="13" spans="3:6">
      <c r="C13" s="220"/>
      <c r="D13" s="324"/>
      <c r="E13" s="324"/>
    </row>
    <row r="14" spans="3:6">
      <c r="C14" s="325" t="s">
        <v>223</v>
      </c>
      <c r="D14" s="326"/>
      <c r="E14" s="326"/>
    </row>
    <row r="15" spans="3:6">
      <c r="C15" s="325" t="s">
        <v>224</v>
      </c>
      <c r="D15" s="327">
        <f>SUM(D10:D13)</f>
        <v>1076452320</v>
      </c>
      <c r="E15" s="327">
        <v>5239019563</v>
      </c>
    </row>
    <row r="16" spans="3:6">
      <c r="C16" s="328"/>
      <c r="D16" s="326"/>
      <c r="E16" s="326"/>
    </row>
    <row r="17" spans="3:5">
      <c r="C17" s="325" t="s">
        <v>225</v>
      </c>
      <c r="D17" s="326"/>
      <c r="E17" s="326"/>
    </row>
    <row r="18" spans="3:5">
      <c r="C18" s="328"/>
      <c r="D18" s="326"/>
      <c r="E18" s="326"/>
    </row>
    <row r="19" spans="3:5">
      <c r="C19" s="328" t="s">
        <v>226</v>
      </c>
      <c r="D19" s="326">
        <v>0</v>
      </c>
      <c r="E19" s="326">
        <v>0</v>
      </c>
    </row>
    <row r="20" spans="3:5">
      <c r="C20" s="328"/>
      <c r="D20" s="347">
        <f>SUM(D18:D19)</f>
        <v>0</v>
      </c>
      <c r="E20" s="327">
        <v>0</v>
      </c>
    </row>
    <row r="21" spans="3:5">
      <c r="C21" s="325" t="s">
        <v>227</v>
      </c>
      <c r="D21" s="326"/>
      <c r="E21" s="326"/>
    </row>
    <row r="22" spans="3:5">
      <c r="C22" s="328" t="s">
        <v>884</v>
      </c>
      <c r="D22" s="326">
        <f>+' Flujo de Fondos Calculo INVEST'!B65</f>
        <v>6448601769</v>
      </c>
      <c r="E22" s="326">
        <v>0</v>
      </c>
    </row>
    <row r="23" spans="3:5">
      <c r="C23" s="328"/>
      <c r="D23" s="326"/>
      <c r="E23" s="326"/>
    </row>
    <row r="24" spans="3:5">
      <c r="C24" s="325" t="s">
        <v>228</v>
      </c>
      <c r="D24" s="347">
        <f>D15+D20+D22</f>
        <v>7525054089</v>
      </c>
      <c r="E24" s="327">
        <v>5239019563</v>
      </c>
    </row>
    <row r="25" spans="3:5">
      <c r="C25" s="328"/>
      <c r="D25" s="326"/>
      <c r="E25" s="326"/>
    </row>
    <row r="26" spans="3:5">
      <c r="C26" s="328" t="s">
        <v>216</v>
      </c>
      <c r="D26" s="326">
        <f>+' Flujo de Fondos Calculo INVEST'!B66</f>
        <v>0</v>
      </c>
      <c r="E26" s="326">
        <v>-23674161</v>
      </c>
    </row>
    <row r="27" spans="3:5">
      <c r="C27" s="328"/>
      <c r="D27" s="326"/>
      <c r="E27" s="326"/>
    </row>
    <row r="28" spans="3:5">
      <c r="C28" s="325" t="s">
        <v>229</v>
      </c>
      <c r="D28" s="327">
        <f>+D24+D26</f>
        <v>7525054089</v>
      </c>
      <c r="E28" s="327">
        <v>5215345402</v>
      </c>
    </row>
    <row r="29" spans="3:5">
      <c r="C29" s="325"/>
      <c r="D29" s="329"/>
      <c r="E29" s="329"/>
    </row>
    <row r="30" spans="3:5">
      <c r="C30" s="325" t="s">
        <v>230</v>
      </c>
      <c r="D30" s="326"/>
      <c r="E30" s="326"/>
    </row>
    <row r="31" spans="3:5">
      <c r="C31" s="325"/>
      <c r="D31" s="326"/>
      <c r="E31" s="326"/>
    </row>
    <row r="32" spans="3:5">
      <c r="C32" s="328" t="s">
        <v>231</v>
      </c>
      <c r="D32" s="326">
        <f>+' Flujo de Fondos Calculo INVEST'!B70</f>
        <v>-9009000000</v>
      </c>
      <c r="E32" s="326">
        <v>-2572595000</v>
      </c>
    </row>
    <row r="33" spans="3:5">
      <c r="C33" s="328" t="s">
        <v>232</v>
      </c>
      <c r="D33" s="326">
        <v>0</v>
      </c>
      <c r="E33" s="326">
        <v>0</v>
      </c>
    </row>
    <row r="34" spans="3:5">
      <c r="C34" s="328" t="s">
        <v>233</v>
      </c>
      <c r="D34" s="326">
        <v>0</v>
      </c>
      <c r="E34" s="326" t="s">
        <v>532</v>
      </c>
    </row>
    <row r="35" spans="3:5">
      <c r="C35" s="328" t="s">
        <v>234</v>
      </c>
      <c r="D35" s="326">
        <f>+' Flujo de Fondos Calculo INVEST'!B71-1</f>
        <v>-82285438</v>
      </c>
      <c r="E35" s="326">
        <v>-970532037</v>
      </c>
    </row>
    <row r="36" spans="3:5">
      <c r="C36" s="328" t="s">
        <v>235</v>
      </c>
      <c r="D36" s="326">
        <f>+' Flujo de Fondos Calculo INVEST'!B72</f>
        <v>66449040189</v>
      </c>
      <c r="E36" s="326">
        <v>-16920811885</v>
      </c>
    </row>
    <row r="37" spans="3:5">
      <c r="C37" s="328" t="s">
        <v>236</v>
      </c>
      <c r="D37" s="326" t="s">
        <v>532</v>
      </c>
      <c r="E37" s="326" t="s">
        <v>532</v>
      </c>
    </row>
    <row r="38" spans="3:5">
      <c r="C38" s="328" t="s">
        <v>237</v>
      </c>
      <c r="D38" s="326" t="s">
        <v>532</v>
      </c>
      <c r="E38" s="326" t="s">
        <v>532</v>
      </c>
    </row>
    <row r="39" spans="3:5">
      <c r="C39" s="328"/>
      <c r="D39" s="326"/>
      <c r="E39" s="326"/>
    </row>
    <row r="40" spans="3:5">
      <c r="C40" s="325" t="s">
        <v>238</v>
      </c>
      <c r="D40" s="327">
        <f>SUM(D32:D38)</f>
        <v>57357754751</v>
      </c>
      <c r="E40" s="327">
        <v>-20463938922</v>
      </c>
    </row>
    <row r="41" spans="3:5">
      <c r="C41" s="325"/>
      <c r="D41" s="329"/>
      <c r="E41" s="329"/>
    </row>
    <row r="42" spans="3:5">
      <c r="C42" s="325" t="s">
        <v>239</v>
      </c>
      <c r="D42" s="326"/>
      <c r="E42" s="326"/>
    </row>
    <row r="43" spans="3:5">
      <c r="C43" s="325"/>
      <c r="D43" s="326"/>
      <c r="E43" s="326"/>
    </row>
    <row r="44" spans="3:5">
      <c r="C44" s="328" t="s">
        <v>240</v>
      </c>
      <c r="D44" s="326">
        <f>+' Flujo de Fondos Calculo INVEST'!B84</f>
        <v>0</v>
      </c>
      <c r="E44" s="326" t="s">
        <v>532</v>
      </c>
    </row>
    <row r="45" spans="3:5">
      <c r="C45" s="328" t="s">
        <v>241</v>
      </c>
      <c r="D45" s="326">
        <f>+' Flujo de Fondos Calculo INVEST'!B82+1</f>
        <v>-62537906399</v>
      </c>
      <c r="E45" s="326">
        <v>37111333170</v>
      </c>
    </row>
    <row r="46" spans="3:5">
      <c r="C46" s="328" t="s">
        <v>242</v>
      </c>
      <c r="D46" s="326">
        <f>+' Flujo de Fondos Calculo INVEST'!B83</f>
        <v>-7500000000</v>
      </c>
      <c r="E46" s="326">
        <v>-5434782609</v>
      </c>
    </row>
    <row r="47" spans="3:5" ht="12.75" customHeight="1">
      <c r="C47" s="328" t="s">
        <v>209</v>
      </c>
      <c r="D47" s="326" t="s">
        <v>532</v>
      </c>
      <c r="E47" s="326" t="s">
        <v>532</v>
      </c>
    </row>
    <row r="48" spans="3:5" ht="12.75" customHeight="1">
      <c r="C48" s="328"/>
      <c r="D48" s="326"/>
      <c r="E48" s="326"/>
    </row>
    <row r="49" spans="3:6" ht="12.75" customHeight="1">
      <c r="C49" s="325" t="s">
        <v>243</v>
      </c>
      <c r="D49" s="327">
        <f>SUM(D44:D48)</f>
        <v>-70037906399</v>
      </c>
      <c r="E49" s="327">
        <v>31676550561</v>
      </c>
    </row>
    <row r="50" spans="3:6">
      <c r="C50" s="328"/>
      <c r="D50" s="326"/>
      <c r="E50" s="326"/>
    </row>
    <row r="51" spans="3:6">
      <c r="C51" s="325" t="s">
        <v>244</v>
      </c>
      <c r="D51" s="326"/>
      <c r="E51" s="326"/>
    </row>
    <row r="52" spans="3:6">
      <c r="C52" s="325"/>
      <c r="D52" s="326"/>
      <c r="E52" s="326"/>
    </row>
    <row r="53" spans="3:6" ht="16.5" customHeight="1">
      <c r="C53" s="328" t="s">
        <v>245</v>
      </c>
      <c r="D53" s="329">
        <f>+D24+D26+D40+D49</f>
        <v>-5155097559</v>
      </c>
      <c r="E53" s="329">
        <v>16427957041</v>
      </c>
      <c r="F53" s="261"/>
    </row>
    <row r="54" spans="3:6">
      <c r="C54" s="330" t="s">
        <v>246</v>
      </c>
      <c r="D54" s="331">
        <f>+'Balance Gral. Resol. 30'!E14</f>
        <v>6045862180</v>
      </c>
      <c r="E54" s="331">
        <v>3899258412</v>
      </c>
    </row>
    <row r="55" spans="3:6" ht="12.6" thickBot="1">
      <c r="C55" s="332" t="s">
        <v>247</v>
      </c>
      <c r="D55" s="333">
        <f>D53+D54</f>
        <v>890764621</v>
      </c>
      <c r="E55" s="333">
        <v>20327215453</v>
      </c>
    </row>
    <row r="56" spans="3:6" ht="12.6" thickTop="1">
      <c r="C56" s="738" t="s">
        <v>703</v>
      </c>
      <c r="D56" s="738"/>
      <c r="E56" s="738"/>
      <c r="F56" s="439"/>
    </row>
    <row r="57" spans="3:6" hidden="1">
      <c r="D57" s="320">
        <f>+D55-'Balance Gral. Resol. 30'!D14</f>
        <v>0</v>
      </c>
    </row>
    <row r="58" spans="3:6">
      <c r="D58" s="320">
        <f>+D55-'Balance Gral. Resol. 30'!D14</f>
        <v>0</v>
      </c>
      <c r="E58" s="320">
        <v>0</v>
      </c>
    </row>
  </sheetData>
  <mergeCells count="7">
    <mergeCell ref="C56:E56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2060"/>
  </sheetPr>
  <dimension ref="B1:M34"/>
  <sheetViews>
    <sheetView showGridLines="0" topLeftCell="A17" zoomScale="110" zoomScaleNormal="110" workbookViewId="0">
      <selection activeCell="E92" sqref="E92"/>
    </sheetView>
  </sheetViews>
  <sheetFormatPr baseColWidth="10" defaultColWidth="11.44140625" defaultRowHeight="12"/>
  <cols>
    <col min="1" max="1" width="5.33203125" style="25" customWidth="1"/>
    <col min="2" max="2" width="40.33203125" style="25" customWidth="1"/>
    <col min="3" max="5" width="15.6640625" style="39" customWidth="1"/>
    <col min="6" max="8" width="15.6640625" style="39" hidden="1" customWidth="1"/>
    <col min="9" max="11" width="15.6640625" style="25" customWidth="1"/>
    <col min="12" max="13" width="12.88671875" style="25" bestFit="1" customWidth="1"/>
    <col min="14" max="16384" width="11.44140625" style="25"/>
  </cols>
  <sheetData>
    <row r="1" spans="2:11" ht="79.2" customHeight="1"/>
    <row r="2" spans="2:11" ht="15.6">
      <c r="B2" s="742" t="s">
        <v>0</v>
      </c>
      <c r="C2" s="742"/>
      <c r="D2" s="742"/>
      <c r="E2" s="742"/>
      <c r="F2" s="742"/>
      <c r="G2" s="742"/>
      <c r="H2" s="742"/>
      <c r="I2" s="742"/>
      <c r="J2" s="742"/>
      <c r="K2" s="742"/>
    </row>
    <row r="3" spans="2:11">
      <c r="B3" s="699" t="s">
        <v>248</v>
      </c>
      <c r="C3" s="699"/>
      <c r="D3" s="699"/>
      <c r="E3" s="699"/>
      <c r="F3" s="699"/>
      <c r="G3" s="699"/>
      <c r="H3" s="699"/>
      <c r="I3" s="699"/>
      <c r="J3" s="699"/>
      <c r="K3" s="699"/>
    </row>
    <row r="4" spans="2:11">
      <c r="B4" s="699" t="s">
        <v>1014</v>
      </c>
      <c r="C4" s="699"/>
      <c r="D4" s="699"/>
      <c r="E4" s="699"/>
      <c r="F4" s="699"/>
      <c r="G4" s="699"/>
      <c r="H4" s="699"/>
      <c r="I4" s="699"/>
      <c r="J4" s="699"/>
      <c r="K4" s="699"/>
    </row>
    <row r="5" spans="2:11" ht="15" customHeight="1">
      <c r="B5" s="734" t="s">
        <v>31</v>
      </c>
      <c r="C5" s="734"/>
      <c r="D5" s="734"/>
      <c r="E5" s="734"/>
      <c r="F5" s="734"/>
      <c r="G5" s="734"/>
      <c r="H5" s="734"/>
      <c r="I5" s="734"/>
      <c r="J5" s="734"/>
      <c r="K5" s="734"/>
    </row>
    <row r="6" spans="2:11" ht="15" customHeight="1" thickBot="1">
      <c r="B6" s="246"/>
      <c r="C6" s="246"/>
      <c r="D6" s="25"/>
      <c r="E6" s="25"/>
      <c r="F6" s="25"/>
      <c r="G6" s="25"/>
      <c r="H6" s="25"/>
    </row>
    <row r="7" spans="2:11" s="266" customFormat="1" ht="13.5" customHeight="1" thickBot="1">
      <c r="B7" s="246"/>
      <c r="C7" s="743" t="s">
        <v>249</v>
      </c>
      <c r="D7" s="744"/>
      <c r="E7" s="743" t="s">
        <v>250</v>
      </c>
      <c r="F7" s="744"/>
      <c r="G7" s="745"/>
      <c r="H7" s="744" t="s">
        <v>251</v>
      </c>
      <c r="I7" s="746"/>
      <c r="J7" s="747" t="s">
        <v>252</v>
      </c>
      <c r="K7" s="745"/>
    </row>
    <row r="8" spans="2:11" s="266" customFormat="1" ht="12.6" thickBot="1">
      <c r="B8" s="267" t="s">
        <v>253</v>
      </c>
      <c r="C8" s="268" t="s">
        <v>254</v>
      </c>
      <c r="D8" s="269" t="s">
        <v>255</v>
      </c>
      <c r="E8" s="270" t="s">
        <v>256</v>
      </c>
      <c r="F8" s="271" t="s">
        <v>501</v>
      </c>
      <c r="G8" s="269" t="s">
        <v>257</v>
      </c>
      <c r="H8" s="270" t="s">
        <v>258</v>
      </c>
      <c r="I8" s="272" t="s">
        <v>259</v>
      </c>
      <c r="J8" s="358">
        <f>+'Estado de Resultado Resol. 30'!D10</f>
        <v>44742</v>
      </c>
      <c r="K8" s="359">
        <f>+'Flujo de Efectivo Resol. Res 30'!E7</f>
        <v>44377</v>
      </c>
    </row>
    <row r="9" spans="2:11" s="132" customFormat="1">
      <c r="B9" s="273"/>
      <c r="C9" s="274"/>
      <c r="D9" s="275"/>
      <c r="E9" s="274"/>
      <c r="F9" s="276"/>
      <c r="G9" s="275"/>
      <c r="H9" s="274"/>
      <c r="I9" s="275"/>
      <c r="J9" s="274"/>
      <c r="K9" s="275"/>
    </row>
    <row r="10" spans="2:11" s="132" customFormat="1" ht="24" customHeight="1">
      <c r="B10" s="273" t="s">
        <v>260</v>
      </c>
      <c r="C10" s="274">
        <f>+'Balance Gral. Resol. 30'!H74</f>
        <v>8933184</v>
      </c>
      <c r="D10" s="275">
        <f>+'Balance Gral. Resol. 30'!H64</f>
        <v>27164000001</v>
      </c>
      <c r="E10" s="274">
        <f>+'Balance Gral. Resol. 30'!H67</f>
        <v>1546573343</v>
      </c>
      <c r="F10" s="276">
        <f>+'Balance Gral. Resol. 30'!H69</f>
        <v>49000000</v>
      </c>
      <c r="G10" s="275">
        <f>+'Balance Gral. Resol. 30'!H68</f>
        <v>0</v>
      </c>
      <c r="H10" s="277">
        <f>+'Balance Gral. Resol. 30'!H76</f>
        <v>9411087</v>
      </c>
      <c r="I10" s="275">
        <f>+'Balance Gral. Resol. 30'!H77</f>
        <v>23332346890.369999</v>
      </c>
      <c r="J10" s="278">
        <f>SUM(C10:I10)</f>
        <v>52110264505.369995</v>
      </c>
      <c r="K10" s="279">
        <v>33998767040</v>
      </c>
    </row>
    <row r="11" spans="2:11" s="132" customFormat="1" ht="24" customHeight="1">
      <c r="B11" s="273"/>
      <c r="C11" s="274"/>
      <c r="D11" s="275"/>
      <c r="E11" s="274"/>
      <c r="F11" s="276"/>
      <c r="G11" s="275"/>
      <c r="H11" s="277"/>
      <c r="I11" s="275"/>
      <c r="J11" s="278">
        <f t="shared" ref="J11:J25" si="0">SUM(C11:I11)</f>
        <v>0</v>
      </c>
      <c r="K11" s="279">
        <v>0</v>
      </c>
    </row>
    <row r="12" spans="2:11" s="132" customFormat="1" ht="24" customHeight="1">
      <c r="B12" s="280" t="s">
        <v>261</v>
      </c>
      <c r="C12" s="274"/>
      <c r="D12" s="275"/>
      <c r="E12" s="274"/>
      <c r="F12" s="281"/>
      <c r="G12" s="282"/>
      <c r="H12" s="277"/>
      <c r="I12" s="275"/>
      <c r="J12" s="278">
        <f t="shared" si="0"/>
        <v>0</v>
      </c>
      <c r="K12" s="279">
        <v>0</v>
      </c>
    </row>
    <row r="13" spans="2:11" s="132" customFormat="1" ht="24" customHeight="1">
      <c r="B13" s="273"/>
      <c r="C13" s="274"/>
      <c r="D13" s="275"/>
      <c r="E13" s="274"/>
      <c r="F13" s="281"/>
      <c r="G13" s="282"/>
      <c r="H13" s="277"/>
      <c r="I13" s="275"/>
      <c r="J13" s="278">
        <f t="shared" si="0"/>
        <v>0</v>
      </c>
      <c r="K13" s="279">
        <v>0</v>
      </c>
    </row>
    <row r="14" spans="2:11" s="132" customFormat="1" ht="24" customHeight="1">
      <c r="B14" s="273" t="s">
        <v>262</v>
      </c>
      <c r="C14" s="274" t="s">
        <v>263</v>
      </c>
      <c r="D14" s="275" t="s">
        <v>263</v>
      </c>
      <c r="E14" s="277">
        <f>+E26-E10</f>
        <v>0</v>
      </c>
      <c r="F14" s="281">
        <v>0</v>
      </c>
      <c r="G14" s="282" t="s">
        <v>263</v>
      </c>
      <c r="H14" s="277" t="s">
        <v>263</v>
      </c>
      <c r="I14" s="275" t="s">
        <v>263</v>
      </c>
      <c r="J14" s="278">
        <f t="shared" si="0"/>
        <v>0</v>
      </c>
      <c r="K14" s="279">
        <v>0</v>
      </c>
    </row>
    <row r="15" spans="2:11" s="132" customFormat="1" ht="24" customHeight="1">
      <c r="B15" s="273"/>
      <c r="C15" s="274"/>
      <c r="D15" s="275"/>
      <c r="E15" s="277"/>
      <c r="F15" s="281"/>
      <c r="G15" s="282"/>
      <c r="H15" s="277"/>
      <c r="I15" s="275"/>
      <c r="J15" s="278">
        <f t="shared" si="0"/>
        <v>0</v>
      </c>
      <c r="K15" s="279">
        <v>0</v>
      </c>
    </row>
    <row r="16" spans="2:11" s="132" customFormat="1" ht="24" customHeight="1">
      <c r="B16" s="273" t="s">
        <v>264</v>
      </c>
      <c r="C16" s="274" t="s">
        <v>263</v>
      </c>
      <c r="D16" s="275" t="s">
        <v>263</v>
      </c>
      <c r="E16" s="277" t="s">
        <v>263</v>
      </c>
      <c r="F16" s="283">
        <v>0</v>
      </c>
      <c r="G16" s="282">
        <f>+G26-G10-G24</f>
        <v>0</v>
      </c>
      <c r="H16" s="277" t="s">
        <v>263</v>
      </c>
      <c r="I16" s="275" t="s">
        <v>263</v>
      </c>
      <c r="J16" s="278">
        <f t="shared" si="0"/>
        <v>0</v>
      </c>
      <c r="K16" s="279">
        <v>0</v>
      </c>
    </row>
    <row r="17" spans="2:13" s="132" customFormat="1" ht="24" customHeight="1">
      <c r="B17" s="273"/>
      <c r="C17" s="274"/>
      <c r="D17" s="275"/>
      <c r="E17" s="277"/>
      <c r="F17" s="281"/>
      <c r="G17" s="282"/>
      <c r="H17" s="277"/>
      <c r="I17" s="275"/>
      <c r="J17" s="278">
        <f t="shared" si="0"/>
        <v>0</v>
      </c>
      <c r="K17" s="279">
        <v>0</v>
      </c>
    </row>
    <row r="18" spans="2:13" s="132" customFormat="1" ht="24" customHeight="1">
      <c r="B18" s="273" t="s">
        <v>122</v>
      </c>
      <c r="C18" s="274" t="s">
        <v>263</v>
      </c>
      <c r="D18" s="275" t="s">
        <v>263</v>
      </c>
      <c r="E18" s="277" t="s">
        <v>263</v>
      </c>
      <c r="F18" s="283" t="s">
        <v>263</v>
      </c>
      <c r="G18" s="282" t="s">
        <v>263</v>
      </c>
      <c r="H18" s="277" t="s">
        <v>263</v>
      </c>
      <c r="I18" s="275" t="s">
        <v>263</v>
      </c>
      <c r="J18" s="278">
        <f t="shared" si="0"/>
        <v>0</v>
      </c>
      <c r="K18" s="279">
        <v>-3515710414</v>
      </c>
    </row>
    <row r="19" spans="2:13" s="132" customFormat="1" ht="24" customHeight="1">
      <c r="B19" s="273"/>
      <c r="C19" s="274"/>
      <c r="D19" s="275"/>
      <c r="E19" s="277"/>
      <c r="F19" s="283"/>
      <c r="G19" s="282"/>
      <c r="H19" s="277"/>
      <c r="I19" s="275"/>
      <c r="J19" s="278">
        <f t="shared" si="0"/>
        <v>0</v>
      </c>
      <c r="K19" s="279">
        <v>0</v>
      </c>
    </row>
    <row r="20" spans="2:13" s="132" customFormat="1" ht="24" customHeight="1">
      <c r="B20" s="273" t="s">
        <v>265</v>
      </c>
      <c r="C20" s="274">
        <f>+C26-C10</f>
        <v>0</v>
      </c>
      <c r="E20" s="277">
        <v>0</v>
      </c>
      <c r="F20" s="283" t="s">
        <v>263</v>
      </c>
      <c r="G20" s="282" t="s">
        <v>263</v>
      </c>
      <c r="H20" s="277"/>
      <c r="I20" s="275" t="s">
        <v>263</v>
      </c>
      <c r="J20" s="278">
        <f t="shared" si="0"/>
        <v>0</v>
      </c>
      <c r="K20" s="279">
        <v>0</v>
      </c>
    </row>
    <row r="21" spans="2:13" s="132" customFormat="1" ht="24" customHeight="1">
      <c r="B21" s="273"/>
      <c r="C21" s="274"/>
      <c r="D21" s="275"/>
      <c r="E21" s="277"/>
      <c r="F21" s="283"/>
      <c r="G21" s="282"/>
      <c r="H21" s="277"/>
      <c r="I21" s="275"/>
      <c r="J21" s="278">
        <f t="shared" si="0"/>
        <v>0</v>
      </c>
      <c r="K21" s="279">
        <v>0</v>
      </c>
    </row>
    <row r="22" spans="2:13" s="132" customFormat="1" ht="24" customHeight="1">
      <c r="B22" s="273" t="s">
        <v>266</v>
      </c>
      <c r="C22" s="274" t="s">
        <v>263</v>
      </c>
      <c r="D22" s="275">
        <v>0</v>
      </c>
      <c r="E22" s="277" t="s">
        <v>263</v>
      </c>
      <c r="F22" s="283" t="s">
        <v>263</v>
      </c>
      <c r="G22" s="282" t="s">
        <v>263</v>
      </c>
      <c r="H22" s="277">
        <v>0</v>
      </c>
      <c r="I22" s="275">
        <v>-7500000000</v>
      </c>
      <c r="J22" s="278">
        <f t="shared" si="0"/>
        <v>-7500000000</v>
      </c>
      <c r="K22" s="275">
        <v>-5434782609</v>
      </c>
    </row>
    <row r="23" spans="2:13" s="132" customFormat="1" ht="24" customHeight="1">
      <c r="B23" s="273"/>
      <c r="C23" s="274"/>
      <c r="D23" s="275"/>
      <c r="E23" s="277"/>
      <c r="F23" s="281"/>
      <c r="G23" s="282"/>
      <c r="H23" s="277"/>
      <c r="I23" s="275"/>
      <c r="J23" s="278">
        <f t="shared" si="0"/>
        <v>0</v>
      </c>
      <c r="K23" s="279">
        <v>0</v>
      </c>
    </row>
    <row r="24" spans="2:13" s="132" customFormat="1" ht="24" customHeight="1">
      <c r="B24" s="273" t="s">
        <v>267</v>
      </c>
      <c r="C24" s="274">
        <v>0</v>
      </c>
      <c r="D24" s="275">
        <f>+D26-D27</f>
        <v>15756000000</v>
      </c>
      <c r="E24" s="277">
        <v>0</v>
      </c>
      <c r="F24" s="283">
        <v>0</v>
      </c>
      <c r="G24" s="282">
        <f>+G26-G10</f>
        <v>0</v>
      </c>
      <c r="H24" s="277">
        <f>+H26-H10</f>
        <v>232346890</v>
      </c>
      <c r="I24" s="275">
        <f>-I10+7500000000-156000000</f>
        <v>-15988346890.369999</v>
      </c>
      <c r="J24" s="278">
        <f t="shared" si="0"/>
        <v>-0.36999893188476563</v>
      </c>
      <c r="K24" s="279">
        <v>3515710414</v>
      </c>
    </row>
    <row r="25" spans="2:13" s="132" customFormat="1" ht="24" customHeight="1" thickBot="1">
      <c r="B25" s="273" t="s">
        <v>124</v>
      </c>
      <c r="C25" s="284" t="s">
        <v>263</v>
      </c>
      <c r="D25" s="285" t="s">
        <v>263</v>
      </c>
      <c r="E25" s="284" t="s">
        <v>263</v>
      </c>
      <c r="F25" s="286">
        <v>0</v>
      </c>
      <c r="G25" s="285" t="s">
        <v>263</v>
      </c>
      <c r="H25" s="287"/>
      <c r="I25" s="285">
        <f>+I26</f>
        <v>9177905587.0499992</v>
      </c>
      <c r="J25" s="278">
        <f t="shared" si="0"/>
        <v>9177905587.0499992</v>
      </c>
      <c r="K25" s="288">
        <v>7618097190</v>
      </c>
    </row>
    <row r="26" spans="2:13" s="132" customFormat="1" ht="24" customHeight="1" thickBot="1">
      <c r="B26" s="289" t="s">
        <v>1015</v>
      </c>
      <c r="C26" s="290">
        <f>+'Balance Gral. Resol. 30'!G74</f>
        <v>8933184</v>
      </c>
      <c r="D26" s="291">
        <f>+'Balance Gral. Resol. 30'!G64</f>
        <v>42764000001</v>
      </c>
      <c r="E26" s="292">
        <f>+'Balance Gral. Resol. 30'!G67</f>
        <v>1546573343</v>
      </c>
      <c r="F26" s="291">
        <f>+'Balance Gral. Resol. 30'!G69</f>
        <v>49000000</v>
      </c>
      <c r="G26" s="293">
        <f>+'Balance Gral. Resol. 30'!G68</f>
        <v>0</v>
      </c>
      <c r="H26" s="290">
        <f>+'Balance Gral. Resol. 30'!G76</f>
        <v>241757977</v>
      </c>
      <c r="I26" s="291">
        <f>+'Balance Gral. Resol. 30'!G77</f>
        <v>9177905587.0499992</v>
      </c>
      <c r="J26" s="294">
        <f>SUM(C26:I26)</f>
        <v>53788170092.050003</v>
      </c>
      <c r="K26" s="295">
        <v>0</v>
      </c>
      <c r="L26" s="161"/>
      <c r="M26" s="161"/>
    </row>
    <row r="27" spans="2:13" s="132" customFormat="1" ht="24" customHeight="1" thickBot="1">
      <c r="B27" s="296" t="s">
        <v>1016</v>
      </c>
      <c r="C27" s="297">
        <v>0</v>
      </c>
      <c r="D27" s="297">
        <v>27008000001</v>
      </c>
      <c r="E27" s="297">
        <v>1546573343</v>
      </c>
      <c r="F27" s="297">
        <v>49000000</v>
      </c>
      <c r="G27" s="297">
        <v>0</v>
      </c>
      <c r="H27" s="297">
        <v>9411087</v>
      </c>
      <c r="I27" s="297">
        <v>7569097190</v>
      </c>
      <c r="J27" s="294"/>
      <c r="K27" s="583">
        <f>SUM(C27:I27)</f>
        <v>36182081621</v>
      </c>
      <c r="L27" s="161"/>
    </row>
    <row r="28" spans="2:13">
      <c r="B28" s="741" t="s">
        <v>703</v>
      </c>
      <c r="C28" s="741"/>
      <c r="D28" s="741"/>
      <c r="E28" s="741"/>
      <c r="F28" s="741"/>
      <c r="G28" s="741"/>
      <c r="H28" s="741"/>
      <c r="I28" s="741"/>
      <c r="J28" s="741"/>
      <c r="K28" s="741"/>
    </row>
    <row r="29" spans="2:13" hidden="1">
      <c r="D29" s="39">
        <f>SUM(D10:D25)</f>
        <v>42920000001</v>
      </c>
      <c r="E29" s="39">
        <f t="shared" ref="E29:J29" si="1">SUM(E10:E25)</f>
        <v>1546573343</v>
      </c>
      <c r="F29" s="39">
        <f t="shared" si="1"/>
        <v>49000000</v>
      </c>
      <c r="G29" s="39">
        <f t="shared" si="1"/>
        <v>0</v>
      </c>
      <c r="H29" s="39">
        <f t="shared" si="1"/>
        <v>241757977</v>
      </c>
      <c r="I29" s="39">
        <f t="shared" si="1"/>
        <v>9021905587.0499992</v>
      </c>
      <c r="J29" s="39">
        <f t="shared" si="1"/>
        <v>53788170092.050003</v>
      </c>
      <c r="K29" s="55">
        <f>+J26-'Balance Gral. Resol. 30'!G79</f>
        <v>0</v>
      </c>
    </row>
    <row r="30" spans="2:13" hidden="1"/>
    <row r="31" spans="2:13" hidden="1">
      <c r="C31" s="55">
        <f t="shared" ref="C31:I31" si="2">+C29-C26</f>
        <v>-8933184</v>
      </c>
      <c r="D31" s="55">
        <f t="shared" si="2"/>
        <v>156000000</v>
      </c>
      <c r="E31" s="55">
        <f t="shared" si="2"/>
        <v>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-156000000</v>
      </c>
      <c r="J31" s="55">
        <f>+J29-J26</f>
        <v>0</v>
      </c>
    </row>
    <row r="32" spans="2:13">
      <c r="J32" s="55">
        <f>+J26-'Balance Gral. Resol. 30'!G79</f>
        <v>0</v>
      </c>
      <c r="K32" s="55">
        <f>+K27-'[6]Estado de Variacion PN '!$J$26</f>
        <v>0</v>
      </c>
    </row>
    <row r="34" spans="10:11">
      <c r="J34" s="55"/>
      <c r="K34" s="55"/>
    </row>
  </sheetData>
  <mergeCells count="9">
    <mergeCell ref="B28:K28"/>
    <mergeCell ref="B2:K2"/>
    <mergeCell ref="C7:D7"/>
    <mergeCell ref="E7:G7"/>
    <mergeCell ref="H7:I7"/>
    <mergeCell ref="J7:K7"/>
    <mergeCell ref="B3:K3"/>
    <mergeCell ref="B4:K4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32794"/>
  </sheetPr>
  <dimension ref="A1:DG99"/>
  <sheetViews>
    <sheetView zoomScale="130" zoomScaleNormal="130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O1" sqref="O1"/>
    </sheetView>
  </sheetViews>
  <sheetFormatPr baseColWidth="10" defaultColWidth="11.44140625" defaultRowHeight="13.2"/>
  <cols>
    <col min="1" max="1" width="45.6640625" style="453" customWidth="1"/>
    <col min="2" max="2" width="28.33203125" style="453" bestFit="1" customWidth="1"/>
    <col min="3" max="3" width="18.44140625" style="453" bestFit="1" customWidth="1"/>
    <col min="4" max="4" width="19.33203125" style="453" bestFit="1" customWidth="1"/>
    <col min="5" max="5" width="17.33203125" style="453" bestFit="1" customWidth="1"/>
    <col min="6" max="6" width="16" style="453" customWidth="1"/>
    <col min="7" max="7" width="18.44140625" style="453" bestFit="1" customWidth="1"/>
    <col min="8" max="8" width="14.44140625" style="453" bestFit="1" customWidth="1"/>
    <col min="9" max="11" width="15.33203125" style="453" customWidth="1"/>
    <col min="12" max="12" width="18.44140625" style="453" customWidth="1"/>
    <col min="13" max="13" width="18.44140625" style="660" customWidth="1"/>
    <col min="14" max="14" width="20.109375" style="453" bestFit="1" customWidth="1"/>
    <col min="15" max="15" width="17.44140625" style="453" customWidth="1"/>
    <col min="16" max="16384" width="11.44140625" style="453"/>
  </cols>
  <sheetData>
    <row r="1" spans="1:15" ht="17.399999999999999">
      <c r="A1" s="451" t="s">
        <v>793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655"/>
      <c r="N1" s="452"/>
      <c r="O1" s="452"/>
    </row>
    <row r="2" spans="1:15" ht="17.399999999999999">
      <c r="A2" s="451"/>
      <c r="B2" s="452"/>
      <c r="C2" s="452"/>
      <c r="D2" s="452"/>
      <c r="E2" s="452"/>
      <c r="F2" s="452" t="s">
        <v>794</v>
      </c>
      <c r="G2" s="452" t="s">
        <v>795</v>
      </c>
      <c r="H2" s="452"/>
      <c r="I2" s="452"/>
      <c r="J2" s="452"/>
      <c r="K2" s="452"/>
      <c r="L2" s="452"/>
      <c r="M2" s="655"/>
      <c r="N2" s="452"/>
      <c r="O2" s="452"/>
    </row>
    <row r="3" spans="1:15" ht="18" thickBot="1">
      <c r="A3" s="451"/>
      <c r="B3" s="452"/>
      <c r="C3" s="452"/>
      <c r="D3" s="452"/>
      <c r="E3" s="452"/>
      <c r="F3" s="452" t="s">
        <v>796</v>
      </c>
      <c r="G3" s="452" t="s">
        <v>797</v>
      </c>
      <c r="H3" s="452"/>
      <c r="I3" s="452"/>
      <c r="J3" s="452"/>
      <c r="K3" s="452"/>
      <c r="L3" s="452"/>
      <c r="M3" s="655"/>
      <c r="N3" s="452"/>
      <c r="O3" s="452"/>
    </row>
    <row r="4" spans="1:15">
      <c r="A4" s="454"/>
      <c r="B4" s="455"/>
      <c r="C4" s="456"/>
      <c r="D4" s="457"/>
      <c r="E4" s="455"/>
      <c r="F4" s="455"/>
      <c r="G4" s="454"/>
      <c r="H4" s="458"/>
      <c r="I4" s="458"/>
      <c r="J4" s="458"/>
      <c r="K4" s="458"/>
      <c r="L4" s="458"/>
      <c r="M4" s="459" t="s">
        <v>798</v>
      </c>
      <c r="N4" s="459" t="s">
        <v>799</v>
      </c>
      <c r="O4" s="460"/>
    </row>
    <row r="5" spans="1:15" ht="13.8" thickBot="1">
      <c r="A5" s="461" t="s">
        <v>253</v>
      </c>
      <c r="B5" s="462" t="s">
        <v>800</v>
      </c>
      <c r="C5" s="463" t="s">
        <v>801</v>
      </c>
      <c r="D5" s="464"/>
      <c r="E5" s="462" t="s">
        <v>800</v>
      </c>
      <c r="F5" s="462" t="s">
        <v>802</v>
      </c>
      <c r="G5" s="465" t="s">
        <v>803</v>
      </c>
      <c r="H5" s="466"/>
      <c r="I5" s="466"/>
      <c r="J5" s="466"/>
      <c r="K5" s="466"/>
      <c r="L5" s="466"/>
      <c r="M5" s="462" t="s">
        <v>804</v>
      </c>
      <c r="N5" s="467" t="s">
        <v>805</v>
      </c>
      <c r="O5" s="468" t="s">
        <v>806</v>
      </c>
    </row>
    <row r="6" spans="1:15">
      <c r="A6" s="469"/>
      <c r="B6" s="462" t="s">
        <v>251</v>
      </c>
      <c r="C6" s="455"/>
      <c r="D6" s="470"/>
      <c r="E6" s="462" t="s">
        <v>251</v>
      </c>
      <c r="F6" s="459" t="s">
        <v>807</v>
      </c>
      <c r="G6" s="471" t="s">
        <v>808</v>
      </c>
      <c r="H6" s="459" t="s">
        <v>809</v>
      </c>
      <c r="I6" s="472" t="s">
        <v>810</v>
      </c>
      <c r="J6" s="472" t="s">
        <v>811</v>
      </c>
      <c r="K6" s="473" t="s">
        <v>812</v>
      </c>
      <c r="L6" s="474" t="s">
        <v>813</v>
      </c>
      <c r="M6" s="472" t="s">
        <v>814</v>
      </c>
      <c r="N6" s="472" t="s">
        <v>814</v>
      </c>
      <c r="O6" s="468"/>
    </row>
    <row r="7" spans="1:15" ht="14.4" thickBot="1">
      <c r="A7" s="475"/>
      <c r="B7" s="673">
        <f>+Indice!G5</f>
        <v>44742</v>
      </c>
      <c r="C7" s="477" t="s">
        <v>807</v>
      </c>
      <c r="D7" s="478" t="s">
        <v>98</v>
      </c>
      <c r="E7" s="476" t="s">
        <v>815</v>
      </c>
      <c r="F7" s="477" t="s">
        <v>816</v>
      </c>
      <c r="G7" s="479" t="s">
        <v>817</v>
      </c>
      <c r="H7" s="477" t="s">
        <v>818</v>
      </c>
      <c r="I7" s="480" t="s">
        <v>819</v>
      </c>
      <c r="J7" s="481" t="s">
        <v>820</v>
      </c>
      <c r="K7" s="481" t="s">
        <v>821</v>
      </c>
      <c r="L7" s="482" t="s">
        <v>822</v>
      </c>
      <c r="M7" s="480" t="s">
        <v>823</v>
      </c>
      <c r="N7" s="480" t="s">
        <v>823</v>
      </c>
      <c r="O7" s="483"/>
    </row>
    <row r="8" spans="1:15">
      <c r="A8" s="484" t="s">
        <v>824</v>
      </c>
      <c r="B8" s="485"/>
      <c r="C8" s="485"/>
      <c r="D8" s="486"/>
      <c r="E8" s="485"/>
      <c r="F8" s="485"/>
      <c r="G8" s="485"/>
      <c r="H8" s="485"/>
      <c r="I8" s="485"/>
      <c r="J8" s="485"/>
      <c r="K8" s="485"/>
      <c r="L8" s="485"/>
      <c r="M8" s="656"/>
      <c r="N8" s="485"/>
      <c r="O8" s="487"/>
    </row>
    <row r="9" spans="1:15">
      <c r="A9" s="488" t="s">
        <v>303</v>
      </c>
      <c r="B9" s="489">
        <f>+'Balance Gral. Resol. 30'!D14</f>
        <v>890764621</v>
      </c>
      <c r="C9" s="489"/>
      <c r="D9" s="490"/>
      <c r="E9" s="489">
        <f>+'Balance Gral. Resol. 30'!E14</f>
        <v>6045862180</v>
      </c>
      <c r="F9" s="489">
        <f t="shared" ref="F9:F21" si="0">B9-E9+C9-D9</f>
        <v>-5155097559</v>
      </c>
      <c r="G9" s="489"/>
      <c r="H9" s="489"/>
      <c r="I9" s="489"/>
      <c r="J9" s="489"/>
      <c r="K9" s="489"/>
      <c r="L9" s="489"/>
      <c r="M9" s="657"/>
      <c r="N9" s="489"/>
      <c r="O9" s="491">
        <f>F9</f>
        <v>-5155097559</v>
      </c>
    </row>
    <row r="10" spans="1:15" ht="13.8">
      <c r="A10" s="488" t="s">
        <v>825</v>
      </c>
      <c r="B10" s="492">
        <v>517257872</v>
      </c>
      <c r="C10" s="489"/>
      <c r="D10" s="490"/>
      <c r="E10" s="489">
        <v>517257872</v>
      </c>
      <c r="F10" s="489">
        <f t="shared" si="0"/>
        <v>0</v>
      </c>
      <c r="G10" s="489"/>
      <c r="H10" s="489"/>
      <c r="I10" s="489"/>
      <c r="J10" s="489"/>
      <c r="K10" s="489"/>
      <c r="L10" s="489">
        <f>-F10</f>
        <v>0</v>
      </c>
      <c r="M10" s="657"/>
      <c r="N10" s="489"/>
      <c r="O10" s="491"/>
    </row>
    <row r="11" spans="1:15">
      <c r="A11" s="493" t="s">
        <v>826</v>
      </c>
      <c r="B11" s="494">
        <v>0</v>
      </c>
      <c r="C11" s="494">
        <v>0</v>
      </c>
      <c r="D11" s="495"/>
      <c r="E11" s="494">
        <v>0</v>
      </c>
      <c r="F11" s="494">
        <f t="shared" si="0"/>
        <v>0</v>
      </c>
      <c r="G11" s="489"/>
      <c r="H11" s="489"/>
      <c r="I11" s="489"/>
      <c r="J11" s="489">
        <f>-F11</f>
        <v>0</v>
      </c>
      <c r="K11" s="489"/>
      <c r="L11" s="489"/>
      <c r="M11" s="657"/>
      <c r="N11" s="489"/>
      <c r="O11" s="491"/>
    </row>
    <row r="12" spans="1:15">
      <c r="A12" s="496" t="s">
        <v>391</v>
      </c>
      <c r="B12" s="497">
        <f>+'Balance Gral. Resol. 30'!D24</f>
        <v>14875549707</v>
      </c>
      <c r="C12" s="497"/>
      <c r="D12" s="498"/>
      <c r="E12" s="497">
        <f>+'Balance Gral. Resol. 30'!E24</f>
        <v>11358134441</v>
      </c>
      <c r="F12" s="489">
        <f t="shared" si="0"/>
        <v>3517415266</v>
      </c>
      <c r="G12" s="497">
        <f>-F12</f>
        <v>-3517415266</v>
      </c>
      <c r="H12" s="497"/>
      <c r="I12" s="497"/>
      <c r="J12" s="497"/>
      <c r="K12" s="497"/>
      <c r="L12" s="497"/>
      <c r="M12" s="658"/>
      <c r="N12" s="497"/>
      <c r="O12" s="499"/>
    </row>
    <row r="13" spans="1:15">
      <c r="A13" s="496" t="s">
        <v>827</v>
      </c>
      <c r="B13" s="497">
        <f>+'Balance Gral. Resol. 30'!D31-B12-B11-B10</f>
        <v>3465385897</v>
      </c>
      <c r="C13" s="497"/>
      <c r="D13" s="497"/>
      <c r="E13" s="497">
        <f>+'Balance Gral. Resol. 30'!E31-E12-E11-E10</f>
        <v>1717329918</v>
      </c>
      <c r="F13" s="489">
        <f t="shared" si="0"/>
        <v>1748055979</v>
      </c>
      <c r="H13" s="497"/>
      <c r="I13" s="497"/>
      <c r="J13" s="497"/>
      <c r="K13" s="497"/>
      <c r="L13" s="497">
        <f>-F13</f>
        <v>-1748055979</v>
      </c>
      <c r="M13" s="658"/>
      <c r="N13" s="497"/>
      <c r="O13" s="499"/>
    </row>
    <row r="14" spans="1:15">
      <c r="A14" s="500" t="s">
        <v>828</v>
      </c>
      <c r="B14" s="501">
        <v>0</v>
      </c>
      <c r="C14" s="501"/>
      <c r="D14" s="501"/>
      <c r="E14" s="501">
        <v>0</v>
      </c>
      <c r="F14" s="489">
        <f t="shared" si="0"/>
        <v>0</v>
      </c>
      <c r="G14" s="502"/>
      <c r="H14" s="502"/>
      <c r="I14" s="502"/>
      <c r="J14" s="502"/>
      <c r="K14" s="502"/>
      <c r="L14" s="502"/>
      <c r="M14" s="659"/>
      <c r="N14" s="502"/>
      <c r="O14" s="503"/>
    </row>
    <row r="15" spans="1:15">
      <c r="A15" s="496" t="s">
        <v>829</v>
      </c>
      <c r="B15" s="497">
        <f>+'Balance Gral. Resol. 30'!D22</f>
        <v>63051535007</v>
      </c>
      <c r="C15" s="497"/>
      <c r="D15" s="497">
        <f>+C40</f>
        <v>2541190411</v>
      </c>
      <c r="E15" s="497">
        <f>+'Balance Gral. Resol. 30'!E22</f>
        <v>126959384785</v>
      </c>
      <c r="F15" s="489">
        <f t="shared" si="0"/>
        <v>-66449040189</v>
      </c>
      <c r="G15" s="497"/>
      <c r="H15" s="497"/>
      <c r="I15" s="497"/>
      <c r="J15" s="497"/>
      <c r="K15" s="497"/>
      <c r="L15" s="497"/>
      <c r="M15" s="658">
        <f>-F15</f>
        <v>66449040189</v>
      </c>
      <c r="N15" s="497"/>
      <c r="O15" s="499"/>
    </row>
    <row r="16" spans="1:15">
      <c r="A16" s="496" t="s">
        <v>830</v>
      </c>
      <c r="B16" s="497">
        <f>+'Balance Gral. Resol. 30'!D50</f>
        <v>36064951703</v>
      </c>
      <c r="C16" s="497"/>
      <c r="D16" s="497">
        <f>+C34</f>
        <v>0</v>
      </c>
      <c r="E16" s="497">
        <f>+'Balance Gral. Resol. 30'!E50</f>
        <v>27055951703</v>
      </c>
      <c r="F16" s="489">
        <f t="shared" si="0"/>
        <v>9009000000</v>
      </c>
      <c r="G16" s="497"/>
      <c r="H16" s="497"/>
      <c r="I16" s="497"/>
      <c r="J16" s="497"/>
      <c r="K16" s="497"/>
      <c r="L16" s="497"/>
      <c r="M16" s="658">
        <f>-F16</f>
        <v>-9009000000</v>
      </c>
      <c r="N16" s="497"/>
      <c r="O16" s="499"/>
    </row>
    <row r="17" spans="1:18">
      <c r="A17" s="500" t="s">
        <v>831</v>
      </c>
      <c r="B17" s="501">
        <f>+'Balance Gral. Resol. 30'!D62</f>
        <v>13349751345</v>
      </c>
      <c r="C17" s="504"/>
      <c r="D17" s="501"/>
      <c r="E17" s="501">
        <f>+'Balance Gral. Resol. 30'!E62</f>
        <v>13290773438</v>
      </c>
      <c r="F17" s="489">
        <f t="shared" si="0"/>
        <v>58977907</v>
      </c>
      <c r="G17" s="497"/>
      <c r="H17" s="497"/>
      <c r="I17" s="497"/>
      <c r="J17" s="497"/>
      <c r="K17" s="497"/>
      <c r="L17" s="497"/>
      <c r="M17" s="658">
        <f>-F17</f>
        <v>-58977907</v>
      </c>
      <c r="N17" s="497"/>
      <c r="O17" s="499"/>
    </row>
    <row r="18" spans="1:18">
      <c r="A18" s="505" t="s">
        <v>832</v>
      </c>
      <c r="B18" s="506">
        <f>+'Balance Gral. Resol. 30'!D63</f>
        <v>-957359047</v>
      </c>
      <c r="C18" s="506">
        <v>0</v>
      </c>
      <c r="D18" s="507"/>
      <c r="E18" s="506">
        <f>+'Balance Gral. Resol. 30'!E63</f>
        <v>-957359047</v>
      </c>
      <c r="F18" s="508">
        <f t="shared" si="0"/>
        <v>0</v>
      </c>
      <c r="G18" s="502"/>
      <c r="H18" s="502"/>
      <c r="I18" s="502"/>
      <c r="J18" s="502"/>
      <c r="K18" s="502"/>
      <c r="L18" s="502"/>
      <c r="M18" s="659"/>
      <c r="N18" s="502"/>
      <c r="O18" s="503"/>
    </row>
    <row r="19" spans="1:18">
      <c r="A19" s="500" t="s">
        <v>833</v>
      </c>
      <c r="B19" s="501">
        <f>+'Balance Gral. Resol. 30'!D72-B20</f>
        <v>7455633387</v>
      </c>
      <c r="C19" s="504"/>
      <c r="D19" s="501"/>
      <c r="E19" s="501">
        <f>+'Balance Gral. Resol. 30'!E72-E20</f>
        <v>7432325857</v>
      </c>
      <c r="F19" s="489">
        <f t="shared" si="0"/>
        <v>23307530</v>
      </c>
      <c r="G19" s="497"/>
      <c r="H19" s="497"/>
      <c r="I19" s="497"/>
      <c r="J19" s="497"/>
      <c r="K19" s="497"/>
      <c r="L19" s="497"/>
      <c r="M19" s="658">
        <f>-F19</f>
        <v>-23307530</v>
      </c>
      <c r="N19" s="497"/>
      <c r="O19" s="499"/>
    </row>
    <row r="20" spans="1:18">
      <c r="A20" s="505" t="s">
        <v>834</v>
      </c>
      <c r="B20" s="506">
        <f>+'Balance Gral. Resol. 30'!D71</f>
        <v>-2634196428</v>
      </c>
      <c r="C20" s="506">
        <v>0</v>
      </c>
      <c r="D20" s="507"/>
      <c r="E20" s="506">
        <f>+'Balance Gral. Resol. 30'!E71</f>
        <v>-2634196428</v>
      </c>
      <c r="F20" s="508">
        <f t="shared" si="0"/>
        <v>0</v>
      </c>
      <c r="G20" s="502"/>
      <c r="H20" s="502"/>
      <c r="I20" s="502"/>
      <c r="J20" s="502"/>
      <c r="K20" s="502"/>
      <c r="L20" s="502"/>
      <c r="M20" s="659"/>
      <c r="N20" s="502"/>
      <c r="O20" s="503"/>
    </row>
    <row r="21" spans="1:18">
      <c r="A21" s="505" t="s">
        <v>835</v>
      </c>
      <c r="B21" s="506">
        <f>+'Balance Gral. Resol. 30'!D38</f>
        <v>463647061</v>
      </c>
      <c r="C21" s="506">
        <f>+D50</f>
        <v>11882694</v>
      </c>
      <c r="D21" s="507">
        <v>16931696</v>
      </c>
      <c r="E21" s="506">
        <f>+'Balance Gral. Resol. 30'!E38</f>
        <v>458598059</v>
      </c>
      <c r="F21" s="508">
        <f t="shared" si="0"/>
        <v>0</v>
      </c>
      <c r="G21" s="502"/>
      <c r="H21" s="502"/>
      <c r="I21" s="502"/>
      <c r="J21" s="502"/>
      <c r="K21" s="502"/>
      <c r="L21" s="502"/>
      <c r="M21" s="659">
        <f>-F21</f>
        <v>0</v>
      </c>
      <c r="N21" s="502"/>
      <c r="O21" s="503"/>
      <c r="P21" s="453">
        <v>8975342</v>
      </c>
      <c r="Q21" s="453">
        <v>105780824</v>
      </c>
      <c r="R21" s="453">
        <f>+Q21+P21</f>
        <v>114756166</v>
      </c>
    </row>
    <row r="22" spans="1:18" ht="13.8" thickBot="1">
      <c r="A22" s="512" t="s">
        <v>836</v>
      </c>
      <c r="B22" s="513">
        <f>SUM(B9:B21)</f>
        <v>136542921125</v>
      </c>
      <c r="C22" s="497"/>
      <c r="D22" s="497"/>
      <c r="E22" s="513">
        <f>SUM(E9:E21)</f>
        <v>191244062778</v>
      </c>
      <c r="F22" s="489">
        <v>0</v>
      </c>
      <c r="G22" s="497"/>
      <c r="H22" s="497"/>
      <c r="I22" s="497"/>
      <c r="J22" s="497"/>
      <c r="K22" s="497"/>
      <c r="L22" s="497"/>
      <c r="M22" s="658"/>
      <c r="N22" s="497"/>
      <c r="O22" s="499"/>
      <c r="P22" s="510">
        <v>1599667</v>
      </c>
      <c r="Q22" s="510">
        <v>9474951</v>
      </c>
      <c r="R22" s="510">
        <f>+Q22+P22</f>
        <v>11074618</v>
      </c>
    </row>
    <row r="23" spans="1:18" ht="13.8" thickTop="1">
      <c r="A23" s="514" t="s">
        <v>837</v>
      </c>
      <c r="B23" s="515">
        <f>+B22-'Balance Gral. Resol. 30'!D80</f>
        <v>0</v>
      </c>
      <c r="C23" s="516"/>
      <c r="D23" s="516"/>
      <c r="E23" s="515">
        <f>+E22-'Balance Gral. Resol. 30'!E80</f>
        <v>0</v>
      </c>
      <c r="F23" s="517">
        <f t="shared" ref="F23:F38" si="1">B23-E23+C23-D23</f>
        <v>0</v>
      </c>
      <c r="G23" s="497"/>
      <c r="H23" s="497"/>
      <c r="I23" s="497"/>
      <c r="J23" s="497"/>
      <c r="K23" s="497"/>
      <c r="L23" s="497"/>
      <c r="M23" s="658"/>
      <c r="N23" s="497"/>
      <c r="O23" s="499"/>
      <c r="P23" s="510">
        <v>4727013</v>
      </c>
      <c r="Q23" s="510">
        <v>30725588</v>
      </c>
      <c r="R23" s="510">
        <f>+Q23+P23</f>
        <v>35452601</v>
      </c>
    </row>
    <row r="24" spans="1:18">
      <c r="A24" s="496" t="s">
        <v>838</v>
      </c>
      <c r="B24" s="518">
        <f>-'Balance Gral. Resol. 30'!G22</f>
        <v>-69239561000</v>
      </c>
      <c r="C24" s="497">
        <f>+D51</f>
        <v>693831747</v>
      </c>
      <c r="D24" s="497">
        <f>-D21</f>
        <v>-16931696</v>
      </c>
      <c r="E24" s="518">
        <f>-'Balance Gral. Resol. 30'!H22</f>
        <v>-131066703957</v>
      </c>
      <c r="F24" s="489">
        <f t="shared" si="1"/>
        <v>62537906400</v>
      </c>
      <c r="G24" s="497"/>
      <c r="H24" s="497"/>
      <c r="I24" s="497"/>
      <c r="J24" s="497"/>
      <c r="K24" s="497"/>
      <c r="L24" s="497"/>
      <c r="M24" s="658"/>
      <c r="N24" s="497">
        <f>-F24</f>
        <v>-62537906400</v>
      </c>
      <c r="O24" s="499"/>
      <c r="P24" s="510">
        <v>5522903</v>
      </c>
      <c r="Q24" s="510">
        <v>52954902</v>
      </c>
      <c r="R24" s="510">
        <f>+Q24+P24</f>
        <v>58477805</v>
      </c>
    </row>
    <row r="25" spans="1:18">
      <c r="A25" s="496" t="s">
        <v>839</v>
      </c>
      <c r="B25" s="497">
        <f>-'Balance Gral. Resol. 30'!G11</f>
        <v>0</v>
      </c>
      <c r="C25" s="497">
        <f>+D31</f>
        <v>0</v>
      </c>
      <c r="D25" s="497"/>
      <c r="E25" s="497">
        <f>-'Balance Gral. Resol. 30'!H11</f>
        <v>-5726846168</v>
      </c>
      <c r="F25" s="489">
        <f t="shared" si="1"/>
        <v>5726846168</v>
      </c>
      <c r="G25" s="497">
        <f>-F25</f>
        <v>-5726846168</v>
      </c>
      <c r="H25" s="497"/>
      <c r="J25" s="497"/>
      <c r="K25" s="497"/>
      <c r="L25" s="497"/>
      <c r="M25" s="658"/>
      <c r="N25" s="497"/>
      <c r="O25" s="499"/>
      <c r="P25" s="510">
        <v>1172931</v>
      </c>
      <c r="Q25" s="510">
        <v>51608984</v>
      </c>
      <c r="R25" s="510">
        <f>+Q25+P25</f>
        <v>52781915</v>
      </c>
    </row>
    <row r="26" spans="1:18">
      <c r="A26" s="496" t="s">
        <v>840</v>
      </c>
      <c r="B26" s="497">
        <f>(+'Balance Gral. Resol. 30'!G12+'Balance Gral. Resol. 30'!G13+'Balance Gral. Resol. 30'!G31+'Balance Gral. Resol. 30'!G34+B28+'Balance Gral. Resol. 30'!G36)*-1</f>
        <v>-11774532195</v>
      </c>
      <c r="C26" s="497">
        <v>0</v>
      </c>
      <c r="D26" s="497"/>
      <c r="E26" s="497">
        <f>(+'Balance Gral. Resol. 30'!H12+'Balance Gral. Resol. 30'!H13+'Balance Gral. Resol. 30'!J31+'Balance Gral. Resol. 30'!H34+E28+'Balance Gral. Resol. 30'!H31)*-1</f>
        <v>-599590310</v>
      </c>
      <c r="F26" s="489">
        <f t="shared" si="1"/>
        <v>-11174941885</v>
      </c>
      <c r="G26" s="497"/>
      <c r="H26" s="497"/>
      <c r="I26" s="497"/>
      <c r="J26" s="497"/>
      <c r="K26" s="497"/>
      <c r="L26" s="497">
        <f>-F26</f>
        <v>11174941885</v>
      </c>
      <c r="M26" s="658"/>
      <c r="N26" s="497"/>
      <c r="O26" s="499"/>
      <c r="P26" s="515">
        <f>SUM(P21:P25)</f>
        <v>21997856</v>
      </c>
      <c r="Q26" s="515">
        <f>SUM(Q21:Q25)</f>
        <v>250545249</v>
      </c>
      <c r="R26" s="515">
        <f>SUM(R21:R25)</f>
        <v>272543105</v>
      </c>
    </row>
    <row r="27" spans="1:18">
      <c r="A27" s="496" t="s">
        <v>841</v>
      </c>
      <c r="B27" s="497">
        <v>0</v>
      </c>
      <c r="C27" s="497">
        <v>7500000000</v>
      </c>
      <c r="D27" s="497"/>
      <c r="E27" s="497">
        <v>0</v>
      </c>
      <c r="F27" s="489">
        <f t="shared" si="1"/>
        <v>7500000000</v>
      </c>
      <c r="G27" s="497"/>
      <c r="H27" s="497"/>
      <c r="I27" s="497"/>
      <c r="J27" s="497"/>
      <c r="K27" s="497"/>
      <c r="L27" s="497">
        <v>0</v>
      </c>
      <c r="M27" s="658"/>
      <c r="N27" s="497">
        <f>-F27</f>
        <v>-7500000000</v>
      </c>
      <c r="O27" s="499"/>
      <c r="P27" s="510"/>
      <c r="Q27" s="510"/>
      <c r="R27" s="510"/>
    </row>
    <row r="28" spans="1:18">
      <c r="A28" s="496" t="s">
        <v>842</v>
      </c>
      <c r="B28" s="497">
        <v>-1740657838</v>
      </c>
      <c r="C28" s="497"/>
      <c r="D28" s="497"/>
      <c r="E28" s="497">
        <v>-1740657838</v>
      </c>
      <c r="F28" s="489">
        <f t="shared" si="1"/>
        <v>0</v>
      </c>
      <c r="G28" s="497"/>
      <c r="H28" s="497"/>
      <c r="I28" s="497"/>
      <c r="J28" s="497">
        <f>-F28</f>
        <v>0</v>
      </c>
      <c r="K28" s="452"/>
      <c r="M28" s="658"/>
      <c r="N28" s="497"/>
      <c r="O28" s="499"/>
      <c r="P28" s="510"/>
      <c r="Q28" s="510"/>
      <c r="R28" s="510"/>
    </row>
    <row r="29" spans="1:18">
      <c r="A29" s="496" t="s">
        <v>843</v>
      </c>
      <c r="B29" s="497">
        <v>0</v>
      </c>
      <c r="C29" s="519"/>
      <c r="D29" s="497"/>
      <c r="E29" s="497">
        <v>0</v>
      </c>
      <c r="F29" s="489">
        <f t="shared" si="1"/>
        <v>0</v>
      </c>
      <c r="G29" s="497"/>
      <c r="H29" s="497"/>
      <c r="I29" s="497"/>
      <c r="J29" s="497"/>
      <c r="K29" s="497"/>
      <c r="L29" s="497">
        <f>-F29</f>
        <v>0</v>
      </c>
      <c r="M29" s="658"/>
      <c r="N29" s="497"/>
      <c r="O29" s="499"/>
      <c r="P29" s="510"/>
      <c r="Q29" s="510"/>
      <c r="R29" s="510"/>
    </row>
    <row r="30" spans="1:18">
      <c r="A30" s="520" t="s">
        <v>844</v>
      </c>
      <c r="B30" s="521">
        <f>-'Balance Gral. Resol. 30'!G65</f>
        <v>-42764000001</v>
      </c>
      <c r="C30" s="522">
        <v>15600000000</v>
      </c>
      <c r="D30" s="521"/>
      <c r="E30" s="521">
        <f>-'Balance Gral. Resol. 30'!H65</f>
        <v>-27164000001</v>
      </c>
      <c r="F30" s="508">
        <f t="shared" si="1"/>
        <v>0</v>
      </c>
      <c r="G30" s="497"/>
      <c r="H30" s="497"/>
      <c r="I30" s="497"/>
      <c r="J30" s="497"/>
      <c r="K30" s="497"/>
      <c r="L30" s="497"/>
      <c r="M30" s="658"/>
      <c r="N30" s="497">
        <f>-F30</f>
        <v>0</v>
      </c>
      <c r="O30" s="499"/>
      <c r="P30" s="510"/>
      <c r="Q30" s="510"/>
      <c r="R30" s="510"/>
    </row>
    <row r="31" spans="1:18">
      <c r="A31" s="496" t="s">
        <v>883</v>
      </c>
      <c r="B31" s="497">
        <f>-'Balance Gral. Resol. 30'!G73</f>
        <v>-8933184</v>
      </c>
      <c r="C31" s="452"/>
      <c r="D31" s="497">
        <v>0</v>
      </c>
      <c r="E31" s="497">
        <f>-'Balance Gral. Resol. 30'!H73</f>
        <v>-8933184</v>
      </c>
      <c r="F31" s="489">
        <f t="shared" si="1"/>
        <v>0</v>
      </c>
      <c r="G31" s="497"/>
      <c r="H31" s="497"/>
      <c r="I31" s="497"/>
      <c r="J31" s="497"/>
      <c r="K31" s="497"/>
      <c r="L31" s="497"/>
      <c r="M31" s="658"/>
      <c r="N31" s="497">
        <f>-F31</f>
        <v>0</v>
      </c>
      <c r="O31" s="499"/>
      <c r="P31" s="510"/>
      <c r="Q31" s="510"/>
      <c r="R31" s="510"/>
    </row>
    <row r="32" spans="1:18">
      <c r="A32" s="505" t="s">
        <v>845</v>
      </c>
      <c r="B32" s="506">
        <v>0</v>
      </c>
      <c r="C32" s="506">
        <v>0</v>
      </c>
      <c r="D32" s="506">
        <v>0</v>
      </c>
      <c r="E32" s="506">
        <v>0</v>
      </c>
      <c r="F32" s="508">
        <f t="shared" si="1"/>
        <v>0</v>
      </c>
      <c r="G32" s="502"/>
      <c r="H32" s="502"/>
      <c r="I32" s="502"/>
      <c r="J32" s="502"/>
      <c r="K32" s="502"/>
      <c r="L32" s="502"/>
      <c r="M32" s="659"/>
      <c r="N32" s="502"/>
      <c r="O32" s="503"/>
      <c r="P32" s="510"/>
      <c r="Q32" s="510"/>
      <c r="R32" s="510"/>
    </row>
    <row r="33" spans="1:111">
      <c r="A33" s="505" t="s">
        <v>846</v>
      </c>
      <c r="B33" s="506">
        <f>-'Balance Gral. Resol. 30'!G67</f>
        <v>-1546573343</v>
      </c>
      <c r="C33" s="506">
        <v>0</v>
      </c>
      <c r="D33" s="506"/>
      <c r="E33" s="506">
        <f>-'Balance Gral. Resol. 30'!H67</f>
        <v>-1546573343</v>
      </c>
      <c r="F33" s="508">
        <f t="shared" si="1"/>
        <v>0</v>
      </c>
      <c r="G33" s="502"/>
      <c r="H33" s="502"/>
      <c r="I33" s="502"/>
      <c r="J33" s="502"/>
      <c r="K33" s="502"/>
      <c r="L33" s="502"/>
      <c r="M33" s="659"/>
      <c r="N33" s="502"/>
      <c r="O33" s="503"/>
      <c r="P33" s="510"/>
      <c r="Q33" s="510"/>
      <c r="R33" s="510"/>
    </row>
    <row r="34" spans="1:111">
      <c r="A34" s="505" t="s">
        <v>847</v>
      </c>
      <c r="B34" s="506">
        <f>-'Balance Gral. Resol. 30'!G69</f>
        <v>-49000000</v>
      </c>
      <c r="C34" s="506">
        <v>0</v>
      </c>
      <c r="D34" s="506">
        <v>0</v>
      </c>
      <c r="E34" s="506">
        <f>-'Balance Gral. Resol. 30'!H69</f>
        <v>-49000000</v>
      </c>
      <c r="F34" s="508">
        <f t="shared" si="1"/>
        <v>0</v>
      </c>
      <c r="G34" s="502"/>
      <c r="H34" s="502"/>
      <c r="I34" s="502"/>
      <c r="J34" s="502"/>
      <c r="K34" s="502"/>
      <c r="L34" s="502"/>
      <c r="M34" s="659"/>
      <c r="N34" s="502"/>
      <c r="O34" s="503"/>
      <c r="P34" s="510"/>
      <c r="Q34" s="510"/>
      <c r="R34" s="510"/>
    </row>
    <row r="35" spans="1:111" s="511" customFormat="1">
      <c r="A35" s="505" t="s">
        <v>848</v>
      </c>
      <c r="B35" s="506">
        <f>-'Balance Gral. Resol. 30'!G76</f>
        <v>-241757977</v>
      </c>
      <c r="C35" s="506">
        <v>232346890</v>
      </c>
      <c r="D35" s="506">
        <v>0</v>
      </c>
      <c r="E35" s="506">
        <f>-'Balance Gral. Resol. 30'!H76</f>
        <v>-9411087</v>
      </c>
      <c r="F35" s="508">
        <f t="shared" si="1"/>
        <v>0</v>
      </c>
      <c r="G35" s="502"/>
      <c r="H35" s="502"/>
      <c r="I35" s="502"/>
      <c r="J35" s="502"/>
      <c r="K35" s="502"/>
      <c r="L35" s="502"/>
      <c r="M35" s="659"/>
      <c r="N35" s="502"/>
      <c r="O35" s="503"/>
      <c r="P35" s="510"/>
      <c r="Q35" s="510"/>
      <c r="R35" s="510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3"/>
      <c r="DB35" s="453"/>
      <c r="DC35" s="453"/>
      <c r="DD35" s="453"/>
      <c r="DE35" s="453"/>
      <c r="DF35" s="453"/>
      <c r="DG35" s="453"/>
    </row>
    <row r="36" spans="1:111" s="511" customFormat="1">
      <c r="A36" s="505" t="s">
        <v>849</v>
      </c>
      <c r="B36" s="523">
        <v>0</v>
      </c>
      <c r="C36" s="506"/>
      <c r="D36" s="506"/>
      <c r="E36" s="523">
        <v>0</v>
      </c>
      <c r="F36" s="508">
        <f t="shared" si="1"/>
        <v>0</v>
      </c>
      <c r="G36" s="502"/>
      <c r="H36" s="502"/>
      <c r="I36" s="502"/>
      <c r="J36" s="502"/>
      <c r="K36" s="502"/>
      <c r="L36" s="524"/>
      <c r="M36" s="659"/>
      <c r="N36" s="502"/>
      <c r="O36" s="503"/>
      <c r="P36" s="510"/>
      <c r="Q36" s="510"/>
      <c r="R36" s="510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3"/>
      <c r="DD36" s="453"/>
      <c r="DE36" s="453"/>
      <c r="DF36" s="453"/>
      <c r="DG36" s="453"/>
    </row>
    <row r="37" spans="1:111" s="511" customFormat="1" ht="13.8" thickBot="1">
      <c r="A37" s="505" t="s">
        <v>850</v>
      </c>
      <c r="B37" s="525">
        <f>-'Balance Gral. Resol. 30'!G77</f>
        <v>-9177905587.0499992</v>
      </c>
      <c r="C37" s="506">
        <f>+D54</f>
        <v>9177905587</v>
      </c>
      <c r="D37" s="526">
        <v>23332346890</v>
      </c>
      <c r="E37" s="525">
        <f>-'Balance Gral. Resol. 30'!H77</f>
        <v>-23332346890.369999</v>
      </c>
      <c r="F37" s="508">
        <f t="shared" si="1"/>
        <v>0.31999969482421875</v>
      </c>
      <c r="G37" s="502"/>
      <c r="H37" s="502"/>
      <c r="I37" s="502"/>
      <c r="J37" s="502"/>
      <c r="K37" s="502"/>
      <c r="L37" s="502"/>
      <c r="M37" s="659"/>
      <c r="N37" s="502"/>
      <c r="O37" s="503"/>
      <c r="P37" s="510"/>
      <c r="Q37" s="510"/>
      <c r="R37" s="510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</row>
    <row r="38" spans="1:111" ht="13.8" thickBot="1">
      <c r="A38" s="527" t="s">
        <v>851</v>
      </c>
      <c r="B38" s="513">
        <f>SUM(B24:B37)</f>
        <v>-136542921125.05</v>
      </c>
      <c r="C38" s="497"/>
      <c r="D38" s="497"/>
      <c r="E38" s="513">
        <f>SUM(E24:E37)</f>
        <v>-191244062778.37</v>
      </c>
      <c r="F38" s="489">
        <f t="shared" si="1"/>
        <v>54701141653.319992</v>
      </c>
      <c r="G38" s="497"/>
      <c r="H38" s="497"/>
      <c r="I38" s="497"/>
      <c r="J38" s="497"/>
      <c r="K38" s="497"/>
      <c r="L38" s="497"/>
      <c r="M38" s="658"/>
      <c r="N38" s="497"/>
      <c r="O38" s="499"/>
      <c r="P38" s="510"/>
      <c r="Q38" s="510"/>
      <c r="R38" s="510"/>
    </row>
    <row r="39" spans="1:111" ht="13.8" thickTop="1">
      <c r="A39" s="514" t="s">
        <v>852</v>
      </c>
      <c r="B39" s="528">
        <f>+B38+B22</f>
        <v>-5.00030517578125E-2</v>
      </c>
      <c r="C39" s="497"/>
      <c r="D39" s="497"/>
      <c r="E39" s="528">
        <f>+E38+E22</f>
        <v>-0.3699951171875</v>
      </c>
      <c r="F39" s="489">
        <v>0</v>
      </c>
      <c r="G39" s="497"/>
      <c r="H39" s="497"/>
      <c r="I39" s="497"/>
      <c r="J39" s="497"/>
      <c r="K39" s="497"/>
      <c r="L39" s="497"/>
      <c r="M39" s="658"/>
      <c r="N39" s="497"/>
      <c r="O39" s="499"/>
      <c r="P39" s="510"/>
      <c r="Q39" s="510"/>
      <c r="R39" s="510"/>
    </row>
    <row r="40" spans="1:111">
      <c r="A40" s="496" t="s">
        <v>853</v>
      </c>
      <c r="B40" s="497">
        <f>-'[4]EERR '!$B$5</f>
        <v>-274569801710</v>
      </c>
      <c r="C40" s="497">
        <f>+'[4]EEFF '!$B$126</f>
        <v>2541190411</v>
      </c>
      <c r="D40" s="497"/>
      <c r="E40" s="497"/>
      <c r="F40" s="489">
        <f t="shared" ref="F40:F52" si="2">B40-E40+C40-D40</f>
        <v>-272028611299</v>
      </c>
      <c r="G40" s="497">
        <f>-F40</f>
        <v>272028611299</v>
      </c>
      <c r="H40" s="497"/>
      <c r="I40" s="497"/>
      <c r="J40" s="497"/>
      <c r="K40" s="497"/>
      <c r="L40" s="497"/>
      <c r="M40" s="658"/>
      <c r="N40" s="497"/>
      <c r="O40" s="499"/>
    </row>
    <row r="41" spans="1:111">
      <c r="A41" s="496" t="s">
        <v>854</v>
      </c>
      <c r="B41" s="497">
        <f>-'[4]EERR '!$B$33</f>
        <v>-339680995</v>
      </c>
      <c r="C41" s="497"/>
      <c r="D41" s="497"/>
      <c r="E41" s="497"/>
      <c r="F41" s="489">
        <f t="shared" si="2"/>
        <v>-339680995</v>
      </c>
      <c r="G41" s="497"/>
      <c r="H41" s="497">
        <f>-F41</f>
        <v>339680995</v>
      </c>
      <c r="I41" s="497"/>
      <c r="J41" s="497"/>
      <c r="K41" s="497"/>
      <c r="L41" s="497"/>
      <c r="M41" s="658"/>
      <c r="N41" s="497"/>
      <c r="O41" s="499"/>
    </row>
    <row r="42" spans="1:111">
      <c r="A42" s="496" t="s">
        <v>855</v>
      </c>
      <c r="B42" s="497">
        <v>0</v>
      </c>
      <c r="C42" s="497"/>
      <c r="D42" s="497"/>
      <c r="E42" s="497"/>
      <c r="F42" s="489">
        <f t="shared" si="2"/>
        <v>0</v>
      </c>
      <c r="G42" s="497"/>
      <c r="H42" s="497"/>
      <c r="I42" s="497"/>
      <c r="J42" s="497"/>
      <c r="K42" s="497"/>
      <c r="L42" s="497"/>
      <c r="M42" s="658">
        <f>-F42</f>
        <v>0</v>
      </c>
      <c r="N42" s="497"/>
      <c r="O42" s="499"/>
    </row>
    <row r="43" spans="1:111">
      <c r="A43" s="496" t="s">
        <v>856</v>
      </c>
      <c r="B43" s="497">
        <v>0</v>
      </c>
      <c r="C43" s="497"/>
      <c r="D43" s="497"/>
      <c r="E43" s="497"/>
      <c r="F43" s="489">
        <f t="shared" si="2"/>
        <v>0</v>
      </c>
      <c r="G43" s="497"/>
      <c r="H43" s="497"/>
      <c r="I43" s="497"/>
      <c r="J43" s="497"/>
      <c r="K43" s="497"/>
      <c r="L43" s="497"/>
      <c r="M43" s="658">
        <f>-B43</f>
        <v>0</v>
      </c>
      <c r="N43" s="497"/>
      <c r="O43" s="499"/>
    </row>
    <row r="44" spans="1:111">
      <c r="A44" s="496" t="s">
        <v>857</v>
      </c>
      <c r="B44" s="497">
        <f>+'[4]EERR '!$B$37</f>
        <v>260456613911</v>
      </c>
      <c r="C44" s="497"/>
      <c r="D44" s="497"/>
      <c r="E44" s="497"/>
      <c r="F44" s="489">
        <f t="shared" si="2"/>
        <v>260456613911</v>
      </c>
      <c r="G44" s="497">
        <f>-F44</f>
        <v>-260456613911</v>
      </c>
      <c r="H44" s="497"/>
      <c r="I44" s="497"/>
      <c r="J44" s="497"/>
      <c r="K44" s="497"/>
      <c r="L44" s="497"/>
      <c r="M44" s="658"/>
      <c r="N44" s="497"/>
      <c r="O44" s="499"/>
    </row>
    <row r="45" spans="1:111">
      <c r="A45" s="496" t="s">
        <v>858</v>
      </c>
      <c r="B45" s="497">
        <f>+'[4]EERR '!$B$56</f>
        <v>1590964629</v>
      </c>
      <c r="C45" s="497"/>
      <c r="D45" s="497">
        <v>0</v>
      </c>
      <c r="E45" s="497"/>
      <c r="F45" s="489">
        <f t="shared" si="2"/>
        <v>1590964629</v>
      </c>
      <c r="G45" s="497"/>
      <c r="H45" s="497"/>
      <c r="I45" s="497"/>
      <c r="J45" s="497"/>
      <c r="K45" s="497">
        <f>-F45</f>
        <v>-1590964629</v>
      </c>
      <c r="L45" s="497"/>
      <c r="M45" s="658"/>
      <c r="N45" s="497"/>
      <c r="O45" s="499"/>
    </row>
    <row r="46" spans="1:111">
      <c r="A46" s="496" t="s">
        <v>859</v>
      </c>
      <c r="B46" s="497">
        <f>+'[4]EERR '!$B$52</f>
        <v>158656634</v>
      </c>
      <c r="C46" s="497"/>
      <c r="D46" s="497"/>
      <c r="E46" s="497"/>
      <c r="F46" s="489">
        <f t="shared" si="2"/>
        <v>158656634</v>
      </c>
      <c r="G46" s="497"/>
      <c r="H46" s="497"/>
      <c r="I46" s="497"/>
      <c r="J46" s="497"/>
      <c r="K46" s="497"/>
      <c r="L46" s="497">
        <f>-F46</f>
        <v>-158656634</v>
      </c>
      <c r="M46" s="658"/>
      <c r="N46" s="497"/>
      <c r="O46" s="499"/>
    </row>
    <row r="47" spans="1:111">
      <c r="A47" s="496" t="s">
        <v>860</v>
      </c>
      <c r="B47" s="518">
        <f>+'[4]EERR '!$B$55+'[4]EERR '!$B$87+'[4]EERR '!$B$93-B45-B50-B51+1</f>
        <v>2819627503</v>
      </c>
      <c r="C47" s="497"/>
      <c r="D47" s="529">
        <v>0</v>
      </c>
      <c r="E47" s="518"/>
      <c r="F47" s="489">
        <f t="shared" si="2"/>
        <v>2819627503</v>
      </c>
      <c r="G47" s="497"/>
      <c r="H47" s="497"/>
      <c r="I47" s="497"/>
      <c r="J47" s="497"/>
      <c r="K47" s="497"/>
      <c r="L47" s="497">
        <f>-F47</f>
        <v>-2819627503</v>
      </c>
      <c r="M47" s="658"/>
      <c r="N47" s="497"/>
      <c r="O47" s="499"/>
    </row>
    <row r="48" spans="1:111">
      <c r="A48" s="530" t="s">
        <v>861</v>
      </c>
      <c r="B48" s="531">
        <f>-'Estado de Resultado Resol. 30'!D99</f>
        <v>0</v>
      </c>
      <c r="C48" s="509"/>
      <c r="D48" s="532">
        <f>+B48</f>
        <v>0</v>
      </c>
      <c r="E48" s="531"/>
      <c r="F48" s="494">
        <f t="shared" si="2"/>
        <v>0</v>
      </c>
      <c r="G48" s="502"/>
      <c r="H48" s="502"/>
      <c r="I48" s="502"/>
      <c r="J48" s="502"/>
      <c r="K48" s="502"/>
      <c r="L48" s="502">
        <f>F48</f>
        <v>0</v>
      </c>
      <c r="M48" s="659"/>
      <c r="N48" s="502"/>
      <c r="O48" s="503"/>
    </row>
    <row r="49" spans="1:15">
      <c r="A49" s="533" t="s">
        <v>846</v>
      </c>
      <c r="B49" s="534">
        <v>0</v>
      </c>
      <c r="C49" s="509"/>
      <c r="D49" s="532"/>
      <c r="E49" s="531"/>
      <c r="F49" s="494">
        <f t="shared" si="2"/>
        <v>0</v>
      </c>
      <c r="G49" s="502"/>
      <c r="H49" s="502"/>
      <c r="I49" s="502"/>
      <c r="J49" s="502"/>
      <c r="K49" s="502"/>
      <c r="L49" s="502">
        <f>-F49</f>
        <v>0</v>
      </c>
      <c r="M49" s="659"/>
      <c r="N49" s="502"/>
      <c r="O49" s="503"/>
    </row>
    <row r="50" spans="1:15">
      <c r="A50" s="535" t="s">
        <v>862</v>
      </c>
      <c r="B50" s="531">
        <f>+'[4]EERR '!$B$74</f>
        <v>11882694</v>
      </c>
      <c r="C50" s="509"/>
      <c r="D50" s="532">
        <f>+B50</f>
        <v>11882694</v>
      </c>
      <c r="E50" s="531"/>
      <c r="F50" s="494">
        <f t="shared" si="2"/>
        <v>0</v>
      </c>
      <c r="G50" s="502"/>
      <c r="H50" s="502"/>
      <c r="I50" s="502"/>
      <c r="J50" s="502"/>
      <c r="K50" s="502"/>
      <c r="L50" s="502">
        <f>-F50</f>
        <v>0</v>
      </c>
      <c r="M50" s="659"/>
      <c r="N50" s="502"/>
      <c r="O50" s="503"/>
    </row>
    <row r="51" spans="1:15">
      <c r="A51" s="530" t="s">
        <v>863</v>
      </c>
      <c r="B51" s="509">
        <f>+'[4]EERR '!$B$89</f>
        <v>693831747</v>
      </c>
      <c r="C51" s="509"/>
      <c r="D51" s="532">
        <f>+B51</f>
        <v>693831747</v>
      </c>
      <c r="E51" s="509"/>
      <c r="F51" s="494">
        <f t="shared" si="2"/>
        <v>0</v>
      </c>
      <c r="G51" s="497"/>
      <c r="H51" s="497"/>
      <c r="I51" s="497"/>
      <c r="J51" s="497"/>
      <c r="K51" s="497"/>
      <c r="L51" s="497"/>
      <c r="M51" s="658"/>
      <c r="N51" s="497">
        <f>+L5-F51</f>
        <v>0</v>
      </c>
      <c r="O51" s="499"/>
    </row>
    <row r="52" spans="1:15">
      <c r="A52" s="530"/>
      <c r="B52" s="509">
        <v>0</v>
      </c>
      <c r="C52" s="509"/>
      <c r="D52" s="532"/>
      <c r="E52" s="509"/>
      <c r="F52" s="494">
        <f t="shared" si="2"/>
        <v>0</v>
      </c>
      <c r="G52" s="497"/>
      <c r="H52" s="497"/>
      <c r="I52" s="497"/>
      <c r="J52" s="497"/>
      <c r="K52" s="497"/>
      <c r="L52" s="497"/>
      <c r="M52" s="658"/>
      <c r="N52" s="497"/>
      <c r="O52" s="499"/>
    </row>
    <row r="53" spans="1:15" ht="13.8" thickBot="1">
      <c r="A53" s="533" t="s">
        <v>864</v>
      </c>
      <c r="B53" s="537">
        <f>+'Estado de Resultado Resol. 30'!D109</f>
        <v>0</v>
      </c>
      <c r="C53" s="538"/>
      <c r="D53" s="539">
        <f>+B53</f>
        <v>0</v>
      </c>
      <c r="E53" s="532"/>
      <c r="F53" s="540">
        <f>B53-E53+C53-D53</f>
        <v>0</v>
      </c>
      <c r="G53" s="541"/>
      <c r="H53" s="502"/>
      <c r="I53" s="502"/>
      <c r="J53" s="502"/>
      <c r="K53" s="502"/>
      <c r="L53" s="502">
        <f>-F53</f>
        <v>0</v>
      </c>
      <c r="M53" s="659"/>
      <c r="N53" s="502"/>
      <c r="O53" s="503"/>
    </row>
    <row r="54" spans="1:15" ht="13.8" thickBot="1">
      <c r="A54" s="542" t="s">
        <v>865</v>
      </c>
      <c r="B54" s="543">
        <f>SUM(B40:B53)*-1</f>
        <v>9177905587</v>
      </c>
      <c r="C54" s="509"/>
      <c r="D54" s="532">
        <f>+B54</f>
        <v>9177905587</v>
      </c>
      <c r="E54" s="532"/>
      <c r="F54" s="540">
        <f>B54-E54+C54-D54</f>
        <v>0</v>
      </c>
      <c r="G54" s="502"/>
      <c r="H54" s="502"/>
      <c r="I54" s="502"/>
      <c r="J54" s="502"/>
      <c r="K54" s="502"/>
      <c r="L54" s="502">
        <f>-F54</f>
        <v>0</v>
      </c>
      <c r="M54" s="659"/>
      <c r="N54" s="502"/>
      <c r="O54" s="503"/>
    </row>
    <row r="55" spans="1:15" ht="13.8" thickBot="1">
      <c r="A55" s="544" t="s">
        <v>866</v>
      </c>
      <c r="B55" s="545">
        <v>0</v>
      </c>
      <c r="C55" s="545"/>
      <c r="D55" s="545"/>
      <c r="E55" s="546"/>
      <c r="F55" s="489"/>
      <c r="G55" s="536"/>
      <c r="H55" s="536"/>
      <c r="I55" s="536"/>
      <c r="J55" s="536"/>
      <c r="K55" s="536"/>
      <c r="L55" s="497"/>
      <c r="M55" s="658"/>
      <c r="N55" s="536"/>
      <c r="O55" s="499"/>
    </row>
    <row r="56" spans="1:15" ht="14.4" thickBot="1">
      <c r="A56" s="547" t="s">
        <v>806</v>
      </c>
      <c r="B56" s="546"/>
      <c r="C56" s="546">
        <f>SUM(C9:C54)</f>
        <v>35757157329</v>
      </c>
      <c r="D56" s="546">
        <f>SUM(D9:D55)</f>
        <v>35757157329</v>
      </c>
      <c r="E56" s="546"/>
      <c r="F56" s="489">
        <f>B56-E56+C56-D56</f>
        <v>0</v>
      </c>
      <c r="G56" s="548">
        <f t="shared" ref="G56:N56" si="3">SUM(G9:G54)</f>
        <v>2327735954</v>
      </c>
      <c r="H56" s="548">
        <f t="shared" si="3"/>
        <v>339680995</v>
      </c>
      <c r="I56" s="548">
        <f t="shared" si="3"/>
        <v>0</v>
      </c>
      <c r="J56" s="548">
        <f t="shared" si="3"/>
        <v>0</v>
      </c>
      <c r="K56" s="548">
        <f t="shared" si="3"/>
        <v>-1590964629</v>
      </c>
      <c r="L56" s="548">
        <f t="shared" si="3"/>
        <v>6448601769</v>
      </c>
      <c r="M56" s="548">
        <f>SUM(M9:M54)</f>
        <v>57357754752</v>
      </c>
      <c r="N56" s="548">
        <f t="shared" si="3"/>
        <v>-70037906400</v>
      </c>
      <c r="O56" s="549">
        <f>SUM(F56:N56)</f>
        <v>-5155097559</v>
      </c>
    </row>
    <row r="57" spans="1:15" ht="15.6">
      <c r="B57" s="550">
        <f>+B54-'Estado de Resultado Resol. 30'!D111</f>
        <v>0</v>
      </c>
      <c r="D57" s="551">
        <f>D56-C56</f>
        <v>0</v>
      </c>
      <c r="L57" s="452"/>
      <c r="O57" s="552">
        <f>O56-O9</f>
        <v>0</v>
      </c>
    </row>
    <row r="58" spans="1:15">
      <c r="A58" s="553"/>
      <c r="B58" s="553"/>
      <c r="C58" s="553"/>
    </row>
    <row r="59" spans="1:15" ht="21">
      <c r="A59" s="554" t="s">
        <v>867</v>
      </c>
      <c r="B59" s="555"/>
      <c r="C59" s="555"/>
      <c r="D59" s="556"/>
      <c r="E59" s="556"/>
    </row>
    <row r="60" spans="1:15" ht="15">
      <c r="A60" s="557"/>
      <c r="B60" s="557"/>
      <c r="C60" s="557"/>
      <c r="D60" s="558"/>
      <c r="E60" s="558">
        <v>0</v>
      </c>
    </row>
    <row r="61" spans="1:15" ht="15">
      <c r="A61" s="559" t="s">
        <v>868</v>
      </c>
      <c r="B61" s="560">
        <f>+G56</f>
        <v>2327735954</v>
      </c>
      <c r="C61" s="561"/>
      <c r="D61" s="560"/>
      <c r="E61" s="558"/>
    </row>
    <row r="62" spans="1:15" ht="15">
      <c r="A62" s="559" t="s">
        <v>869</v>
      </c>
      <c r="B62" s="560">
        <f>+H56</f>
        <v>339680995</v>
      </c>
      <c r="C62" s="561"/>
      <c r="D62" s="560"/>
      <c r="E62" s="558"/>
    </row>
    <row r="63" spans="1:15" ht="15">
      <c r="A63" s="559" t="s">
        <v>870</v>
      </c>
      <c r="B63" s="560">
        <f>+I56</f>
        <v>0</v>
      </c>
      <c r="C63" s="561"/>
      <c r="D63" s="560"/>
      <c r="E63" s="558"/>
    </row>
    <row r="64" spans="1:15" ht="15">
      <c r="A64" s="559" t="s">
        <v>871</v>
      </c>
      <c r="B64" s="560">
        <f>+K56</f>
        <v>-1590964629</v>
      </c>
      <c r="C64" s="561"/>
      <c r="D64" s="560"/>
      <c r="E64" s="558"/>
    </row>
    <row r="65" spans="1:5" ht="15">
      <c r="A65" s="559" t="s">
        <v>872</v>
      </c>
      <c r="B65" s="560">
        <f>+L56</f>
        <v>6448601769</v>
      </c>
      <c r="C65" s="561"/>
      <c r="D65" s="560"/>
      <c r="E65" s="558"/>
    </row>
    <row r="66" spans="1:5" ht="15">
      <c r="A66" s="559" t="s">
        <v>216</v>
      </c>
      <c r="B66" s="560">
        <f>+J56</f>
        <v>0</v>
      </c>
      <c r="C66" s="561"/>
      <c r="D66" s="560"/>
      <c r="E66" s="558"/>
    </row>
    <row r="67" spans="1:5" ht="15">
      <c r="A67" s="557"/>
      <c r="B67" s="560"/>
      <c r="C67" s="561"/>
      <c r="D67" s="560"/>
      <c r="E67" s="558"/>
    </row>
    <row r="68" spans="1:5" ht="15.6">
      <c r="A68" s="562" t="s">
        <v>867</v>
      </c>
      <c r="B68" s="560"/>
      <c r="C68" s="563">
        <f>SUM(B61:B66)</f>
        <v>7525054089</v>
      </c>
      <c r="D68" s="560"/>
      <c r="E68" s="558"/>
    </row>
    <row r="69" spans="1:5" ht="15">
      <c r="A69" s="557"/>
      <c r="B69" s="560"/>
      <c r="C69" s="561"/>
      <c r="D69" s="560"/>
      <c r="E69" s="558"/>
    </row>
    <row r="70" spans="1:5" ht="15">
      <c r="A70" s="559" t="s">
        <v>873</v>
      </c>
      <c r="B70" s="564">
        <f>+M16</f>
        <v>-9009000000</v>
      </c>
      <c r="C70" s="561"/>
      <c r="D70" s="560"/>
      <c r="E70" s="558"/>
    </row>
    <row r="71" spans="1:5" ht="15">
      <c r="A71" s="559" t="s">
        <v>874</v>
      </c>
      <c r="B71" s="564">
        <f>+M17+M19</f>
        <v>-82285437</v>
      </c>
      <c r="C71" s="561"/>
      <c r="D71" s="560"/>
      <c r="E71" s="558"/>
    </row>
    <row r="72" spans="1:5" ht="15">
      <c r="A72" s="559" t="s">
        <v>235</v>
      </c>
      <c r="B72" s="564">
        <f>+M15</f>
        <v>66449040189</v>
      </c>
      <c r="C72" s="561"/>
      <c r="D72" s="560"/>
      <c r="E72" s="558"/>
    </row>
    <row r="73" spans="1:5" ht="15">
      <c r="A73" s="559" t="s">
        <v>236</v>
      </c>
      <c r="B73" s="564">
        <v>0</v>
      </c>
      <c r="C73" s="561"/>
      <c r="D73" s="560"/>
      <c r="E73" s="558"/>
    </row>
    <row r="74" spans="1:5" ht="15">
      <c r="A74" s="559" t="s">
        <v>237</v>
      </c>
      <c r="B74" s="564">
        <v>0</v>
      </c>
      <c r="C74" s="561"/>
      <c r="D74" s="560"/>
      <c r="E74" s="558"/>
    </row>
    <row r="75" spans="1:5" ht="15">
      <c r="A75" s="559"/>
      <c r="B75" s="564"/>
      <c r="C75" s="561"/>
      <c r="D75" s="560"/>
      <c r="E75" s="558"/>
    </row>
    <row r="76" spans="1:5" ht="15">
      <c r="A76" s="559"/>
      <c r="B76" s="560">
        <v>0</v>
      </c>
      <c r="C76" s="561"/>
      <c r="D76" s="560"/>
      <c r="E76" s="558"/>
    </row>
    <row r="77" spans="1:5" ht="15">
      <c r="A77" s="557"/>
      <c r="B77" s="560"/>
      <c r="C77" s="561"/>
      <c r="D77" s="560"/>
      <c r="E77" s="558"/>
    </row>
    <row r="78" spans="1:5" ht="15.6">
      <c r="A78" s="562" t="s">
        <v>875</v>
      </c>
      <c r="B78" s="560"/>
      <c r="C78" s="563">
        <f>SUM(B70:B76)</f>
        <v>57357754752</v>
      </c>
      <c r="D78" s="560">
        <f>+C78-M56</f>
        <v>0</v>
      </c>
      <c r="E78" s="558"/>
    </row>
    <row r="79" spans="1:5" ht="15">
      <c r="A79" s="557"/>
      <c r="B79" s="560"/>
      <c r="C79" s="561"/>
      <c r="D79" s="560"/>
      <c r="E79" s="558"/>
    </row>
    <row r="80" spans="1:5" ht="15.6">
      <c r="A80" s="562" t="s">
        <v>876</v>
      </c>
      <c r="B80" s="560"/>
      <c r="C80" s="561"/>
      <c r="D80" s="560"/>
      <c r="E80" s="558"/>
    </row>
    <row r="81" spans="1:5" ht="15">
      <c r="A81" s="557"/>
      <c r="B81" s="560"/>
      <c r="C81" s="561"/>
      <c r="D81" s="560"/>
      <c r="E81" s="558"/>
    </row>
    <row r="82" spans="1:5" ht="15">
      <c r="A82" s="559" t="s">
        <v>877</v>
      </c>
      <c r="B82" s="560">
        <f>+N24</f>
        <v>-62537906400</v>
      </c>
      <c r="C82" s="561"/>
      <c r="D82" s="560"/>
      <c r="E82" s="558"/>
    </row>
    <row r="83" spans="1:5" ht="15">
      <c r="A83" s="559" t="s">
        <v>242</v>
      </c>
      <c r="B83" s="564">
        <f>+N27</f>
        <v>-7500000000</v>
      </c>
      <c r="C83" s="561"/>
      <c r="D83" s="560"/>
      <c r="E83" s="558"/>
    </row>
    <row r="84" spans="1:5" ht="15">
      <c r="A84" s="559" t="s">
        <v>878</v>
      </c>
      <c r="B84" s="560">
        <f>+N31+N30</f>
        <v>0</v>
      </c>
      <c r="C84" s="561"/>
      <c r="D84" s="560"/>
      <c r="E84" s="558"/>
    </row>
    <row r="85" spans="1:5" ht="15">
      <c r="A85" s="557"/>
      <c r="B85" s="560"/>
      <c r="C85" s="561"/>
      <c r="D85" s="560"/>
      <c r="E85" s="558"/>
    </row>
    <row r="86" spans="1:5" ht="15.6">
      <c r="A86" s="562" t="s">
        <v>879</v>
      </c>
      <c r="B86" s="560"/>
      <c r="C86" s="563">
        <f>SUM(B82:B84)</f>
        <v>-70037906400</v>
      </c>
      <c r="D86" s="560"/>
      <c r="E86" s="558"/>
    </row>
    <row r="87" spans="1:5" ht="15">
      <c r="A87" s="557"/>
      <c r="B87" s="560"/>
      <c r="C87" s="561"/>
      <c r="D87" s="560"/>
      <c r="E87" s="558"/>
    </row>
    <row r="88" spans="1:5" ht="15.6">
      <c r="A88" s="559" t="s">
        <v>880</v>
      </c>
      <c r="B88" s="560"/>
      <c r="C88" s="561">
        <f>C86+C78+C68</f>
        <v>-5155097559</v>
      </c>
      <c r="D88" s="560">
        <f>O56</f>
        <v>-5155097559</v>
      </c>
      <c r="E88" s="565">
        <f>D88-C88</f>
        <v>0</v>
      </c>
    </row>
    <row r="89" spans="1:5" ht="15.6">
      <c r="A89" s="559" t="s">
        <v>881</v>
      </c>
      <c r="B89" s="560"/>
      <c r="C89" s="561">
        <f>+E9</f>
        <v>6045862180</v>
      </c>
      <c r="D89" s="560"/>
      <c r="E89" s="565"/>
    </row>
    <row r="90" spans="1:5" ht="15.6">
      <c r="A90" s="562" t="s">
        <v>882</v>
      </c>
      <c r="B90" s="566"/>
      <c r="C90" s="566">
        <f>SUM(C88:C89)</f>
        <v>890764621</v>
      </c>
      <c r="D90" s="560">
        <f>B9</f>
        <v>890764621</v>
      </c>
      <c r="E90" s="565">
        <f>D90-C90</f>
        <v>0</v>
      </c>
    </row>
    <row r="91" spans="1:5" ht="15">
      <c r="A91" s="558"/>
      <c r="B91" s="558"/>
      <c r="C91" s="558"/>
      <c r="D91" s="558"/>
      <c r="E91" s="558"/>
    </row>
    <row r="92" spans="1:5" ht="15">
      <c r="A92" s="558"/>
      <c r="B92" s="558"/>
      <c r="C92" s="558"/>
      <c r="D92" s="558"/>
      <c r="E92" s="558"/>
    </row>
    <row r="93" spans="1:5" ht="15">
      <c r="A93" s="558"/>
      <c r="B93" s="558"/>
      <c r="C93" s="567"/>
      <c r="D93" s="558"/>
      <c r="E93" s="558"/>
    </row>
    <row r="94" spans="1:5" ht="15">
      <c r="A94" s="558"/>
      <c r="B94" s="558"/>
      <c r="C94" s="558"/>
      <c r="D94" s="558"/>
      <c r="E94" s="558"/>
    </row>
    <row r="95" spans="1:5" ht="15">
      <c r="A95" s="558"/>
      <c r="B95" s="558"/>
      <c r="C95" s="558"/>
      <c r="D95" s="558"/>
      <c r="E95" s="558"/>
    </row>
    <row r="96" spans="1:5" ht="15">
      <c r="A96" s="558"/>
      <c r="B96" s="558"/>
      <c r="C96" s="558"/>
      <c r="D96" s="558"/>
      <c r="E96" s="558"/>
    </row>
    <row r="97" spans="1:5" ht="15">
      <c r="A97" s="558"/>
      <c r="B97" s="558"/>
      <c r="C97" s="558"/>
      <c r="D97" s="558"/>
      <c r="E97" s="558"/>
    </row>
    <row r="98" spans="1:5" ht="15">
      <c r="A98" s="558"/>
      <c r="B98" s="558"/>
      <c r="C98" s="558"/>
      <c r="D98" s="558"/>
      <c r="E98" s="558"/>
    </row>
    <row r="99" spans="1:5" ht="15">
      <c r="A99" s="558"/>
      <c r="B99" s="558"/>
      <c r="C99" s="558"/>
      <c r="D99" s="558"/>
      <c r="E99" s="55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002060"/>
  </sheetPr>
  <dimension ref="B1:H58"/>
  <sheetViews>
    <sheetView showGridLines="0" topLeftCell="A6" zoomScale="120" zoomScaleNormal="120" workbookViewId="0">
      <selection activeCell="E92" sqref="E92"/>
    </sheetView>
  </sheetViews>
  <sheetFormatPr baseColWidth="10" defaultColWidth="9.109375" defaultRowHeight="12"/>
  <cols>
    <col min="1" max="1" width="5.6640625" style="25" customWidth="1"/>
    <col min="2" max="2" width="74.44140625" style="25" customWidth="1"/>
    <col min="3" max="5" width="11.44140625" style="25" customWidth="1"/>
    <col min="6" max="8" width="11.44140625" style="25" hidden="1" customWidth="1"/>
    <col min="9" max="255" width="11.44140625" style="25" customWidth="1"/>
    <col min="256" max="16384" width="9.109375" style="25"/>
  </cols>
  <sheetData>
    <row r="1" spans="2:4" ht="44.4" customHeight="1"/>
    <row r="2" spans="2:4" ht="15.6">
      <c r="B2" s="444" t="s">
        <v>268</v>
      </c>
    </row>
    <row r="3" spans="2:4">
      <c r="B3" s="194" t="s">
        <v>269</v>
      </c>
      <c r="C3" s="26"/>
      <c r="D3" s="26"/>
    </row>
    <row r="4" spans="2:4">
      <c r="B4" s="26"/>
    </row>
    <row r="5" spans="2:4" ht="36">
      <c r="B5" s="259" t="s">
        <v>1039</v>
      </c>
    </row>
    <row r="6" spans="2:4">
      <c r="B6" s="28"/>
    </row>
    <row r="7" spans="2:4">
      <c r="B7" s="26" t="s">
        <v>270</v>
      </c>
      <c r="C7" s="26"/>
      <c r="D7" s="26"/>
    </row>
    <row r="8" spans="2:4">
      <c r="B8" s="28"/>
    </row>
    <row r="9" spans="2:4">
      <c r="B9" s="27" t="s">
        <v>528</v>
      </c>
    </row>
    <row r="10" spans="2:4">
      <c r="B10" s="27"/>
    </row>
    <row r="11" spans="2:4" ht="60">
      <c r="B11" s="27" t="s">
        <v>529</v>
      </c>
    </row>
    <row r="12" spans="2:4">
      <c r="B12" s="28"/>
    </row>
    <row r="13" spans="2:4" ht="36">
      <c r="B13" s="28" t="s">
        <v>271</v>
      </c>
    </row>
    <row r="14" spans="2:4">
      <c r="B14" s="28"/>
    </row>
    <row r="15" spans="2:4">
      <c r="B15" s="28" t="s">
        <v>272</v>
      </c>
      <c r="D15" s="28"/>
    </row>
    <row r="16" spans="2:4" ht="14.4" customHeight="1">
      <c r="B16" s="443"/>
    </row>
    <row r="17" spans="2:5" ht="24">
      <c r="B17" s="28" t="s">
        <v>273</v>
      </c>
    </row>
    <row r="18" spans="2:5">
      <c r="B18" s="28" t="s">
        <v>274</v>
      </c>
    </row>
    <row r="19" spans="2:5">
      <c r="B19" s="28" t="s">
        <v>275</v>
      </c>
    </row>
    <row r="20" spans="2:5">
      <c r="B20" s="28" t="s">
        <v>276</v>
      </c>
    </row>
    <row r="21" spans="2:5">
      <c r="B21" s="28" t="s">
        <v>277</v>
      </c>
    </row>
    <row r="22" spans="2:5" ht="24">
      <c r="B22" s="28" t="s">
        <v>278</v>
      </c>
    </row>
    <row r="23" spans="2:5" ht="24">
      <c r="B23" s="28" t="s">
        <v>279</v>
      </c>
    </row>
    <row r="24" spans="2:5" ht="24">
      <c r="B24" s="28" t="s">
        <v>280</v>
      </c>
    </row>
    <row r="25" spans="2:5" ht="36">
      <c r="B25" s="28" t="s">
        <v>281</v>
      </c>
    </row>
    <row r="26" spans="2:5">
      <c r="B26" s="27"/>
    </row>
    <row r="27" spans="2:5">
      <c r="B27" s="27" t="s">
        <v>530</v>
      </c>
    </row>
    <row r="28" spans="2:5">
      <c r="B28" s="260"/>
    </row>
    <row r="29" spans="2:5" ht="48">
      <c r="B29" s="28" t="s">
        <v>1034</v>
      </c>
    </row>
    <row r="30" spans="2:5" ht="37.200000000000003" customHeight="1">
      <c r="B30" s="28" t="s">
        <v>1035</v>
      </c>
      <c r="D30" s="39"/>
      <c r="E30" s="39"/>
    </row>
    <row r="31" spans="2:5" ht="46.95" customHeight="1">
      <c r="B31" s="28" t="s">
        <v>609</v>
      </c>
    </row>
    <row r="32" spans="2:5" ht="32.4" customHeight="1">
      <c r="B32" s="28" t="s">
        <v>608</v>
      </c>
    </row>
    <row r="33" spans="2:6" ht="32.4" customHeight="1">
      <c r="B33" s="28" t="s">
        <v>1036</v>
      </c>
    </row>
    <row r="34" spans="2:6" ht="24">
      <c r="B34" s="28" t="s">
        <v>502</v>
      </c>
    </row>
    <row r="35" spans="2:6">
      <c r="B35" s="28"/>
    </row>
    <row r="36" spans="2:6">
      <c r="B36" s="26" t="s">
        <v>282</v>
      </c>
      <c r="C36" s="26"/>
      <c r="D36" s="26"/>
    </row>
    <row r="37" spans="2:6">
      <c r="B37" s="28"/>
    </row>
    <row r="38" spans="2:6">
      <c r="B38" s="27" t="s">
        <v>283</v>
      </c>
    </row>
    <row r="39" spans="2:6" ht="24">
      <c r="B39" s="28" t="s">
        <v>945</v>
      </c>
    </row>
    <row r="40" spans="2:6">
      <c r="B40" s="28"/>
    </row>
    <row r="41" spans="2:6">
      <c r="B41" s="27" t="s">
        <v>284</v>
      </c>
    </row>
    <row r="42" spans="2:6" ht="27" customHeight="1">
      <c r="B42" s="28" t="s">
        <v>946</v>
      </c>
      <c r="C42" s="28"/>
      <c r="D42" s="28"/>
      <c r="E42" s="28"/>
      <c r="F42" s="28"/>
    </row>
    <row r="43" spans="2:6">
      <c r="B43" s="28"/>
    </row>
    <row r="44" spans="2:6">
      <c r="B44" s="27" t="s">
        <v>285</v>
      </c>
    </row>
    <row r="45" spans="2:6">
      <c r="B45" s="28" t="s">
        <v>286</v>
      </c>
    </row>
    <row r="46" spans="2:6">
      <c r="B46" s="27"/>
    </row>
    <row r="47" spans="2:6">
      <c r="B47" s="27" t="s">
        <v>531</v>
      </c>
    </row>
    <row r="48" spans="2:6">
      <c r="B48" s="28" t="s">
        <v>580</v>
      </c>
    </row>
    <row r="49" spans="2:4">
      <c r="B49" s="28" t="s">
        <v>287</v>
      </c>
    </row>
    <row r="50" spans="2:4">
      <c r="B50" s="28"/>
    </row>
    <row r="51" spans="2:4">
      <c r="B51" s="27" t="s">
        <v>288</v>
      </c>
    </row>
    <row r="52" spans="2:4" ht="36">
      <c r="B52" s="28" t="s">
        <v>289</v>
      </c>
    </row>
    <row r="53" spans="2:4">
      <c r="B53" s="28"/>
    </row>
    <row r="54" spans="2:4">
      <c r="B54" s="27" t="s">
        <v>290</v>
      </c>
    </row>
    <row r="55" spans="2:4" ht="24">
      <c r="B55" s="28" t="s">
        <v>291</v>
      </c>
    </row>
    <row r="56" spans="2:4">
      <c r="B56" s="26"/>
    </row>
    <row r="57" spans="2:4">
      <c r="B57" s="26" t="s">
        <v>292</v>
      </c>
      <c r="C57" s="26"/>
      <c r="D57" s="26"/>
    </row>
    <row r="58" spans="2:4">
      <c r="B58" s="84" t="s">
        <v>293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C1:L102"/>
  <sheetViews>
    <sheetView showGridLines="0" zoomScaleNormal="100" workbookViewId="0">
      <selection activeCell="E92" sqref="E92"/>
    </sheetView>
  </sheetViews>
  <sheetFormatPr baseColWidth="10" defaultColWidth="11.44140625" defaultRowHeight="12"/>
  <cols>
    <col min="1" max="1" width="3" style="25" customWidth="1"/>
    <col min="2" max="2" width="5.6640625" style="25" customWidth="1"/>
    <col min="3" max="3" width="47.44140625" style="25" bestFit="1" customWidth="1"/>
    <col min="4" max="4" width="11.88671875" style="25" bestFit="1" customWidth="1"/>
    <col min="5" max="5" width="15.44140625" style="25" bestFit="1" customWidth="1"/>
    <col min="6" max="6" width="9.88671875" style="25" hidden="1" customWidth="1"/>
    <col min="7" max="7" width="13.6640625" style="39" hidden="1" customWidth="1"/>
    <col min="8" max="8" width="13.109375" style="25" hidden="1" customWidth="1"/>
    <col min="9" max="9" width="12.44140625" style="25" customWidth="1"/>
    <col min="10" max="10" width="13.88671875" style="25" bestFit="1" customWidth="1"/>
    <col min="11" max="11" width="14.33203125" style="25" bestFit="1" customWidth="1"/>
    <col min="12" max="12" width="14.109375" style="25" bestFit="1" customWidth="1"/>
    <col min="13" max="16384" width="11.44140625" style="25"/>
  </cols>
  <sheetData>
    <row r="1" spans="3:11">
      <c r="C1" s="24"/>
    </row>
    <row r="2" spans="3:11" ht="40.950000000000003" customHeight="1"/>
    <row r="3" spans="3:11" ht="26.4" customHeight="1">
      <c r="C3" s="742" t="s">
        <v>294</v>
      </c>
      <c r="D3" s="742"/>
      <c r="E3" s="742"/>
      <c r="F3" s="742"/>
      <c r="G3" s="742"/>
      <c r="H3" s="742"/>
      <c r="I3" s="742"/>
      <c r="J3" s="742"/>
      <c r="K3" s="742"/>
    </row>
    <row r="4" spans="3:11" ht="14.4">
      <c r="C4" s="411" t="s">
        <v>666</v>
      </c>
      <c r="D4" s="407"/>
      <c r="E4" s="407"/>
      <c r="F4" s="407"/>
      <c r="G4" s="407"/>
      <c r="H4" s="407"/>
      <c r="I4" s="407"/>
      <c r="J4" s="407"/>
      <c r="K4" s="407"/>
    </row>
    <row r="5" spans="3:11" ht="18.75" customHeight="1">
      <c r="C5" s="27" t="s">
        <v>511</v>
      </c>
    </row>
    <row r="6" spans="3:11">
      <c r="C6" s="28"/>
    </row>
    <row r="7" spans="3:11">
      <c r="C7" s="29" t="s">
        <v>295</v>
      </c>
      <c r="D7" s="30">
        <v>44742</v>
      </c>
      <c r="E7" s="30">
        <v>44561</v>
      </c>
    </row>
    <row r="8" spans="3:11">
      <c r="C8" s="31" t="s">
        <v>296</v>
      </c>
      <c r="D8" s="32">
        <v>6837.71</v>
      </c>
      <c r="E8" s="32">
        <v>6870.81</v>
      </c>
    </row>
    <row r="9" spans="3:11">
      <c r="C9" s="33" t="s">
        <v>297</v>
      </c>
      <c r="D9" s="32">
        <v>6850.05</v>
      </c>
      <c r="E9" s="32">
        <v>6887.4</v>
      </c>
    </row>
    <row r="11" spans="3:11">
      <c r="C11" s="27" t="s">
        <v>512</v>
      </c>
    </row>
    <row r="12" spans="3:11">
      <c r="C12" s="27"/>
    </row>
    <row r="13" spans="3:11" ht="12.6" thickBot="1">
      <c r="C13" s="34" t="s">
        <v>298</v>
      </c>
    </row>
    <row r="14" spans="3:11" ht="15" customHeight="1">
      <c r="D14" s="750" t="str">
        <f>+'Balance Gral. Resol. 30'!D8</f>
        <v>PERIODO ACTUAL 30/06/ 2022</v>
      </c>
      <c r="E14" s="751"/>
      <c r="F14" s="751"/>
      <c r="G14" s="752"/>
      <c r="H14" s="750" t="str">
        <f>+'Balance Gral. Resol. 30'!E8</f>
        <v>PERIODO ANTERIOR   31/12/ 2021</v>
      </c>
      <c r="I14" s="751"/>
      <c r="J14" s="751"/>
      <c r="K14" s="752"/>
    </row>
    <row r="15" spans="3:11" ht="15" customHeight="1" thickBot="1">
      <c r="D15" s="753"/>
      <c r="E15" s="754"/>
      <c r="F15" s="754"/>
      <c r="G15" s="755"/>
      <c r="H15" s="753"/>
      <c r="I15" s="754"/>
      <c r="J15" s="754"/>
      <c r="K15" s="755"/>
    </row>
    <row r="16" spans="3:11" ht="48">
      <c r="C16" s="29" t="s">
        <v>299</v>
      </c>
      <c r="D16" s="155" t="s">
        <v>300</v>
      </c>
      <c r="E16" s="155" t="s">
        <v>301</v>
      </c>
      <c r="F16" s="155" t="s">
        <v>624</v>
      </c>
      <c r="G16" s="384" t="s">
        <v>622</v>
      </c>
      <c r="H16" s="155" t="s">
        <v>300</v>
      </c>
      <c r="I16" s="155" t="s">
        <v>301</v>
      </c>
      <c r="J16" s="155" t="s">
        <v>625</v>
      </c>
      <c r="K16" s="155" t="s">
        <v>623</v>
      </c>
    </row>
    <row r="17" spans="3:12">
      <c r="C17" s="36" t="s">
        <v>32</v>
      </c>
      <c r="D17" s="37"/>
      <c r="E17" s="37"/>
      <c r="F17" s="37"/>
      <c r="G17" s="381"/>
      <c r="H17" s="37"/>
      <c r="I17" s="37"/>
      <c r="J17" s="37"/>
      <c r="K17" s="37"/>
    </row>
    <row r="18" spans="3:12">
      <c r="C18" s="36" t="s">
        <v>302</v>
      </c>
      <c r="D18" s="37"/>
      <c r="E18" s="37"/>
      <c r="F18" s="37"/>
      <c r="G18" s="381"/>
      <c r="H18" s="37"/>
      <c r="I18" s="37"/>
      <c r="J18" s="37"/>
      <c r="K18" s="37"/>
    </row>
    <row r="19" spans="3:12">
      <c r="C19" s="36" t="s">
        <v>303</v>
      </c>
      <c r="D19" s="37"/>
      <c r="E19" s="38"/>
      <c r="F19" s="37"/>
      <c r="G19" s="381"/>
      <c r="H19" s="37"/>
      <c r="I19" s="38"/>
      <c r="J19" s="37"/>
      <c r="K19" s="37"/>
      <c r="L19" s="39"/>
    </row>
    <row r="20" spans="3:12">
      <c r="C20" s="37" t="s">
        <v>39</v>
      </c>
      <c r="D20" s="40" t="s">
        <v>304</v>
      </c>
      <c r="E20" s="41">
        <v>0</v>
      </c>
      <c r="F20" s="42">
        <f>+D8</f>
        <v>6837.71</v>
      </c>
      <c r="G20" s="379">
        <f>+F20*E20</f>
        <v>0</v>
      </c>
      <c r="H20" s="40" t="s">
        <v>304</v>
      </c>
      <c r="I20" s="41">
        <v>0</v>
      </c>
      <c r="J20" s="42">
        <f>+$E$8</f>
        <v>6870.81</v>
      </c>
      <c r="K20" s="379">
        <f>+I20*J20</f>
        <v>0</v>
      </c>
    </row>
    <row r="21" spans="3:12">
      <c r="C21" s="37" t="s">
        <v>42</v>
      </c>
      <c r="D21" s="40" t="s">
        <v>304</v>
      </c>
      <c r="E21" s="41">
        <f>+G21/F21</f>
        <v>101686.50556984721</v>
      </c>
      <c r="F21" s="42">
        <f>+F20</f>
        <v>6837.71</v>
      </c>
      <c r="G21" s="379">
        <f>+'[4]EEFF '!$B$13+'[4]EEFF '!$B$18+'[4]EEFF '!$B$22</f>
        <v>695302836</v>
      </c>
      <c r="H21" s="40" t="s">
        <v>304</v>
      </c>
      <c r="I21" s="41">
        <v>101650.91</v>
      </c>
      <c r="J21" s="42">
        <f t="shared" ref="J21:J57" si="0">+$E$8</f>
        <v>6870.81</v>
      </c>
      <c r="K21" s="379">
        <f t="shared" ref="K21:K57" si="1">+I21*J21</f>
        <v>698424088.93710005</v>
      </c>
    </row>
    <row r="22" spans="3:12">
      <c r="C22" s="44" t="s">
        <v>524</v>
      </c>
      <c r="D22" s="45"/>
      <c r="E22" s="41"/>
      <c r="F22" s="42">
        <f t="shared" ref="F22:F57" si="2">+F21</f>
        <v>6837.71</v>
      </c>
      <c r="G22" s="379">
        <f t="shared" ref="G22:G57" si="3">+F22*E22</f>
        <v>0</v>
      </c>
      <c r="H22" s="45"/>
      <c r="I22" s="41"/>
      <c r="J22" s="42">
        <f t="shared" si="0"/>
        <v>6870.81</v>
      </c>
      <c r="K22" s="379">
        <f t="shared" si="1"/>
        <v>0</v>
      </c>
    </row>
    <row r="23" spans="3:12">
      <c r="C23" s="45" t="s">
        <v>316</v>
      </c>
      <c r="D23" s="46" t="s">
        <v>304</v>
      </c>
      <c r="E23" s="41">
        <v>0</v>
      </c>
      <c r="F23" s="42">
        <f t="shared" si="2"/>
        <v>6837.71</v>
      </c>
      <c r="G23" s="379">
        <f t="shared" si="3"/>
        <v>0</v>
      </c>
      <c r="H23" s="46" t="s">
        <v>304</v>
      </c>
      <c r="I23" s="41">
        <v>0</v>
      </c>
      <c r="J23" s="42">
        <f t="shared" si="0"/>
        <v>6870.81</v>
      </c>
      <c r="K23" s="379">
        <f t="shared" si="1"/>
        <v>0</v>
      </c>
    </row>
    <row r="24" spans="3:12">
      <c r="C24" s="45" t="s">
        <v>317</v>
      </c>
      <c r="D24" s="46" t="s">
        <v>304</v>
      </c>
      <c r="E24" s="41">
        <f>+G24/F24</f>
        <v>104672.71718162952</v>
      </c>
      <c r="F24" s="42">
        <f t="shared" si="2"/>
        <v>6837.71</v>
      </c>
      <c r="G24" s="379">
        <f>+'[4]EEFF '!$B$26+'[4]EEFF '!$B$33+'[4]EEFF '!$B$38</f>
        <v>715721685</v>
      </c>
      <c r="H24" s="46" t="s">
        <v>304</v>
      </c>
      <c r="I24" s="191">
        <v>869000</v>
      </c>
      <c r="J24" s="42">
        <f t="shared" si="0"/>
        <v>6870.81</v>
      </c>
      <c r="K24" s="379">
        <f t="shared" si="1"/>
        <v>5970733890</v>
      </c>
    </row>
    <row r="25" spans="3:12">
      <c r="C25" s="45" t="s">
        <v>318</v>
      </c>
      <c r="D25" s="46" t="s">
        <v>304</v>
      </c>
      <c r="E25" s="41"/>
      <c r="F25" s="42">
        <f t="shared" si="2"/>
        <v>6837.71</v>
      </c>
      <c r="G25" s="379">
        <f t="shared" si="3"/>
        <v>0</v>
      </c>
      <c r="H25" s="46" t="s">
        <v>304</v>
      </c>
      <c r="I25" s="41"/>
      <c r="J25" s="42">
        <f t="shared" si="0"/>
        <v>6870.81</v>
      </c>
      <c r="K25" s="379">
        <f t="shared" si="1"/>
        <v>0</v>
      </c>
    </row>
    <row r="26" spans="3:12">
      <c r="C26" s="37"/>
      <c r="D26" s="40"/>
      <c r="E26" s="41"/>
      <c r="F26" s="42">
        <f t="shared" si="2"/>
        <v>6837.71</v>
      </c>
      <c r="G26" s="379">
        <f t="shared" si="3"/>
        <v>0</v>
      </c>
      <c r="H26" s="40"/>
      <c r="I26" s="41"/>
      <c r="J26" s="42">
        <f t="shared" si="0"/>
        <v>6870.81</v>
      </c>
      <c r="K26" s="379">
        <f t="shared" si="1"/>
        <v>0</v>
      </c>
    </row>
    <row r="27" spans="3:12">
      <c r="C27" s="36" t="s">
        <v>98</v>
      </c>
      <c r="D27" s="37"/>
      <c r="E27" s="41"/>
      <c r="F27" s="42">
        <f t="shared" si="2"/>
        <v>6837.71</v>
      </c>
      <c r="G27" s="379">
        <f t="shared" si="3"/>
        <v>0</v>
      </c>
      <c r="H27" s="37"/>
      <c r="I27" s="41"/>
      <c r="J27" s="42">
        <f t="shared" si="0"/>
        <v>6870.81</v>
      </c>
      <c r="K27" s="379">
        <f t="shared" si="1"/>
        <v>0</v>
      </c>
    </row>
    <row r="28" spans="3:12">
      <c r="C28" s="37" t="s">
        <v>55</v>
      </c>
      <c r="D28" s="40" t="s">
        <v>304</v>
      </c>
      <c r="E28" s="41">
        <f>+G28/F28</f>
        <v>29028.786538183103</v>
      </c>
      <c r="F28" s="42">
        <f t="shared" si="2"/>
        <v>6837.71</v>
      </c>
      <c r="G28" s="379">
        <f>+'[4]EEFF '!$B$42</f>
        <v>198490424</v>
      </c>
      <c r="H28" s="40" t="s">
        <v>304</v>
      </c>
      <c r="I28" s="41">
        <v>63254.57</v>
      </c>
      <c r="J28" s="42">
        <f t="shared" si="0"/>
        <v>6870.81</v>
      </c>
      <c r="K28" s="379">
        <f t="shared" si="1"/>
        <v>434610132.10170001</v>
      </c>
    </row>
    <row r="29" spans="3:12">
      <c r="C29" s="37" t="s">
        <v>305</v>
      </c>
      <c r="D29" s="40" t="s">
        <v>304</v>
      </c>
      <c r="E29" s="41">
        <v>0</v>
      </c>
      <c r="F29" s="42">
        <f t="shared" si="2"/>
        <v>6837.71</v>
      </c>
      <c r="G29" s="379">
        <f t="shared" si="3"/>
        <v>0</v>
      </c>
      <c r="H29" s="40" t="s">
        <v>304</v>
      </c>
      <c r="I29" s="41">
        <v>0</v>
      </c>
      <c r="J29" s="42">
        <f t="shared" si="0"/>
        <v>6870.81</v>
      </c>
      <c r="K29" s="379">
        <f t="shared" si="1"/>
        <v>0</v>
      </c>
    </row>
    <row r="30" spans="3:12">
      <c r="C30" s="37" t="s">
        <v>306</v>
      </c>
      <c r="D30" s="40" t="s">
        <v>304</v>
      </c>
      <c r="E30" s="41">
        <v>0</v>
      </c>
      <c r="F30" s="42">
        <f t="shared" si="2"/>
        <v>6837.71</v>
      </c>
      <c r="G30" s="379">
        <f t="shared" si="3"/>
        <v>0</v>
      </c>
      <c r="H30" s="40" t="s">
        <v>304</v>
      </c>
      <c r="I30" s="41">
        <v>0</v>
      </c>
      <c r="J30" s="42">
        <f t="shared" si="0"/>
        <v>6870.81</v>
      </c>
      <c r="K30" s="379">
        <f t="shared" si="1"/>
        <v>0</v>
      </c>
    </row>
    <row r="31" spans="3:12">
      <c r="C31" s="37" t="s">
        <v>307</v>
      </c>
      <c r="D31" s="40" t="s">
        <v>304</v>
      </c>
      <c r="E31" s="41">
        <v>0</v>
      </c>
      <c r="F31" s="42">
        <f t="shared" si="2"/>
        <v>6837.71</v>
      </c>
      <c r="G31" s="379">
        <f t="shared" si="3"/>
        <v>0</v>
      </c>
      <c r="H31" s="40" t="s">
        <v>304</v>
      </c>
      <c r="I31" s="41">
        <v>0</v>
      </c>
      <c r="J31" s="42">
        <f t="shared" si="0"/>
        <v>6870.81</v>
      </c>
      <c r="K31" s="379">
        <f t="shared" si="1"/>
        <v>0</v>
      </c>
    </row>
    <row r="32" spans="3:12">
      <c r="C32" s="37" t="s">
        <v>63</v>
      </c>
      <c r="D32" s="40" t="s">
        <v>304</v>
      </c>
      <c r="E32" s="41">
        <f>+G32/F32</f>
        <v>41512.423457561083</v>
      </c>
      <c r="F32" s="42">
        <f t="shared" si="2"/>
        <v>6837.71</v>
      </c>
      <c r="G32" s="379">
        <f>+'[4]EEFF '!$B$59</f>
        <v>283849913</v>
      </c>
      <c r="H32" s="40" t="s">
        <v>304</v>
      </c>
      <c r="I32" s="41">
        <v>14831.6</v>
      </c>
      <c r="J32" s="42">
        <f t="shared" si="0"/>
        <v>6870.81</v>
      </c>
      <c r="K32" s="379">
        <f t="shared" si="1"/>
        <v>101905105.59600002</v>
      </c>
    </row>
    <row r="33" spans="3:11">
      <c r="C33" s="37" t="s">
        <v>308</v>
      </c>
      <c r="D33" s="40" t="s">
        <v>304</v>
      </c>
      <c r="E33" s="41">
        <v>0</v>
      </c>
      <c r="F33" s="42">
        <f t="shared" si="2"/>
        <v>6837.71</v>
      </c>
      <c r="G33" s="379">
        <f t="shared" si="3"/>
        <v>0</v>
      </c>
      <c r="H33" s="40" t="s">
        <v>304</v>
      </c>
      <c r="I33" s="41">
        <v>0</v>
      </c>
      <c r="J33" s="42">
        <f t="shared" si="0"/>
        <v>6870.81</v>
      </c>
      <c r="K33" s="379">
        <f t="shared" si="1"/>
        <v>0</v>
      </c>
    </row>
    <row r="34" spans="3:11">
      <c r="C34" s="36" t="s">
        <v>309</v>
      </c>
      <c r="D34" s="37"/>
      <c r="E34" s="41"/>
      <c r="F34" s="42">
        <f t="shared" si="2"/>
        <v>6837.71</v>
      </c>
      <c r="G34" s="379">
        <f t="shared" si="3"/>
        <v>0</v>
      </c>
      <c r="H34" s="37"/>
      <c r="I34" s="41"/>
      <c r="J34" s="42">
        <f t="shared" si="0"/>
        <v>6870.81</v>
      </c>
      <c r="K34" s="379">
        <f t="shared" si="1"/>
        <v>0</v>
      </c>
    </row>
    <row r="35" spans="3:11">
      <c r="C35" s="37" t="s">
        <v>310</v>
      </c>
      <c r="D35" s="40" t="s">
        <v>304</v>
      </c>
      <c r="E35" s="41">
        <v>0</v>
      </c>
      <c r="F35" s="42">
        <f t="shared" si="2"/>
        <v>6837.71</v>
      </c>
      <c r="G35" s="379">
        <f t="shared" si="3"/>
        <v>0</v>
      </c>
      <c r="H35" s="40" t="s">
        <v>304</v>
      </c>
      <c r="I35" s="41">
        <v>0</v>
      </c>
      <c r="J35" s="42">
        <f t="shared" si="0"/>
        <v>6870.81</v>
      </c>
      <c r="K35" s="379">
        <f t="shared" si="1"/>
        <v>0</v>
      </c>
    </row>
    <row r="36" spans="3:11">
      <c r="C36" s="37" t="s">
        <v>311</v>
      </c>
      <c r="D36" s="40" t="s">
        <v>304</v>
      </c>
      <c r="E36" s="41">
        <v>0</v>
      </c>
      <c r="F36" s="42">
        <f t="shared" si="2"/>
        <v>6837.71</v>
      </c>
      <c r="G36" s="379">
        <f t="shared" si="3"/>
        <v>0</v>
      </c>
      <c r="H36" s="40" t="s">
        <v>304</v>
      </c>
      <c r="I36" s="41">
        <v>0</v>
      </c>
      <c r="J36" s="42">
        <f t="shared" si="0"/>
        <v>6870.81</v>
      </c>
      <c r="K36" s="379">
        <f t="shared" si="1"/>
        <v>0</v>
      </c>
    </row>
    <row r="37" spans="3:11">
      <c r="C37" s="36" t="s">
        <v>70</v>
      </c>
      <c r="D37" s="37"/>
      <c r="E37" s="41"/>
      <c r="F37" s="42">
        <f t="shared" si="2"/>
        <v>6837.71</v>
      </c>
      <c r="G37" s="379">
        <f t="shared" si="3"/>
        <v>0</v>
      </c>
      <c r="H37" s="37"/>
      <c r="I37" s="41"/>
      <c r="J37" s="42">
        <f t="shared" si="0"/>
        <v>6870.81</v>
      </c>
      <c r="K37" s="379">
        <f t="shared" si="1"/>
        <v>0</v>
      </c>
    </row>
    <row r="38" spans="3:11">
      <c r="C38" s="37" t="s">
        <v>312</v>
      </c>
      <c r="D38" s="40" t="s">
        <v>304</v>
      </c>
      <c r="E38" s="41">
        <f>+G38/F38</f>
        <v>17529.737148840766</v>
      </c>
      <c r="F38" s="42">
        <f t="shared" si="2"/>
        <v>6837.71</v>
      </c>
      <c r="G38" s="379">
        <f>+'[4]EEFF '!$B$63</f>
        <v>119863259</v>
      </c>
      <c r="H38" s="40" t="s">
        <v>304</v>
      </c>
      <c r="I38" s="41">
        <v>39716.639999999999</v>
      </c>
      <c r="J38" s="42">
        <f t="shared" si="0"/>
        <v>6870.81</v>
      </c>
      <c r="K38" s="379">
        <f t="shared" si="1"/>
        <v>272885487.2784</v>
      </c>
    </row>
    <row r="39" spans="3:11">
      <c r="C39" s="37" t="s">
        <v>313</v>
      </c>
      <c r="D39" s="40" t="s">
        <v>304</v>
      </c>
      <c r="E39" s="41">
        <v>0</v>
      </c>
      <c r="F39" s="42">
        <f t="shared" si="2"/>
        <v>6837.71</v>
      </c>
      <c r="G39" s="379">
        <f t="shared" si="3"/>
        <v>0</v>
      </c>
      <c r="H39" s="40" t="s">
        <v>304</v>
      </c>
      <c r="I39" s="41">
        <v>0</v>
      </c>
      <c r="J39" s="42">
        <f t="shared" si="0"/>
        <v>6870.81</v>
      </c>
      <c r="K39" s="379">
        <f t="shared" si="1"/>
        <v>0</v>
      </c>
    </row>
    <row r="40" spans="3:11">
      <c r="C40" s="43" t="s">
        <v>82</v>
      </c>
      <c r="D40" s="40"/>
      <c r="E40" s="41"/>
      <c r="F40" s="42">
        <f t="shared" si="2"/>
        <v>6837.71</v>
      </c>
      <c r="G40" s="379">
        <f t="shared" si="3"/>
        <v>0</v>
      </c>
      <c r="H40" s="40"/>
      <c r="I40" s="41"/>
      <c r="J40" s="42">
        <f t="shared" si="0"/>
        <v>6870.81</v>
      </c>
      <c r="K40" s="379">
        <f t="shared" si="1"/>
        <v>0</v>
      </c>
    </row>
    <row r="41" spans="3:11">
      <c r="C41" s="44" t="s">
        <v>98</v>
      </c>
      <c r="D41" s="45"/>
      <c r="E41" s="41"/>
      <c r="F41" s="42">
        <f t="shared" si="2"/>
        <v>6837.71</v>
      </c>
      <c r="G41" s="379">
        <f t="shared" si="3"/>
        <v>0</v>
      </c>
      <c r="H41" s="45"/>
      <c r="I41" s="41"/>
      <c r="J41" s="42">
        <f t="shared" si="0"/>
        <v>6870.81</v>
      </c>
      <c r="K41" s="379">
        <f t="shared" si="1"/>
        <v>0</v>
      </c>
    </row>
    <row r="42" spans="3:11" ht="14.25" customHeight="1">
      <c r="C42" s="45" t="s">
        <v>314</v>
      </c>
      <c r="D42" s="46" t="s">
        <v>304</v>
      </c>
      <c r="E42" s="41">
        <v>0</v>
      </c>
      <c r="F42" s="42">
        <f t="shared" si="2"/>
        <v>6837.71</v>
      </c>
      <c r="G42" s="379">
        <f t="shared" si="3"/>
        <v>0</v>
      </c>
      <c r="H42" s="46" t="s">
        <v>304</v>
      </c>
      <c r="I42" s="41">
        <v>0</v>
      </c>
      <c r="J42" s="42">
        <f t="shared" si="0"/>
        <v>6870.81</v>
      </c>
      <c r="K42" s="379">
        <f t="shared" si="1"/>
        <v>0</v>
      </c>
    </row>
    <row r="43" spans="3:11">
      <c r="C43" s="44" t="s">
        <v>315</v>
      </c>
      <c r="D43" s="45"/>
      <c r="E43" s="41"/>
      <c r="F43" s="42">
        <f t="shared" si="2"/>
        <v>6837.71</v>
      </c>
      <c r="G43" s="379">
        <f t="shared" si="3"/>
        <v>0</v>
      </c>
      <c r="H43" s="45"/>
      <c r="I43" s="41"/>
      <c r="J43" s="42">
        <f t="shared" si="0"/>
        <v>6870.81</v>
      </c>
      <c r="K43" s="379">
        <f t="shared" si="1"/>
        <v>0</v>
      </c>
    </row>
    <row r="44" spans="3:11">
      <c r="C44" s="45" t="s">
        <v>316</v>
      </c>
      <c r="D44" s="46" t="s">
        <v>304</v>
      </c>
      <c r="E44" s="41">
        <v>0</v>
      </c>
      <c r="F44" s="42">
        <f t="shared" si="2"/>
        <v>6837.71</v>
      </c>
      <c r="G44" s="379">
        <f t="shared" si="3"/>
        <v>0</v>
      </c>
      <c r="H44" s="46" t="s">
        <v>304</v>
      </c>
      <c r="I44" s="41">
        <v>0</v>
      </c>
      <c r="J44" s="42">
        <f t="shared" si="0"/>
        <v>6870.81</v>
      </c>
      <c r="K44" s="379">
        <f t="shared" si="1"/>
        <v>0</v>
      </c>
    </row>
    <row r="45" spans="3:11">
      <c r="C45" s="45" t="s">
        <v>317</v>
      </c>
      <c r="D45" s="46" t="s">
        <v>304</v>
      </c>
      <c r="E45" s="41">
        <v>0</v>
      </c>
      <c r="F45" s="42">
        <f t="shared" si="2"/>
        <v>6837.71</v>
      </c>
      <c r="G45" s="379">
        <f t="shared" si="3"/>
        <v>0</v>
      </c>
      <c r="H45" s="46" t="s">
        <v>304</v>
      </c>
      <c r="I45" s="191">
        <v>0</v>
      </c>
      <c r="J45" s="42">
        <f t="shared" si="0"/>
        <v>6870.81</v>
      </c>
      <c r="K45" s="379">
        <f t="shared" si="1"/>
        <v>0</v>
      </c>
    </row>
    <row r="46" spans="3:11">
      <c r="C46" s="45" t="s">
        <v>318</v>
      </c>
      <c r="D46" s="46" t="s">
        <v>304</v>
      </c>
      <c r="E46" s="41"/>
      <c r="F46" s="42">
        <f t="shared" si="2"/>
        <v>6837.71</v>
      </c>
      <c r="G46" s="379">
        <f t="shared" si="3"/>
        <v>0</v>
      </c>
      <c r="H46" s="46" t="s">
        <v>304</v>
      </c>
      <c r="I46" s="41"/>
      <c r="J46" s="42">
        <f t="shared" si="0"/>
        <v>6870.81</v>
      </c>
      <c r="K46" s="379">
        <f t="shared" si="1"/>
        <v>0</v>
      </c>
    </row>
    <row r="47" spans="3:11">
      <c r="C47" s="44" t="s">
        <v>319</v>
      </c>
      <c r="D47" s="45"/>
      <c r="E47" s="41"/>
      <c r="F47" s="42">
        <f t="shared" si="2"/>
        <v>6837.71</v>
      </c>
      <c r="G47" s="379">
        <f t="shared" si="3"/>
        <v>0</v>
      </c>
      <c r="H47" s="45"/>
      <c r="I47" s="41"/>
      <c r="J47" s="42">
        <f t="shared" si="0"/>
        <v>6870.81</v>
      </c>
      <c r="K47" s="379">
        <f t="shared" si="1"/>
        <v>0</v>
      </c>
    </row>
    <row r="48" spans="3:11">
      <c r="C48" s="45" t="s">
        <v>320</v>
      </c>
      <c r="D48" s="46" t="s">
        <v>304</v>
      </c>
      <c r="E48" s="41">
        <v>0</v>
      </c>
      <c r="F48" s="42">
        <f t="shared" si="2"/>
        <v>6837.71</v>
      </c>
      <c r="G48" s="379">
        <f t="shared" si="3"/>
        <v>0</v>
      </c>
      <c r="H48" s="46" t="s">
        <v>304</v>
      </c>
      <c r="I48" s="41">
        <v>0</v>
      </c>
      <c r="J48" s="42">
        <f t="shared" si="0"/>
        <v>6870.81</v>
      </c>
      <c r="K48" s="379">
        <f t="shared" si="1"/>
        <v>0</v>
      </c>
    </row>
    <row r="49" spans="3:11">
      <c r="C49" s="45" t="s">
        <v>321</v>
      </c>
      <c r="D49" s="46" t="s">
        <v>304</v>
      </c>
      <c r="E49" s="41">
        <v>0</v>
      </c>
      <c r="F49" s="42">
        <f t="shared" si="2"/>
        <v>6837.71</v>
      </c>
      <c r="G49" s="379">
        <f t="shared" si="3"/>
        <v>0</v>
      </c>
      <c r="H49" s="46" t="s">
        <v>304</v>
      </c>
      <c r="I49" s="41">
        <v>0</v>
      </c>
      <c r="J49" s="42">
        <f t="shared" si="0"/>
        <v>6870.81</v>
      </c>
      <c r="K49" s="379">
        <f t="shared" si="1"/>
        <v>0</v>
      </c>
    </row>
    <row r="50" spans="3:11">
      <c r="C50" s="44" t="s">
        <v>322</v>
      </c>
      <c r="D50" s="45"/>
      <c r="E50" s="41"/>
      <c r="F50" s="42">
        <f t="shared" si="2"/>
        <v>6837.71</v>
      </c>
      <c r="G50" s="379">
        <f t="shared" si="3"/>
        <v>0</v>
      </c>
      <c r="H50" s="45"/>
      <c r="I50" s="41"/>
      <c r="J50" s="42">
        <f t="shared" si="0"/>
        <v>6870.81</v>
      </c>
      <c r="K50" s="379">
        <f t="shared" si="1"/>
        <v>0</v>
      </c>
    </row>
    <row r="51" spans="3:11">
      <c r="C51" s="45" t="s">
        <v>118</v>
      </c>
      <c r="D51" s="46" t="s">
        <v>304</v>
      </c>
      <c r="E51" s="41">
        <v>0</v>
      </c>
      <c r="F51" s="42">
        <f t="shared" si="2"/>
        <v>6837.71</v>
      </c>
      <c r="G51" s="379">
        <f t="shared" si="3"/>
        <v>0</v>
      </c>
      <c r="H51" s="46" t="s">
        <v>304</v>
      </c>
      <c r="I51" s="41">
        <v>0</v>
      </c>
      <c r="J51" s="42">
        <f t="shared" si="0"/>
        <v>6870.81</v>
      </c>
      <c r="K51" s="379">
        <f t="shared" si="1"/>
        <v>0</v>
      </c>
    </row>
    <row r="52" spans="3:11">
      <c r="C52" s="45" t="s">
        <v>119</v>
      </c>
      <c r="D52" s="46" t="s">
        <v>304</v>
      </c>
      <c r="E52" s="41">
        <v>0</v>
      </c>
      <c r="F52" s="42">
        <f t="shared" si="2"/>
        <v>6837.71</v>
      </c>
      <c r="G52" s="379">
        <f t="shared" si="3"/>
        <v>0</v>
      </c>
      <c r="H52" s="46" t="s">
        <v>304</v>
      </c>
      <c r="I52" s="41">
        <v>0</v>
      </c>
      <c r="J52" s="42">
        <f t="shared" si="0"/>
        <v>6870.81</v>
      </c>
      <c r="K52" s="379">
        <f t="shared" si="1"/>
        <v>0</v>
      </c>
    </row>
    <row r="53" spans="3:11">
      <c r="C53" s="45" t="s">
        <v>121</v>
      </c>
      <c r="D53" s="46" t="s">
        <v>304</v>
      </c>
      <c r="E53" s="41">
        <v>0</v>
      </c>
      <c r="F53" s="42">
        <f t="shared" si="2"/>
        <v>6837.71</v>
      </c>
      <c r="G53" s="379">
        <f t="shared" si="3"/>
        <v>0</v>
      </c>
      <c r="H53" s="46" t="s">
        <v>304</v>
      </c>
      <c r="I53" s="41">
        <v>0</v>
      </c>
      <c r="J53" s="42">
        <f t="shared" si="0"/>
        <v>6870.81</v>
      </c>
      <c r="K53" s="379">
        <f t="shared" si="1"/>
        <v>0</v>
      </c>
    </row>
    <row r="54" spans="3:11">
      <c r="C54" s="45" t="s">
        <v>323</v>
      </c>
      <c r="D54" s="46" t="s">
        <v>304</v>
      </c>
      <c r="E54" s="41">
        <v>0</v>
      </c>
      <c r="F54" s="42">
        <f t="shared" si="2"/>
        <v>6837.71</v>
      </c>
      <c r="G54" s="379">
        <f t="shared" si="3"/>
        <v>0</v>
      </c>
      <c r="H54" s="46" t="s">
        <v>304</v>
      </c>
      <c r="I54" s="41">
        <v>0</v>
      </c>
      <c r="J54" s="42">
        <f t="shared" si="0"/>
        <v>6870.81</v>
      </c>
      <c r="K54" s="379">
        <f t="shared" si="1"/>
        <v>0</v>
      </c>
    </row>
    <row r="55" spans="3:11">
      <c r="C55" s="45" t="s">
        <v>123</v>
      </c>
      <c r="D55" s="46" t="s">
        <v>304</v>
      </c>
      <c r="E55" s="41">
        <v>0</v>
      </c>
      <c r="F55" s="42">
        <f t="shared" si="2"/>
        <v>6837.71</v>
      </c>
      <c r="G55" s="379">
        <f t="shared" si="3"/>
        <v>0</v>
      </c>
      <c r="H55" s="46" t="s">
        <v>304</v>
      </c>
      <c r="I55" s="41">
        <v>0</v>
      </c>
      <c r="J55" s="42">
        <f t="shared" si="0"/>
        <v>6870.81</v>
      </c>
      <c r="K55" s="379">
        <f t="shared" si="1"/>
        <v>0</v>
      </c>
    </row>
    <row r="56" spans="3:11">
      <c r="C56" s="43" t="s">
        <v>70</v>
      </c>
      <c r="D56" s="47"/>
      <c r="E56" s="41"/>
      <c r="F56" s="42">
        <f t="shared" si="2"/>
        <v>6837.71</v>
      </c>
      <c r="G56" s="379">
        <f t="shared" si="3"/>
        <v>0</v>
      </c>
      <c r="H56" s="47"/>
      <c r="I56" s="41"/>
      <c r="J56" s="42">
        <f t="shared" si="0"/>
        <v>6870.81</v>
      </c>
      <c r="K56" s="379">
        <f t="shared" si="1"/>
        <v>0</v>
      </c>
    </row>
    <row r="57" spans="3:11">
      <c r="C57" s="45" t="s">
        <v>324</v>
      </c>
      <c r="D57" s="46" t="s">
        <v>304</v>
      </c>
      <c r="E57" s="41">
        <v>0</v>
      </c>
      <c r="F57" s="42">
        <f t="shared" si="2"/>
        <v>6837.71</v>
      </c>
      <c r="G57" s="379">
        <f t="shared" si="3"/>
        <v>0</v>
      </c>
      <c r="H57" s="46" t="s">
        <v>304</v>
      </c>
      <c r="I57" s="41">
        <v>0</v>
      </c>
      <c r="J57" s="42">
        <f t="shared" si="0"/>
        <v>6870.81</v>
      </c>
      <c r="K57" s="379">
        <f t="shared" si="1"/>
        <v>0</v>
      </c>
    </row>
    <row r="60" spans="3:11" ht="48">
      <c r="C60" s="29" t="s">
        <v>299</v>
      </c>
      <c r="D60" s="35" t="s">
        <v>300</v>
      </c>
      <c r="E60" s="35" t="s">
        <v>301</v>
      </c>
      <c r="F60" s="35" t="str">
        <f>+F16</f>
        <v xml:space="preserve">CAMBIO CIERRE PERIODO ACTUAL </v>
      </c>
      <c r="G60" s="380" t="str">
        <f>+G16</f>
        <v>CAMBIO CIERRE PERIODO ACTUAL GUARANIES</v>
      </c>
      <c r="H60" s="35" t="s">
        <v>300</v>
      </c>
      <c r="I60" s="35" t="s">
        <v>301</v>
      </c>
      <c r="J60" s="35" t="str">
        <f>+J16</f>
        <v xml:space="preserve">CAMBIO CIERRE PERIODO ANTERIOR </v>
      </c>
      <c r="K60" s="35" t="str">
        <f>+K16</f>
        <v>CAMBIO CIERRE PERIODO ANTERIOR GUARANIES</v>
      </c>
    </row>
    <row r="61" spans="3:11">
      <c r="C61" s="43" t="s">
        <v>33</v>
      </c>
      <c r="D61" s="47"/>
      <c r="E61" s="47"/>
      <c r="F61" s="47"/>
      <c r="G61" s="382"/>
      <c r="H61" s="47"/>
      <c r="I61" s="47"/>
      <c r="J61" s="47"/>
      <c r="K61" s="47"/>
    </row>
    <row r="62" spans="3:11">
      <c r="C62" s="43" t="s">
        <v>36</v>
      </c>
      <c r="D62" s="47"/>
      <c r="E62" s="47"/>
      <c r="F62" s="47"/>
      <c r="G62" s="382"/>
      <c r="H62" s="47"/>
      <c r="I62" s="47"/>
      <c r="J62" s="47"/>
      <c r="K62" s="47"/>
    </row>
    <row r="63" spans="3:11">
      <c r="C63" s="36" t="s">
        <v>325</v>
      </c>
      <c r="D63" s="37"/>
      <c r="E63" s="38"/>
      <c r="F63" s="48"/>
      <c r="G63" s="379"/>
      <c r="H63" s="37"/>
      <c r="I63" s="38"/>
      <c r="J63" s="37"/>
      <c r="K63" s="37"/>
    </row>
    <row r="64" spans="3:11">
      <c r="C64" s="37" t="s">
        <v>326</v>
      </c>
      <c r="D64" s="40" t="s">
        <v>304</v>
      </c>
      <c r="E64" s="41">
        <f>+G64/F64</f>
        <v>2560.3700702914575</v>
      </c>
      <c r="F64" s="42">
        <f>+D9</f>
        <v>6850.05</v>
      </c>
      <c r="G64" s="379">
        <f>+'[4]EEFF '!$B$116</f>
        <v>17538663</v>
      </c>
      <c r="H64" s="40" t="s">
        <v>304</v>
      </c>
      <c r="I64" s="41">
        <v>1475.51</v>
      </c>
      <c r="J64" s="42">
        <f>+$E$9</f>
        <v>6887.4</v>
      </c>
      <c r="K64" s="379">
        <f t="shared" ref="K64:K88" si="4">+I64*J64</f>
        <v>10162427.573999999</v>
      </c>
    </row>
    <row r="65" spans="3:11">
      <c r="C65" s="37" t="s">
        <v>327</v>
      </c>
      <c r="D65" s="40" t="s">
        <v>304</v>
      </c>
      <c r="E65" s="41">
        <f>+G65/F65</f>
        <v>0</v>
      </c>
      <c r="F65" s="42">
        <f>+F64</f>
        <v>6850.05</v>
      </c>
      <c r="G65" s="379">
        <v>0</v>
      </c>
      <c r="H65" s="40" t="s">
        <v>304</v>
      </c>
      <c r="I65" s="41">
        <v>559891.07999999996</v>
      </c>
      <c r="J65" s="42">
        <f t="shared" ref="J65:J88" si="5">+$E$9</f>
        <v>6887.4</v>
      </c>
      <c r="K65" s="379">
        <f t="shared" si="4"/>
        <v>3856193824.3919997</v>
      </c>
    </row>
    <row r="66" spans="3:11">
      <c r="C66" s="37" t="s">
        <v>328</v>
      </c>
      <c r="D66" s="40" t="s">
        <v>304</v>
      </c>
      <c r="E66" s="41">
        <v>0</v>
      </c>
      <c r="F66" s="42">
        <f t="shared" ref="F66:F88" si="6">+F65</f>
        <v>6850.05</v>
      </c>
      <c r="G66" s="379">
        <f t="shared" ref="G66:G87" si="7">+F66*E66</f>
        <v>0</v>
      </c>
      <c r="H66" s="40" t="s">
        <v>304</v>
      </c>
      <c r="I66" s="41">
        <v>0</v>
      </c>
      <c r="J66" s="42">
        <f t="shared" si="5"/>
        <v>6887.4</v>
      </c>
      <c r="K66" s="379">
        <f t="shared" si="4"/>
        <v>0</v>
      </c>
    </row>
    <row r="67" spans="3:11">
      <c r="C67" s="37" t="s">
        <v>329</v>
      </c>
      <c r="D67" s="40" t="s">
        <v>304</v>
      </c>
      <c r="E67" s="41">
        <v>0</v>
      </c>
      <c r="F67" s="42">
        <f t="shared" si="6"/>
        <v>6850.05</v>
      </c>
      <c r="G67" s="379">
        <f t="shared" si="7"/>
        <v>0</v>
      </c>
      <c r="H67" s="40" t="s">
        <v>304</v>
      </c>
      <c r="I67" s="41">
        <v>0</v>
      </c>
      <c r="J67" s="42">
        <f t="shared" si="5"/>
        <v>6887.4</v>
      </c>
      <c r="K67" s="379">
        <f t="shared" si="4"/>
        <v>0</v>
      </c>
    </row>
    <row r="68" spans="3:11">
      <c r="C68" s="36" t="s">
        <v>86</v>
      </c>
      <c r="D68" s="37"/>
      <c r="E68" s="41"/>
      <c r="F68" s="42">
        <f t="shared" si="6"/>
        <v>6850.05</v>
      </c>
      <c r="G68" s="379">
        <f t="shared" si="7"/>
        <v>0</v>
      </c>
      <c r="H68" s="37"/>
      <c r="I68" s="41"/>
      <c r="J68" s="42">
        <f t="shared" si="5"/>
        <v>6887.4</v>
      </c>
      <c r="K68" s="379">
        <f t="shared" si="4"/>
        <v>0</v>
      </c>
    </row>
    <row r="69" spans="3:11">
      <c r="C69" s="37" t="s">
        <v>330</v>
      </c>
      <c r="D69" s="40" t="s">
        <v>304</v>
      </c>
      <c r="E69" s="41">
        <v>1627000</v>
      </c>
      <c r="F69" s="42">
        <f t="shared" si="6"/>
        <v>6850.05</v>
      </c>
      <c r="G69" s="379">
        <f>+'[4]EEFF '!$B$103+'[4]EEFF '!$B$105</f>
        <v>12034199454</v>
      </c>
      <c r="H69" s="40" t="s">
        <v>304</v>
      </c>
      <c r="I69" s="41">
        <v>1627000</v>
      </c>
      <c r="J69" s="42">
        <f t="shared" si="5"/>
        <v>6887.4</v>
      </c>
      <c r="K69" s="379">
        <f t="shared" si="4"/>
        <v>11205799800</v>
      </c>
    </row>
    <row r="70" spans="3:11">
      <c r="C70" s="37" t="s">
        <v>331</v>
      </c>
      <c r="D70" s="40" t="s">
        <v>304</v>
      </c>
      <c r="E70" s="41">
        <f>+G70/F70</f>
        <v>22064.79996496376</v>
      </c>
      <c r="F70" s="42">
        <f t="shared" si="6"/>
        <v>6850.05</v>
      </c>
      <c r="G70" s="379">
        <f>+'[4]EEFF '!$B$108</f>
        <v>151144983</v>
      </c>
      <c r="H70" s="40" t="s">
        <v>304</v>
      </c>
      <c r="I70" s="41">
        <v>44129.599999999999</v>
      </c>
      <c r="J70" s="42">
        <f t="shared" si="5"/>
        <v>6887.4</v>
      </c>
      <c r="K70" s="379">
        <f t="shared" si="4"/>
        <v>303938207.03999996</v>
      </c>
    </row>
    <row r="71" spans="3:11">
      <c r="C71" s="37" t="s">
        <v>885</v>
      </c>
      <c r="D71" s="40" t="s">
        <v>304</v>
      </c>
      <c r="E71" s="41">
        <v>0</v>
      </c>
      <c r="F71" s="42">
        <f t="shared" si="6"/>
        <v>6850.05</v>
      </c>
      <c r="G71" s="379">
        <f t="shared" si="7"/>
        <v>0</v>
      </c>
      <c r="H71" s="40" t="s">
        <v>304</v>
      </c>
      <c r="I71" s="41">
        <v>361.69</v>
      </c>
      <c r="J71" s="42">
        <f t="shared" si="5"/>
        <v>6887.4</v>
      </c>
      <c r="K71" s="379">
        <f t="shared" si="4"/>
        <v>2491103.7059999998</v>
      </c>
    </row>
    <row r="72" spans="3:11">
      <c r="C72" s="37" t="s">
        <v>886</v>
      </c>
      <c r="D72" s="40" t="s">
        <v>304</v>
      </c>
      <c r="E72" s="41">
        <v>0</v>
      </c>
      <c r="F72" s="42">
        <f t="shared" si="6"/>
        <v>6850.05</v>
      </c>
      <c r="G72" s="379">
        <f>+F72*E72</f>
        <v>0</v>
      </c>
      <c r="H72" s="40" t="s">
        <v>304</v>
      </c>
      <c r="I72" s="41">
        <v>685999.73</v>
      </c>
      <c r="J72" s="42">
        <f t="shared" si="5"/>
        <v>6887.4</v>
      </c>
      <c r="K72" s="379">
        <f>+I72*J72</f>
        <v>4724754540.4019995</v>
      </c>
    </row>
    <row r="73" spans="3:11">
      <c r="C73" s="37" t="s">
        <v>887</v>
      </c>
      <c r="D73" s="40" t="s">
        <v>304</v>
      </c>
      <c r="E73" s="41">
        <v>0</v>
      </c>
      <c r="F73" s="42">
        <f t="shared" si="6"/>
        <v>6850.05</v>
      </c>
      <c r="G73" s="379">
        <f>+F73*E73</f>
        <v>0</v>
      </c>
      <c r="H73" s="40" t="s">
        <v>304</v>
      </c>
      <c r="I73" s="41">
        <v>-3327.12</v>
      </c>
      <c r="J73" s="42">
        <f t="shared" si="5"/>
        <v>6887.4</v>
      </c>
      <c r="K73" s="379">
        <f>+I73*J73</f>
        <v>-22915206.287999999</v>
      </c>
    </row>
    <row r="74" spans="3:11">
      <c r="C74" s="36" t="s">
        <v>54</v>
      </c>
      <c r="D74" s="37"/>
      <c r="E74" s="41"/>
      <c r="F74" s="42">
        <f>+F71</f>
        <v>6850.05</v>
      </c>
      <c r="G74" s="379">
        <f t="shared" si="7"/>
        <v>0</v>
      </c>
      <c r="H74" s="37"/>
      <c r="I74" s="41"/>
      <c r="J74" s="42">
        <f t="shared" si="5"/>
        <v>6887.4</v>
      </c>
      <c r="K74" s="379">
        <f t="shared" si="4"/>
        <v>0</v>
      </c>
    </row>
    <row r="75" spans="3:11">
      <c r="C75" s="37" t="s">
        <v>332</v>
      </c>
      <c r="D75" s="40" t="s">
        <v>304</v>
      </c>
      <c r="E75" s="41">
        <v>0</v>
      </c>
      <c r="F75" s="42">
        <f t="shared" si="6"/>
        <v>6850.05</v>
      </c>
      <c r="G75" s="379">
        <f t="shared" si="7"/>
        <v>0</v>
      </c>
      <c r="H75" s="40" t="s">
        <v>304</v>
      </c>
      <c r="I75" s="41">
        <v>0</v>
      </c>
      <c r="J75" s="42">
        <f t="shared" si="5"/>
        <v>6887.4</v>
      </c>
      <c r="K75" s="379">
        <f t="shared" si="4"/>
        <v>0</v>
      </c>
    </row>
    <row r="76" spans="3:11">
      <c r="C76" s="37" t="s">
        <v>333</v>
      </c>
      <c r="D76" s="40" t="s">
        <v>304</v>
      </c>
      <c r="E76" s="41">
        <v>0</v>
      </c>
      <c r="F76" s="42">
        <f t="shared" si="6"/>
        <v>6850.05</v>
      </c>
      <c r="G76" s="379">
        <f t="shared" si="7"/>
        <v>0</v>
      </c>
      <c r="H76" s="40" t="s">
        <v>304</v>
      </c>
      <c r="I76" s="41">
        <v>0</v>
      </c>
      <c r="J76" s="42">
        <f t="shared" si="5"/>
        <v>6887.4</v>
      </c>
      <c r="K76" s="379">
        <f t="shared" si="4"/>
        <v>0</v>
      </c>
    </row>
    <row r="77" spans="3:11">
      <c r="C77" s="37" t="s">
        <v>62</v>
      </c>
      <c r="D77" s="40" t="s">
        <v>304</v>
      </c>
      <c r="E77" s="41">
        <v>0</v>
      </c>
      <c r="F77" s="42">
        <f t="shared" si="6"/>
        <v>6850.05</v>
      </c>
      <c r="G77" s="379">
        <f t="shared" si="7"/>
        <v>0</v>
      </c>
      <c r="H77" s="40" t="s">
        <v>304</v>
      </c>
      <c r="I77" s="41">
        <v>0</v>
      </c>
      <c r="J77" s="42">
        <f t="shared" si="5"/>
        <v>6887.4</v>
      </c>
      <c r="K77" s="379">
        <f t="shared" si="4"/>
        <v>0</v>
      </c>
    </row>
    <row r="78" spans="3:11">
      <c r="C78" s="37" t="s">
        <v>75</v>
      </c>
      <c r="D78" s="40" t="s">
        <v>304</v>
      </c>
      <c r="E78" s="41">
        <v>0</v>
      </c>
      <c r="F78" s="42">
        <f t="shared" si="6"/>
        <v>6850.05</v>
      </c>
      <c r="G78" s="379">
        <f t="shared" si="7"/>
        <v>0</v>
      </c>
      <c r="H78" s="40" t="s">
        <v>304</v>
      </c>
      <c r="I78" s="41">
        <v>0</v>
      </c>
      <c r="J78" s="42">
        <f t="shared" si="5"/>
        <v>6887.4</v>
      </c>
      <c r="K78" s="379">
        <f t="shared" si="4"/>
        <v>0</v>
      </c>
    </row>
    <row r="79" spans="3:11">
      <c r="C79" s="37" t="s">
        <v>334</v>
      </c>
      <c r="D79" s="40" t="s">
        <v>304</v>
      </c>
      <c r="E79" s="41">
        <v>0</v>
      </c>
      <c r="F79" s="42">
        <f t="shared" si="6"/>
        <v>6850.05</v>
      </c>
      <c r="G79" s="379">
        <f t="shared" si="7"/>
        <v>0</v>
      </c>
      <c r="H79" s="40" t="s">
        <v>304</v>
      </c>
      <c r="I79" s="41">
        <v>0</v>
      </c>
      <c r="J79" s="42">
        <f t="shared" si="5"/>
        <v>6887.4</v>
      </c>
      <c r="K79" s="379">
        <f t="shared" si="4"/>
        <v>0</v>
      </c>
    </row>
    <row r="80" spans="3:11">
      <c r="C80" s="43" t="s">
        <v>335</v>
      </c>
      <c r="D80" s="47"/>
      <c r="E80" s="41"/>
      <c r="F80" s="42">
        <f t="shared" si="6"/>
        <v>6850.05</v>
      </c>
      <c r="G80" s="379">
        <f t="shared" si="7"/>
        <v>0</v>
      </c>
      <c r="H80" s="47"/>
      <c r="I80" s="41"/>
      <c r="J80" s="42">
        <f t="shared" si="5"/>
        <v>6887.4</v>
      </c>
      <c r="K80" s="379">
        <f t="shared" si="4"/>
        <v>0</v>
      </c>
    </row>
    <row r="81" spans="3:11">
      <c r="C81" s="36" t="s">
        <v>86</v>
      </c>
      <c r="D81" s="37"/>
      <c r="E81" s="41"/>
      <c r="F81" s="42">
        <f t="shared" si="6"/>
        <v>6850.05</v>
      </c>
      <c r="G81" s="379">
        <f t="shared" si="7"/>
        <v>0</v>
      </c>
      <c r="H81" s="37"/>
      <c r="I81" s="41"/>
      <c r="J81" s="42">
        <f t="shared" si="5"/>
        <v>6887.4</v>
      </c>
      <c r="K81" s="379">
        <f t="shared" si="4"/>
        <v>0</v>
      </c>
    </row>
    <row r="82" spans="3:11">
      <c r="C82" s="37" t="s">
        <v>330</v>
      </c>
      <c r="D82" s="40" t="s">
        <v>304</v>
      </c>
      <c r="E82" s="41">
        <v>0</v>
      </c>
      <c r="F82" s="42">
        <f t="shared" si="6"/>
        <v>6850.05</v>
      </c>
      <c r="G82" s="379">
        <f t="shared" si="7"/>
        <v>0</v>
      </c>
      <c r="H82" s="40" t="s">
        <v>304</v>
      </c>
      <c r="I82" s="41">
        <v>0</v>
      </c>
      <c r="J82" s="42">
        <f t="shared" si="5"/>
        <v>6887.4</v>
      </c>
      <c r="K82" s="379">
        <f t="shared" si="4"/>
        <v>0</v>
      </c>
    </row>
    <row r="83" spans="3:11">
      <c r="C83" s="37" t="s">
        <v>331</v>
      </c>
      <c r="D83" s="40" t="s">
        <v>304</v>
      </c>
      <c r="E83" s="41">
        <v>0</v>
      </c>
      <c r="F83" s="42">
        <f t="shared" si="6"/>
        <v>6850.05</v>
      </c>
      <c r="G83" s="379">
        <f t="shared" si="7"/>
        <v>0</v>
      </c>
      <c r="H83" s="40" t="s">
        <v>304</v>
      </c>
      <c r="I83" s="41">
        <v>0</v>
      </c>
      <c r="J83" s="42">
        <f t="shared" si="5"/>
        <v>6887.4</v>
      </c>
      <c r="K83" s="379">
        <f t="shared" si="4"/>
        <v>0</v>
      </c>
    </row>
    <row r="84" spans="3:11">
      <c r="C84" s="36" t="s">
        <v>71</v>
      </c>
      <c r="D84" s="37"/>
      <c r="E84" s="41"/>
      <c r="F84" s="42">
        <f t="shared" si="6"/>
        <v>6850.05</v>
      </c>
      <c r="G84" s="379">
        <f t="shared" si="7"/>
        <v>0</v>
      </c>
      <c r="H84" s="37"/>
      <c r="I84" s="41"/>
      <c r="J84" s="42">
        <f t="shared" si="5"/>
        <v>6887.4</v>
      </c>
      <c r="K84" s="379">
        <f t="shared" si="4"/>
        <v>0</v>
      </c>
    </row>
    <row r="85" spans="3:11">
      <c r="C85" s="37" t="s">
        <v>52</v>
      </c>
      <c r="D85" s="40" t="s">
        <v>304</v>
      </c>
      <c r="E85" s="41">
        <v>0</v>
      </c>
      <c r="F85" s="42">
        <f t="shared" si="6"/>
        <v>6850.05</v>
      </c>
      <c r="G85" s="379">
        <f t="shared" si="7"/>
        <v>0</v>
      </c>
      <c r="H85" s="40" t="s">
        <v>304</v>
      </c>
      <c r="I85" s="41">
        <v>0</v>
      </c>
      <c r="J85" s="42">
        <f t="shared" si="5"/>
        <v>6887.4</v>
      </c>
      <c r="K85" s="379">
        <f t="shared" si="4"/>
        <v>0</v>
      </c>
    </row>
    <row r="86" spans="3:11">
      <c r="C86" s="37" t="s">
        <v>336</v>
      </c>
      <c r="D86" s="40" t="s">
        <v>304</v>
      </c>
      <c r="E86" s="41">
        <v>0</v>
      </c>
      <c r="F86" s="42">
        <f t="shared" si="6"/>
        <v>6850.05</v>
      </c>
      <c r="G86" s="379">
        <f t="shared" si="7"/>
        <v>0</v>
      </c>
      <c r="H86" s="40" t="s">
        <v>304</v>
      </c>
      <c r="I86" s="41">
        <v>0</v>
      </c>
      <c r="J86" s="42">
        <f t="shared" si="5"/>
        <v>6887.4</v>
      </c>
      <c r="K86" s="379">
        <f t="shared" si="4"/>
        <v>0</v>
      </c>
    </row>
    <row r="87" spans="3:11">
      <c r="C87" s="37" t="s">
        <v>337</v>
      </c>
      <c r="D87" s="40" t="s">
        <v>304</v>
      </c>
      <c r="E87" s="41">
        <v>0</v>
      </c>
      <c r="F87" s="42">
        <f t="shared" si="6"/>
        <v>6850.05</v>
      </c>
      <c r="G87" s="379">
        <f t="shared" si="7"/>
        <v>0</v>
      </c>
      <c r="H87" s="40" t="s">
        <v>304</v>
      </c>
      <c r="I87" s="41">
        <v>0</v>
      </c>
      <c r="J87" s="42">
        <f t="shared" si="5"/>
        <v>6887.4</v>
      </c>
      <c r="K87" s="379">
        <f t="shared" si="4"/>
        <v>0</v>
      </c>
    </row>
    <row r="88" spans="3:11">
      <c r="C88" s="37" t="s">
        <v>975</v>
      </c>
      <c r="D88" s="40" t="s">
        <v>304</v>
      </c>
      <c r="E88" s="41">
        <f>+G88/F88</f>
        <v>0</v>
      </c>
      <c r="F88" s="42">
        <f t="shared" si="6"/>
        <v>6850.05</v>
      </c>
      <c r="G88" s="379">
        <v>0</v>
      </c>
      <c r="H88" s="40" t="s">
        <v>304</v>
      </c>
      <c r="I88" s="41">
        <v>0</v>
      </c>
      <c r="J88" s="42">
        <f t="shared" si="5"/>
        <v>6887.4</v>
      </c>
      <c r="K88" s="379">
        <f t="shared" si="4"/>
        <v>0</v>
      </c>
    </row>
    <row r="91" spans="3:11">
      <c r="C91" s="27" t="s">
        <v>513</v>
      </c>
    </row>
    <row r="93" spans="3:11">
      <c r="C93" s="49"/>
      <c r="D93" s="748">
        <f>+D7</f>
        <v>44742</v>
      </c>
      <c r="E93" s="749"/>
      <c r="F93" s="748">
        <f>+E7</f>
        <v>44561</v>
      </c>
      <c r="G93" s="748"/>
      <c r="H93" s="749"/>
    </row>
    <row r="94" spans="3:11" ht="48">
      <c r="C94" s="35" t="s">
        <v>338</v>
      </c>
      <c r="D94" s="50" t="s">
        <v>339</v>
      </c>
      <c r="E94" s="50" t="s">
        <v>340</v>
      </c>
      <c r="F94" s="50" t="s">
        <v>341</v>
      </c>
      <c r="G94" s="383"/>
      <c r="H94" s="50" t="s">
        <v>342</v>
      </c>
    </row>
    <row r="95" spans="3:11" ht="25.5" customHeight="1">
      <c r="C95" s="51" t="s">
        <v>343</v>
      </c>
      <c r="D95" s="52">
        <f>+D8</f>
        <v>6837.71</v>
      </c>
      <c r="E95" s="53">
        <f>+'Estado de Resultado Resol. 30'!D94</f>
        <v>1216980348</v>
      </c>
      <c r="F95" s="54">
        <v>6891.96</v>
      </c>
      <c r="G95" s="53"/>
      <c r="H95" s="53">
        <f>+'Estado de Resultado Resol. 30'!E94</f>
        <v>2163744706</v>
      </c>
      <c r="I95" s="334"/>
      <c r="J95" s="55"/>
      <c r="K95" s="55"/>
    </row>
    <row r="96" spans="3:11" ht="25.5" customHeight="1">
      <c r="C96" s="51" t="s">
        <v>344</v>
      </c>
      <c r="D96" s="52">
        <f>+D9</f>
        <v>6850.05</v>
      </c>
      <c r="E96" s="53">
        <v>0</v>
      </c>
      <c r="F96" s="54">
        <v>6941.65</v>
      </c>
      <c r="G96" s="53"/>
      <c r="H96" s="53">
        <v>0</v>
      </c>
      <c r="J96" s="115"/>
      <c r="K96" s="115"/>
    </row>
    <row r="97" spans="3:8" ht="25.5" customHeight="1">
      <c r="C97" s="51" t="s">
        <v>345</v>
      </c>
      <c r="D97" s="52">
        <f>+D95</f>
        <v>6837.71</v>
      </c>
      <c r="E97" s="53">
        <f>+'Estado de Resultado Resol. 30'!D97</f>
        <v>610841148</v>
      </c>
      <c r="F97" s="54">
        <v>6891.96</v>
      </c>
      <c r="G97" s="53"/>
      <c r="H97" s="53">
        <f>+'Estado de Resultado Resol. 30'!E97</f>
        <v>871152777</v>
      </c>
    </row>
    <row r="98" spans="3:8" ht="25.5" customHeight="1">
      <c r="C98" s="51" t="s">
        <v>346</v>
      </c>
      <c r="D98" s="52">
        <f>+D96</f>
        <v>6850.05</v>
      </c>
      <c r="E98" s="53">
        <v>0</v>
      </c>
      <c r="F98" s="54">
        <v>6941.65</v>
      </c>
      <c r="G98" s="53"/>
      <c r="H98" s="53">
        <v>0</v>
      </c>
    </row>
    <row r="99" spans="3:8">
      <c r="C99" s="49" t="s">
        <v>347</v>
      </c>
      <c r="D99" s="56"/>
      <c r="E99" s="56">
        <f>+E95+E96-E97-E98</f>
        <v>606139200</v>
      </c>
      <c r="F99" s="56"/>
      <c r="G99" s="118"/>
      <c r="H99" s="56">
        <f>+H95+H96-H97-H98</f>
        <v>1292591929</v>
      </c>
    </row>
    <row r="100" spans="3:8">
      <c r="E100" s="335"/>
    </row>
    <row r="101" spans="3:8">
      <c r="E101" s="584">
        <f>+'Estado de Resultado Resol. 30'!D94-'Estado de Resultado Resol. 30'!D97-E99</f>
        <v>0</v>
      </c>
      <c r="F101" s="39"/>
      <c r="H101" s="584">
        <f>+'Estado de Resultado Resol. 30'!E94-'Estado de Resultado Resol. 30'!E97-H99</f>
        <v>0</v>
      </c>
    </row>
    <row r="102" spans="3:8">
      <c r="E102" s="39"/>
      <c r="F102" s="39"/>
      <c r="H102" s="39"/>
    </row>
  </sheetData>
  <mergeCells count="5">
    <mergeCell ref="D93:E93"/>
    <mergeCell ref="F93:H93"/>
    <mergeCell ref="D14:G15"/>
    <mergeCell ref="H14:K15"/>
    <mergeCell ref="C3:K3"/>
  </mergeCells>
  <hyperlinks>
    <hyperlink ref="C4" location="'Balance Gral. Resol. 30'!A1" display="'Balance Gral. Resol. 30'!A1" xr:uid="{00000000-0004-0000-0800-000000000000}"/>
  </hyperlinks>
  <pageMargins left="0.7" right="0.7" top="0.75" bottom="0.75" header="0.3" footer="0.3"/>
  <pageSetup paperSize="9" orientation="portrait" horizontalDpi="300" verticalDpi="300"/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j8Luj75eFr6E4R7QEBB34MZ2y7pxZmD2Uwat7sbIgYs=</DigestValue>
    </Reference>
    <Reference Type="http://www.w3.org/2000/09/xmldsig#Object" URI="#idOfficeObject">
      <DigestMethod Algorithm="http://www.w3.org/2001/04/xmlenc#sha256"/>
      <DigestValue>OGYSU0Rsqt1FUa/KK4hGiJkPaaT/8J4F+JgENJAB6Qw=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1wslLlcGv0Oe0ElEMMlldgtUhFcOiPc24ZNGlJPXi0g=</DigestValue>
    </Reference>
    <Reference Type="http://www.w3.org/2000/09/xmldsig#Object" URI="#idValidSigLnImg">
      <DigestMethod Algorithm="http://www.w3.org/2001/04/xmlenc#sha256"/>
      <DigestValue>/Yp+4iJHxzwJ6dyZaQWmem2raDLF2m4FMb++FYa/QmM=</DigestValue>
    </Reference>
    <Reference Type="http://www.w3.org/2000/09/xmldsig#Object" URI="#idInvalidSigLnImg">
      <DigestMethod Algorithm="http://www.w3.org/2001/04/xmlenc#sha256"/>
      <DigestValue>BGjge2RzNn+FGfQuBvmS1j3NFpbMOzSK8Q1fhbLStAM=</DigestValue>
    </Reference>
  </SignedInfo>
  <SignatureValue>APGM+QrMx8RqI7HKYm5DBlxCG/GM3YVYuhAfHYPla/ajjcZHQYBm44ZT6DBdcZVJQ+7t78ip/NmO
oAMGdY1A2gl8XLlN0y6Jm9iLYGQT18ofDU0dtqvsxjiOH97l6cfH0NIGKSId2Y/Bl7U1eSqMgRE1
sKuaOsPTyLnVYK/aNvk1pZojaiNQ2kGwV1/IzhTxUzqdYyb11fQ5lVK6UxSPuwuAGdxrwW/6TgFs
jePUvlzdJ1Vp/Se+o+DzKsWsx3m1AZNXjjqC9Dhwvjqtom/YEoT1HJyY5Y78V4Xr0eTVeFU/0Ozb
04ZUuASg/ATiDX/EoUSnx0uuYrLXhJCM8k+fEQ==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GlLlqf++vqk48BoIqzAWLvhj9Vz2F6FcMpO70qyechI=</DigestValue>
      </Reference>
      <Reference URI="/xl/calcChain.xml?ContentType=application/vnd.openxmlformats-officedocument.spreadsheetml.calcChain+xml">
        <DigestMethod Algorithm="http://www.w3.org/2001/04/xmlenc#sha256"/>
        <DigestValue>mN3rw3rKEdQREl9rBtp2oXRtCpbkhIiyHviDL0g5Lu0=</DigestValue>
      </Reference>
      <Reference URI="/xl/comments1.xml?ContentType=application/vnd.openxmlformats-officedocument.spreadsheetml.comments+xml">
        <DigestMethod Algorithm="http://www.w3.org/2001/04/xmlenc#sha256"/>
        <DigestValue>FQEmLUVp4bU3K796vBKZ5jQfY2KE2hj2q4I8rC0gAeg=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QBGRECwR0XOmOfLaC+mT0g4rVxEIMgWxf6UbzIzBS2M=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7uvnapVg0/Y3PmP7gmt4GR0ywN9FnOr8ujPWXu0tkj4=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rJxMnzeU9eTlC6zMQFEz88mU6dcMOQWWzK0onhOH5Rg=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wiVXcumh6XRk4gh9ePNTZYLp6zAWq5kSxnA3Dnf6ChM=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MWO52TusuC6HBjk/jKqQbr4b/cGPk1HPL5gMkQXvhjg=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WucWt59+Ya9ds73FAtdeK0yBo3jdFNm8cEbwTlEVgog=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sFkbjBQ210f/6OZ2/s0ZyG6fwKVn1+Q/VUMl+RfdppA=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jcdjE7CI5cOc8SWLiXvvSgcAJQTkajAMN9vCiRmxV5s=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2XEJzTeHFmlBxwDTFLW04cOe0zHEItv5/9XmjJ/7zSc=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pYBTBUOMcRvE6spqZliIq/D8kueE3P0yqmFZCQjrxTU=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NdrNV4OTE/kTC6PmJWNAw3AXczhtLiDBpKGMk859sIg=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tZ/VXIVJP/94RMYzaAXufLc42FzGsqsL6XY7jc6JzAA=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jyhYPhXJVl9Z6NquIRkNP5P8m5FLQxYEOhh/7hLUceY=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bAiF7p/DurY4h7897uGkjqNg+hAkgDlUMXRhqN+v87I=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V36SKR7s6zN+dPfpLTn0XwD2z6Xatj2GPc8KgBimHdo=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SzUwfM+070WfaihxKf2Tz9lK1xmsim2Zq7/Kq5lbAZ0=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9oZOvz116V2KJExU+fflxJ2HMBOVSpuYRl6+lYugQdA=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t4ijl1+v8IzzX/jMcI30Wqf1ef/NpgEjiPHxDPAoTmM=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8lZnWYrt8tB8aouUUDyUhZImLeEXtf0jolkx+Yi7024=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j79VH7ko70R7pttbrbb54NwBUX8PiGH2zPclev8hocs=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gFfeqwamM25+Fvm4soG/GGqnzMqGsvCzfb3WapD3ZDw=</DigestValue>
      </Reference>
      <Reference URI="/xl/drawings/drawing1.xml?ContentType=application/vnd.openxmlformats-officedocument.drawing+xml">
        <DigestMethod Algorithm="http://www.w3.org/2001/04/xmlenc#sha256"/>
        <DigestValue>tOTgLKlpnZO/UvTy7PrFKr8tt2lyfssWf1wu7pJFJxA=</DigestValue>
      </Reference>
      <Reference URI="/xl/drawings/drawing10.xml?ContentType=application/vnd.openxmlformats-officedocument.drawing+xml">
        <DigestMethod Algorithm="http://www.w3.org/2001/04/xmlenc#sha256"/>
        <DigestValue>bMzYlbFZlOEYZv6ldxn5d/Z1Eq0AbQdo7DWU2i59c94=</DigestValue>
      </Reference>
      <Reference URI="/xl/drawings/drawing11.xml?ContentType=application/vnd.openxmlformats-officedocument.drawing+xml">
        <DigestMethod Algorithm="http://www.w3.org/2001/04/xmlenc#sha256"/>
        <DigestValue>J/82zSRKkU7jj1FXa0SAEzyee/RMd42eXJpWePqALZs=</DigestValue>
      </Reference>
      <Reference URI="/xl/drawings/drawing12.xml?ContentType=application/vnd.openxmlformats-officedocument.drawing+xml">
        <DigestMethod Algorithm="http://www.w3.org/2001/04/xmlenc#sha256"/>
        <DigestValue>6rWsSrxLtkOjx+qqo29b2WpZF2vhk4aqojrwZGTHYjs=</DigestValue>
      </Reference>
      <Reference URI="/xl/drawings/drawing13.xml?ContentType=application/vnd.openxmlformats-officedocument.drawing+xml">
        <DigestMethod Algorithm="http://www.w3.org/2001/04/xmlenc#sha256"/>
        <DigestValue>U9WtVfh7rGAdkTjGMWLpeyqnhlY0Xk24Ey0GbRDv49g=</DigestValue>
      </Reference>
      <Reference URI="/xl/drawings/drawing14.xml?ContentType=application/vnd.openxmlformats-officedocument.drawing+xml">
        <DigestMethod Algorithm="http://www.w3.org/2001/04/xmlenc#sha256"/>
        <DigestValue>qxeDrAaokxFrD4PMYLONtt+OX2lJMOZmokWiCBzN4y4=</DigestValue>
      </Reference>
      <Reference URI="/xl/drawings/drawing15.xml?ContentType=application/vnd.openxmlformats-officedocument.drawing+xml">
        <DigestMethod Algorithm="http://www.w3.org/2001/04/xmlenc#sha256"/>
        <DigestValue>a7NidxZ5He6DVnLx3AnsZg0vmiJQo/2aw1BIynWdOX0=</DigestValue>
      </Reference>
      <Reference URI="/xl/drawings/drawing16.xml?ContentType=application/vnd.openxmlformats-officedocument.drawing+xml">
        <DigestMethod Algorithm="http://www.w3.org/2001/04/xmlenc#sha256"/>
        <DigestValue>CIQeGlSSTdb0/X3lUeGqSJpRYVdPVyQPSMyHwBsw8zk=</DigestValue>
      </Reference>
      <Reference URI="/xl/drawings/drawing17.xml?ContentType=application/vnd.openxmlformats-officedocument.drawing+xml">
        <DigestMethod Algorithm="http://www.w3.org/2001/04/xmlenc#sha256"/>
        <DigestValue>4jQGTbe4TSqtisgr6X5El+GKU0rCzLY6f+s0riMXims=</DigestValue>
      </Reference>
      <Reference URI="/xl/drawings/drawing18.xml?ContentType=application/vnd.openxmlformats-officedocument.drawing+xml">
        <DigestMethod Algorithm="http://www.w3.org/2001/04/xmlenc#sha256"/>
        <DigestValue>hXlbdPeAhyWc8mQb7p5KTOQzyArfalSY4VuHQ8UbTvc=</DigestValue>
      </Reference>
      <Reference URI="/xl/drawings/drawing19.xml?ContentType=application/vnd.openxmlformats-officedocument.drawing+xml">
        <DigestMethod Algorithm="http://www.w3.org/2001/04/xmlenc#sha256"/>
        <DigestValue>Yap9OhPcdaUwEQKhrfvY3mu8nCiW+mwCaaOHIqVnWOY=</DigestValue>
      </Reference>
      <Reference URI="/xl/drawings/drawing2.xml?ContentType=application/vnd.openxmlformats-officedocument.drawing+xml">
        <DigestMethod Algorithm="http://www.w3.org/2001/04/xmlenc#sha256"/>
        <DigestValue>F7+D+TJC0aga8aHva21vdUem9PQ2E3qz/4opyJJNvP0=</DigestValue>
      </Reference>
      <Reference URI="/xl/drawings/drawing20.xml?ContentType=application/vnd.openxmlformats-officedocument.drawing+xml">
        <DigestMethod Algorithm="http://www.w3.org/2001/04/xmlenc#sha256"/>
        <DigestValue>7ybzdYLBjXrq98Lz4L0pIhCcXYspACI4LY8zuqVQfMw=</DigestValue>
      </Reference>
      <Reference URI="/xl/drawings/drawing21.xml?ContentType=application/vnd.openxmlformats-officedocument.drawing+xml">
        <DigestMethod Algorithm="http://www.w3.org/2001/04/xmlenc#sha256"/>
        <DigestValue>v8B94MfOtXxV5lkFQEoOJo9qIYsIbMZecvjUin0EP5g=</DigestValue>
      </Reference>
      <Reference URI="/xl/drawings/drawing22.xml?ContentType=application/vnd.openxmlformats-officedocument.drawing+xml">
        <DigestMethod Algorithm="http://www.w3.org/2001/04/xmlenc#sha256"/>
        <DigestValue>6ydlXxFN7dalJ+QvS1WIbLznC7yBGPAkXuAkYZnsyyY=</DigestValue>
      </Reference>
      <Reference URI="/xl/drawings/drawing23.xml?ContentType=application/vnd.openxmlformats-officedocument.drawing+xml">
        <DigestMethod Algorithm="http://www.w3.org/2001/04/xmlenc#sha256"/>
        <DigestValue>EZjMn8BQoGBUhZ6qV2/dIenygy8bZaiqAyilvmvp/v4=</DigestValue>
      </Reference>
      <Reference URI="/xl/drawings/drawing24.xml?ContentType=application/vnd.openxmlformats-officedocument.drawing+xml">
        <DigestMethod Algorithm="http://www.w3.org/2001/04/xmlenc#sha256"/>
        <DigestValue>fEvwN+EoGKfJNpB76l3PPgogAXPiPEdMr/xtfp6oCZk=</DigestValue>
      </Reference>
      <Reference URI="/xl/drawings/drawing25.xml?ContentType=application/vnd.openxmlformats-officedocument.drawing+xml">
        <DigestMethod Algorithm="http://www.w3.org/2001/04/xmlenc#sha256"/>
        <DigestValue>mFE5xjCi3TisXDu4Arkr1mCggWKoYLJAW5OyhhbFOVs=</DigestValue>
      </Reference>
      <Reference URI="/xl/drawings/drawing26.xml?ContentType=application/vnd.openxmlformats-officedocument.drawing+xml">
        <DigestMethod Algorithm="http://www.w3.org/2001/04/xmlenc#sha256"/>
        <DigestValue>nRxi2JkSctSIid0aiubIFPwUh+5soh10ejnyuG10MB4=</DigestValue>
      </Reference>
      <Reference URI="/xl/drawings/drawing27.xml?ContentType=application/vnd.openxmlformats-officedocument.drawing+xml">
        <DigestMethod Algorithm="http://www.w3.org/2001/04/xmlenc#sha256"/>
        <DigestValue>4XBZ/7gZW6V5V+At7ddkvx/A6OqiSLOKt0tw2m8tTpo=</DigestValue>
      </Reference>
      <Reference URI="/xl/drawings/drawing3.xml?ContentType=application/vnd.openxmlformats-officedocument.drawing+xml">
        <DigestMethod Algorithm="http://www.w3.org/2001/04/xmlenc#sha256"/>
        <DigestValue>rQuif9XqGpRkrgWiNWoCXX5Crxw+sysbXwxK1hU2Vwg=</DigestValue>
      </Reference>
      <Reference URI="/xl/drawings/drawing4.xml?ContentType=application/vnd.openxmlformats-officedocument.drawing+xml">
        <DigestMethod Algorithm="http://www.w3.org/2001/04/xmlenc#sha256"/>
        <DigestValue>9E9hqa7lNCKzvG5cl22NonpqaG2PglMd+Vv5u1dlwtw=</DigestValue>
      </Reference>
      <Reference URI="/xl/drawings/drawing5.xml?ContentType=application/vnd.openxmlformats-officedocument.drawing+xml">
        <DigestMethod Algorithm="http://www.w3.org/2001/04/xmlenc#sha256"/>
        <DigestValue>ZfSTRHmJhGEhifJ/0tiGXkxyJYHCiY3IBFnYpVL8meQ=</DigestValue>
      </Reference>
      <Reference URI="/xl/drawings/drawing6.xml?ContentType=application/vnd.openxmlformats-officedocument.drawing+xml">
        <DigestMethod Algorithm="http://www.w3.org/2001/04/xmlenc#sha256"/>
        <DigestValue>6la5PHoQGnBr/4Yb/oQFHRurvMqJZDugu/u5MmfnMmY=</DigestValue>
      </Reference>
      <Reference URI="/xl/drawings/drawing7.xml?ContentType=application/vnd.openxmlformats-officedocument.drawing+xml">
        <DigestMethod Algorithm="http://www.w3.org/2001/04/xmlenc#sha256"/>
        <DigestValue>Br/Ho7U6vf1fXmKSIFPkSTD6b72Q+4chd3Aq/Kgc0Fs=</DigestValue>
      </Reference>
      <Reference URI="/xl/drawings/drawing8.xml?ContentType=application/vnd.openxmlformats-officedocument.drawing+xml">
        <DigestMethod Algorithm="http://www.w3.org/2001/04/xmlenc#sha256"/>
        <DigestValue>/GrbYfM02CEFnvMEi9tdw8i96d+5m/tvAyfEPYQQ+zo=</DigestValue>
      </Reference>
      <Reference URI="/xl/drawings/drawing9.xml?ContentType=application/vnd.openxmlformats-officedocument.drawing+xml">
        <DigestMethod Algorithm="http://www.w3.org/2001/04/xmlenc#sha256"/>
        <DigestValue>mHbWi6amgkrgD5T4m6aPkyX59R6rAxsnZO71hRUqd4U=</DigestValue>
      </Reference>
      <Reference URI="/xl/drawings/vmlDrawing1.vml?ContentType=application/vnd.openxmlformats-officedocument.vmlDrawing">
        <DigestMethod Algorithm="http://www.w3.org/2001/04/xmlenc#sha256"/>
        <DigestValue>bTssVfWjAo9Z7cAaPvzZcI/L+/vRjlSq7y/coej/0vg=</DigestValue>
      </Reference>
      <Reference URI="/xl/drawings/vmlDrawing2.vml?ContentType=application/vnd.openxmlformats-officedocument.vmlDrawing">
        <DigestMethod Algorithm="http://www.w3.org/2001/04/xmlenc#sha256"/>
        <DigestValue>qUwWspRnWQmHN59RcaDhvnEHtDILM8FXeGWu76yT5iw=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YPD4wjErj6Ny3L62fezwegeXiHBBV0a0qsynFTg1kLM=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WY7HczEoRN2uQ6U383GR0OAA6KjcktgliHRdcNxd3gI=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+VWwRQ6Sus/sE7IKUVJBlDwkFl41MiiKzgOKfvF9+cs=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God95XkF2hf5Z09EQlpKV14+wzCdtnQPbdSXfmWgKow=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zAvkGqBl5l+lR+mssSzyuzuEoOt30xQrSd8lR+JE/Jk=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UYSSoT5ZzA+fQzHq0sZEQgxKb+PdYiPB5Jf70OyxZIM=</DigestValue>
      </Reference>
      <Reference URI="/xl/media/image1.jpeg?ContentType=image/jpeg">
        <DigestMethod Algorithm="http://www.w3.org/2001/04/xmlenc#sha256"/>
        <DigestValue>n74/6hMahXOHJMx4WvzgWwhiD5xMpfB9meYG2iaBCD8=</DigestValue>
      </Reference>
      <Reference URI="/xl/media/image10.jpeg?ContentType=image/jpeg">
        <DigestMethod Algorithm="http://www.w3.org/2001/04/xmlenc#sha256"/>
        <DigestValue>pXadGojiFK1bfSqN0MqJB5WEivn1gP+s6wZic+GcD6o=</DigestValue>
      </Reference>
      <Reference URI="/xl/media/image11.jpeg?ContentType=image/jpeg">
        <DigestMethod Algorithm="http://www.w3.org/2001/04/xmlenc#sha256"/>
        <DigestValue>7hfAw/EvI9f8IUmZ2hcBFDuCa4OPJ7f8vl6mO99c2B8=</DigestValue>
      </Reference>
      <Reference URI="/xl/media/image12.jpeg?ContentType=image/jpeg">
        <DigestMethod Algorithm="http://www.w3.org/2001/04/xmlenc#sha256"/>
        <DigestValue>v28SkczqzYKIY3m9Kh4gXtfFKDfJxkq2eRQbOja+5Jo=</DigestValue>
      </Reference>
      <Reference URI="/xl/media/image13.jpeg?ContentType=image/jpeg">
        <DigestMethod Algorithm="http://www.w3.org/2001/04/xmlenc#sha256"/>
        <DigestValue>oc+5b0e4S8bPRQBblJGUMUYVkfkR9vzVzkU+edt25Oo=</DigestValue>
      </Reference>
      <Reference URI="/xl/media/image14.jpeg?ContentType=image/jpeg">
        <DigestMethod Algorithm="http://www.w3.org/2001/04/xmlenc#sha256"/>
        <DigestValue>L8wG8UlcngdGU5tCsCsGt+Tbi6yn55oVps1iZ2LkwSM=</DigestValue>
      </Reference>
      <Reference URI="/xl/media/image15.jpeg?ContentType=image/jpeg">
        <DigestMethod Algorithm="http://www.w3.org/2001/04/xmlenc#sha256"/>
        <DigestValue>0HwGJ+0rCoheXzKIWN2g9Ys/56ySRZ/4Q9gg0neSFyU=</DigestValue>
      </Reference>
      <Reference URI="/xl/media/image16.jpeg?ContentType=image/jpeg">
        <DigestMethod Algorithm="http://www.w3.org/2001/04/xmlenc#sha256"/>
        <DigestValue>ncTBDh7SVjtSas+YHM5m0WN1XOqpSZFHtGV5WmUnCog=</DigestValue>
      </Reference>
      <Reference URI="/xl/media/image17.jpeg?ContentType=image/jpeg">
        <DigestMethod Algorithm="http://www.w3.org/2001/04/xmlenc#sha256"/>
        <DigestValue>2TEGt8Wczr/kiZ3tEMFTgSYbynbK9qwPyLgHPvWKJEc=</DigestValue>
      </Reference>
      <Reference URI="/xl/media/image18.jpeg?ContentType=image/jpeg">
        <DigestMethod Algorithm="http://www.w3.org/2001/04/xmlenc#sha256"/>
        <DigestValue>w77tbw8DJXt4mramX19QNCMzvYIQmmIPu3sbunlU+5o=</DigestValue>
      </Reference>
      <Reference URI="/xl/media/image19.jpeg?ContentType=image/jpeg">
        <DigestMethod Algorithm="http://www.w3.org/2001/04/xmlenc#sha256"/>
        <DigestValue>fe/or1/Se/5grdqKR6nYKi9NQ0NvZR6YID+dh0d567Y=</DigestValue>
      </Reference>
      <Reference URI="/xl/media/image2.png?ContentType=image/png">
        <DigestMethod Algorithm="http://www.w3.org/2001/04/xmlenc#sha256"/>
        <DigestValue>2aiLeRWQ7DSEqYHtVtpWEVpYjwa80q5EAe0Y3H6bnqY=</DigestValue>
      </Reference>
      <Reference URI="/xl/media/image20.jpeg?ContentType=image/jpeg">
        <DigestMethod Algorithm="http://www.w3.org/2001/04/xmlenc#sha256"/>
        <DigestValue>OMIqJG6StErtoj41fjLC3sCX1GnQcM0pKU+iguq5plI=</DigestValue>
      </Reference>
      <Reference URI="/xl/media/image21.jpeg?ContentType=image/jpeg">
        <DigestMethod Algorithm="http://www.w3.org/2001/04/xmlenc#sha256"/>
        <DigestValue>IWpHvGq9Le3urmlOCxRcAuqwJvFrBpb0npGPUJUEHg8=</DigestValue>
      </Reference>
      <Reference URI="/xl/media/image22.jpeg?ContentType=image/jpeg">
        <DigestMethod Algorithm="http://www.w3.org/2001/04/xmlenc#sha256"/>
        <DigestValue>zWHsHt4tgdrtkEXOqpuBv6aG/gepmKuf/udpC4m3IrU=</DigestValue>
      </Reference>
      <Reference URI="/xl/media/image23.jpeg?ContentType=image/jpeg">
        <DigestMethod Algorithm="http://www.w3.org/2001/04/xmlenc#sha256"/>
        <DigestValue>vv0nhgohd9zE36puPfAgocgfUoQzp1kBNBx65LY7gr8=</DigestValue>
      </Reference>
      <Reference URI="/xl/media/image24.jpeg?ContentType=image/jpeg">
        <DigestMethod Algorithm="http://www.w3.org/2001/04/xmlenc#sha256"/>
        <DigestValue>RNzkHEpPXN32KTAkmCflxGznXjzHWKKLtC/oH6rRgD4=</DigestValue>
      </Reference>
      <Reference URI="/xl/media/image25.jpeg?ContentType=image/jpeg">
        <DigestMethod Algorithm="http://www.w3.org/2001/04/xmlenc#sha256"/>
        <DigestValue>7mO+vHuspRv90St6UvfTYiVNjS2+itw5wf1diqvThkM=</DigestValue>
      </Reference>
      <Reference URI="/xl/media/image3.jpeg?ContentType=image/jpeg">
        <DigestMethod Algorithm="http://www.w3.org/2001/04/xmlenc#sha256"/>
        <DigestValue>D1XTM301U5+qxDMOVMSPvpemh5/dc9CcH/xPYRXqhBg=</DigestValue>
      </Reference>
      <Reference URI="/xl/media/image4.emf?ContentType=image/x-emf">
        <DigestMethod Algorithm="http://www.w3.org/2001/04/xmlenc#sha256"/>
        <DigestValue>08BnLC3GUQsApRa8CURQPVtVfdpHMfbABYlYOMix6Q4=</DigestValue>
      </Reference>
      <Reference URI="/xl/media/image5.emf?ContentType=image/x-emf">
        <DigestMethod Algorithm="http://www.w3.org/2001/04/xmlenc#sha256"/>
        <DigestValue>bz97hz0dgoHXPr8K5gqY1oCwzOvjP2ioWkFDF0aKj5c=</DigestValue>
      </Reference>
      <Reference URI="/xl/media/image6.jpeg?ContentType=image/jpeg">
        <DigestMethod Algorithm="http://www.w3.org/2001/04/xmlenc#sha256"/>
        <DigestValue>+VV/+wQWzMe817snuzpgOS0pqzVQHbYc1pasrtFNt60=</DigestValue>
      </Reference>
      <Reference URI="/xl/media/image7.jpeg?ContentType=image/jpeg">
        <DigestMethod Algorithm="http://www.w3.org/2001/04/xmlenc#sha256"/>
        <DigestValue>49Ce8pqxkL//eRMEXIf98prX/7c3VsGUmvdnK/FDLyc=</DigestValue>
      </Reference>
      <Reference URI="/xl/media/image8.jpeg?ContentType=image/jpeg">
        <DigestMethod Algorithm="http://www.w3.org/2001/04/xmlenc#sha256"/>
        <DigestValue>/BOqjwF/CUc/d78k006qoC8YfPCOD7ZjoJ4W0l/xmeE=</DigestValue>
      </Reference>
      <Reference URI="/xl/media/image9.jpeg?ContentType=image/jpeg">
        <DigestMethod Algorithm="http://www.w3.org/2001/04/xmlenc#sha256"/>
        <DigestValue>JiJWxfL5MTyjJkZVzkjchEePe27rZP7BjrbTnrCKBsQ=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7FK+7ND2wkX5JRID7I5pGN2xS08AkOKCreOpDVpwU38=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VFQJL7bd+oY45xWvYaNQQtjNYzwVhNZHBs5SYcKaB5A=</DigestValue>
      </Reference>
      <Reference URI="/xl/styles.xml?ContentType=application/vnd.openxmlformats-officedocument.spreadsheetml.styles+xml">
        <DigestMethod Algorithm="http://www.w3.org/2001/04/xmlenc#sha256"/>
        <DigestValue>EjFQBOZpI1pP8XxEUjEqHP/xNRkCQ43zVU/DHe1edrY=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VeEklQzSrUUYvpdiP8shqhbWTx9U7dP8BZcTXleEzrM=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hlX9gQHuzx56YhcKzgHvK3N5MwnGcFK7/Yfps5n9mUE=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xfXMfHrtKWPbyH9H/vpW4sv1T6608C4wJHVlTTCUZlI=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EVXMmtbrK05YSYRgw5FgQD3Dc1yMJuinCK6QQtulNOM=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sheet1.xml?ContentType=application/vnd.openxmlformats-officedocument.spreadsheetml.worksheet+xml">
        <DigestMethod Algorithm="http://www.w3.org/2001/04/xmlenc#sha256"/>
        <DigestValue>K8uBuAAuzsC132TcEQCTfjUv1gjyja61OL0T3Pp/ZVY=</DigestValue>
      </Reference>
      <Reference URI="/xl/worksheets/sheet10.xml?ContentType=application/vnd.openxmlformats-officedocument.spreadsheetml.worksheet+xml">
        <DigestMethod Algorithm="http://www.w3.org/2001/04/xmlenc#sha256"/>
        <DigestValue>UpREnSPMASINpcG0jAbo/+CexVFlm/e5B9C6Su6HnCA=</DigestValue>
      </Reference>
      <Reference URI="/xl/worksheets/sheet11.xml?ContentType=application/vnd.openxmlformats-officedocument.spreadsheetml.worksheet+xml">
        <DigestMethod Algorithm="http://www.w3.org/2001/04/xmlenc#sha256"/>
        <DigestValue>rg74xgn2lXyg57bQWKVa5nRYoElur0AwLSaq1sMdLjg=</DigestValue>
      </Reference>
      <Reference URI="/xl/worksheets/sheet12.xml?ContentType=application/vnd.openxmlformats-officedocument.spreadsheetml.worksheet+xml">
        <DigestMethod Algorithm="http://www.w3.org/2001/04/xmlenc#sha256"/>
        <DigestValue>dmWPMvppp7I4KpN6pms3KywZ1wSlFdSVxCH6ci/hm+A=</DigestValue>
      </Reference>
      <Reference URI="/xl/worksheets/sheet13.xml?ContentType=application/vnd.openxmlformats-officedocument.spreadsheetml.worksheet+xml">
        <DigestMethod Algorithm="http://www.w3.org/2001/04/xmlenc#sha256"/>
        <DigestValue>ykDkQb743rcgtKchXNLPYYOSj/7NZtsGUJ1P9moSnMM=</DigestValue>
      </Reference>
      <Reference URI="/xl/worksheets/sheet14.xml?ContentType=application/vnd.openxmlformats-officedocument.spreadsheetml.worksheet+xml">
        <DigestMethod Algorithm="http://www.w3.org/2001/04/xmlenc#sha256"/>
        <DigestValue>d97eihp7/6BGpELVtj/9iGWO8DaJIwyUp8zrBdgqnX4=</DigestValue>
      </Reference>
      <Reference URI="/xl/worksheets/sheet15.xml?ContentType=application/vnd.openxmlformats-officedocument.spreadsheetml.worksheet+xml">
        <DigestMethod Algorithm="http://www.w3.org/2001/04/xmlenc#sha256"/>
        <DigestValue>n+55fbM+xcP4yHxNNJ+HpECn2CcXIX3brEtbmfzNDtI=</DigestValue>
      </Reference>
      <Reference URI="/xl/worksheets/sheet16.xml?ContentType=application/vnd.openxmlformats-officedocument.spreadsheetml.worksheet+xml">
        <DigestMethod Algorithm="http://www.w3.org/2001/04/xmlenc#sha256"/>
        <DigestValue>nnHjKI01iJLOnQmXCs+AmLXp9iTIXpwybz3aPezMu0s=</DigestValue>
      </Reference>
      <Reference URI="/xl/worksheets/sheet17.xml?ContentType=application/vnd.openxmlformats-officedocument.spreadsheetml.worksheet+xml">
        <DigestMethod Algorithm="http://www.w3.org/2001/04/xmlenc#sha256"/>
        <DigestValue>gMBwT5PMGkjjCmz32IU3hmUDeYjXAkrnhKNk9cnZzIA=</DigestValue>
      </Reference>
      <Reference URI="/xl/worksheets/sheet18.xml?ContentType=application/vnd.openxmlformats-officedocument.spreadsheetml.worksheet+xml">
        <DigestMethod Algorithm="http://www.w3.org/2001/04/xmlenc#sha256"/>
        <DigestValue>jD484+8OxqN7Jc2jQZFPEr6Qg/sXv+a+9U84a6xtXXE=</DigestValue>
      </Reference>
      <Reference URI="/xl/worksheets/sheet19.xml?ContentType=application/vnd.openxmlformats-officedocument.spreadsheetml.worksheet+xml">
        <DigestMethod Algorithm="http://www.w3.org/2001/04/xmlenc#sha256"/>
        <DigestValue>P2dWZ9h/2faYhooNMirFQpQpC8yPy0wJjNnBq6m8BDc=</DigestValue>
      </Reference>
      <Reference URI="/xl/worksheets/sheet2.xml?ContentType=application/vnd.openxmlformats-officedocument.spreadsheetml.worksheet+xml">
        <DigestMethod Algorithm="http://www.w3.org/2001/04/xmlenc#sha256"/>
        <DigestValue>P2FKUY8q/Bj6MP9oBiJYmYkrDCHHO6qm4S3wrwgMzvg=</DigestValue>
      </Reference>
      <Reference URI="/xl/worksheets/sheet20.xml?ContentType=application/vnd.openxmlformats-officedocument.spreadsheetml.worksheet+xml">
        <DigestMethod Algorithm="http://www.w3.org/2001/04/xmlenc#sha256"/>
        <DigestValue>W9voGv3pnaKOmOrs0L3YXiyY9+rWws8TzNz8FYmZPtk=</DigestValue>
      </Reference>
      <Reference URI="/xl/worksheets/sheet21.xml?ContentType=application/vnd.openxmlformats-officedocument.spreadsheetml.worksheet+xml">
        <DigestMethod Algorithm="http://www.w3.org/2001/04/xmlenc#sha256"/>
        <DigestValue>jCP642On7HHkgbNfr3VQaDrbY/7k3bPPq1zhUln50GQ=</DigestValue>
      </Reference>
      <Reference URI="/xl/worksheets/sheet22.xml?ContentType=application/vnd.openxmlformats-officedocument.spreadsheetml.worksheet+xml">
        <DigestMethod Algorithm="http://www.w3.org/2001/04/xmlenc#sha256"/>
        <DigestValue>F/mBU4amkutZiD7c5xemikHTbuB32S8PdWtRjqJHvno=</DigestValue>
      </Reference>
      <Reference URI="/xl/worksheets/sheet23.xml?ContentType=application/vnd.openxmlformats-officedocument.spreadsheetml.worksheet+xml">
        <DigestMethod Algorithm="http://www.w3.org/2001/04/xmlenc#sha256"/>
        <DigestValue>hj9hn1Yr6BF1Zd0b4X8j4XVA4vYvWdEUbDFSRIaCxBs=</DigestValue>
      </Reference>
      <Reference URI="/xl/worksheets/sheet24.xml?ContentType=application/vnd.openxmlformats-officedocument.spreadsheetml.worksheet+xml">
        <DigestMethod Algorithm="http://www.w3.org/2001/04/xmlenc#sha256"/>
        <DigestValue>f8E+VNW93MyWNslR5HROTAyKeIN5aeFZLOpDM7rd4fM=</DigestValue>
      </Reference>
      <Reference URI="/xl/worksheets/sheet25.xml?ContentType=application/vnd.openxmlformats-officedocument.spreadsheetml.worksheet+xml">
        <DigestMethod Algorithm="http://www.w3.org/2001/04/xmlenc#sha256"/>
        <DigestValue>IHruTWq8oInUSFyy8N6UmCWMxN0ahSg6uRoEu4oZD5I=</DigestValue>
      </Reference>
      <Reference URI="/xl/worksheets/sheet26.xml?ContentType=application/vnd.openxmlformats-officedocument.spreadsheetml.worksheet+xml">
        <DigestMethod Algorithm="http://www.w3.org/2001/04/xmlenc#sha256"/>
        <DigestValue>CXX19sSMDzxpONMWkZbmOglSy/ZLExdGzWjRG8OxPq8=</DigestValue>
      </Reference>
      <Reference URI="/xl/worksheets/sheet27.xml?ContentType=application/vnd.openxmlformats-officedocument.spreadsheetml.worksheet+xml">
        <DigestMethod Algorithm="http://www.w3.org/2001/04/xmlenc#sha256"/>
        <DigestValue>3/7DfvPDjOSpsLgOaEA6vKheSQvNWCTEMajf0GAy2u4=</DigestValue>
      </Reference>
      <Reference URI="/xl/worksheets/sheet28.xml?ContentType=application/vnd.openxmlformats-officedocument.spreadsheetml.worksheet+xml">
        <DigestMethod Algorithm="http://www.w3.org/2001/04/xmlenc#sha256"/>
        <DigestValue>WpyYlxG18MUFYobR4HufqZ1VvLbzP65mq2BMJKeK0eI=</DigestValue>
      </Reference>
      <Reference URI="/xl/worksheets/sheet3.xml?ContentType=application/vnd.openxmlformats-officedocument.spreadsheetml.worksheet+xml">
        <DigestMethod Algorithm="http://www.w3.org/2001/04/xmlenc#sha256"/>
        <DigestValue>csHdWEYzhCJnAKHBGDEMlTTwyEA6jYQoCiZl55KJu5g=</DigestValue>
      </Reference>
      <Reference URI="/xl/worksheets/sheet4.xml?ContentType=application/vnd.openxmlformats-officedocument.spreadsheetml.worksheet+xml">
        <DigestMethod Algorithm="http://www.w3.org/2001/04/xmlenc#sha256"/>
        <DigestValue>40oqebj2gIkbXqiqQAcufWtjJG8rScXxzio5u8EcB08=</DigestValue>
      </Reference>
      <Reference URI="/xl/worksheets/sheet5.xml?ContentType=application/vnd.openxmlformats-officedocument.spreadsheetml.worksheet+xml">
        <DigestMethod Algorithm="http://www.w3.org/2001/04/xmlenc#sha256"/>
        <DigestValue>QUxaaUcRkn5PQE42/1Y+M7zUhgewoT7ZAYhXuFX3IgQ=</DigestValue>
      </Reference>
      <Reference URI="/xl/worksheets/sheet6.xml?ContentType=application/vnd.openxmlformats-officedocument.spreadsheetml.worksheet+xml">
        <DigestMethod Algorithm="http://www.w3.org/2001/04/xmlenc#sha256"/>
        <DigestValue>7GskhzieOUAtf+X/pyYQfF51ecmr0slsFh0WtWq5KKY=</DigestValue>
      </Reference>
      <Reference URI="/xl/worksheets/sheet7.xml?ContentType=application/vnd.openxmlformats-officedocument.spreadsheetml.worksheet+xml">
        <DigestMethod Algorithm="http://www.w3.org/2001/04/xmlenc#sha256"/>
        <DigestValue>37ECMqRDPZblLIek4VpxUmehh1+BBqJPOujoioJXeRk=</DigestValue>
      </Reference>
      <Reference URI="/xl/worksheets/sheet8.xml?ContentType=application/vnd.openxmlformats-officedocument.spreadsheetml.worksheet+xml">
        <DigestMethod Algorithm="http://www.w3.org/2001/04/xmlenc#sha256"/>
        <DigestValue>/QyaECxli6ULcguGhDGgey8Fv4M+ag1Gr/65XGZHKEk=</DigestValue>
      </Reference>
      <Reference URI="/xl/worksheets/sheet9.xml?ContentType=application/vnd.openxmlformats-officedocument.spreadsheetml.worksheet+xml">
        <DigestMethod Algorithm="http://www.w3.org/2001/04/xmlenc#sha256"/>
        <DigestValue>DmdhTZwTJsoSYpGf1pwmUalnALRvjeIK4wJ77s2D/F0=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2022-08-17T00:25:57Z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16.0.15427/23</OfficeVersion>
          <ApplicationVersion>16.0.15427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2022-08-17T00:25:57Z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I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gA5q+H8AAACADmr4fwAAtBnxafh/AAAAAJvC+H8AALHsYGn4fwAAMBabwvh/AAC0GfFp+H8AANgWAAAAAAAAQAAAwPh/AAAAAJvC+H8AAIHvYGn4fwAABAAAAAAAAAAwFpvC+H8AABCzb939AAAAtBnxaQAAAABIAAAAAAAAALQZ8Wn4fwAAoIMOavh/AAAAHvFp+H8AAAEAAAAAAAAAgEPxafh/AAAAAJvC+H8AAAAAAAAAAAAAAAAAAAAAAAAHAAAAAAAAAHCYiqXqAgAAC6dNwPh/AADws2/d/QAAAIm0b939AAAAAAAAAAAAAAAAAAAAZHYACAAAAAAlAAAADAAAAAEAAAAYAAAADAAAAAAAAAASAAAADAAAAAEAAAAeAAAAGAAAAPUAAAAFAAAAMgEAABYAAAAlAAAADAAAAAEAAABUAAAAhAAAAPYAAAAFAAAAMAEAABUAAAABAAAAVVWPQYX2jkH2AAAABQAAAAkAAABMAAAAAAAAAAAAAAAAAAAA//////////9gAAAAMQA2AC8AOA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oB1io+oCAAAAAAAAAAAAAAEAAAAAAAAAiA5xwPh/AAAAAAAAAAAAAIA/m8L4fwAACQAAAAEAAAAJAAAAAAAAAAAAAAAAAAAAAAAAAAAAAABTETVac34AAAttTKb4fwAAwCPoruoCAACwg8Gu6gIAAHCYiqXqAgAAMLdv3QAAAAAAAAAAAAAAAAcAAAAAAAAAAAAAAAAAAABstm/d/QAAAKm2b939AAAA0bdJwPh/AAD+/////////2gk6a4AAAAAUAPkruoCAAD6fUam+H8AAHCYiqXqAgAAC6dNwPh/AAAQtm/d/QAAAKm2b939AAAAoICAtuo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DAAAAAAAAAAKAAAAAAAAACIDnHA+H8AAAAAAAAAAAAAKTRu3f0AAAADAAAAAAAAAMezq8L4fwAAAAAAAAAAAAAAAAAAAAAAAHOQNFpzfgAAAAAAAPh/AADgopOu6gIAAOD///8AAAAAcJiKpeoCAAAoNm7dAAAAAAAAAAAAAAAABgAAAAAAAAAAAAAAAAAAAEw1bt39AAAAiTVu3f0AAADRt0nA+H8AAAAAAAD4fwAAMFZftwAAAAABAAAAAAAAAAAAAAAAAAAAcJiKpeoCAAALp03A+H8AAPA0bt39AAAAiTVu3f0AAACwVCa36g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FIAAABWAAAAMAAAADsAAAAjAAAAHAAAACEA8AAAAAAAAAAAAAAAgD8AAAAAAAAAAAAAgD8AAAAAAAAAAAAAAAAAAAAAAAAAAAAAAAAAAAAAAAAAACUAAAAMAAAAAAAAgCgAAAAMAAAABAAAAFIAAABwAQAABAAAAOz///8AAAAAAAAAAAAAAACQAQAAAAAAAQAAAABzAGUAZwBvAGUAIAB1AGkAAAAAAAAAAAAAAAAAAAAAAAAAAAAAAAAAAAAAAAAAAAAAAAAAAAAAAAAAAAAAAAAAAAAAACB6cr/qAgAAAAAAAAAAAAAACAAAAAAAAIgOccD4fwAAAAAAAAAAAADQRtho+H8AAOCpk67qAgAAzQNMaPh/AAAAAAAAAAAAAAAAAAAAAAAA05A0WnN+AAC5NG7d/QAAAKhG2Gj4fwAA7P///wAAAABwmIql6gIAAMg2bt0AAAAAAAAAAAAAAAAJAAAAAAAAAAAAAAAAAAAA7DVu3f0AAAApNm7d/QAAANG3ScD4fwAAAAEBAP////8IAAAAAAAAAKhG2Gj4fwAA0D4XFAkJAABwmIql6gIAAAunTcD4fwAAkDVu3f0AAAApNm7d/QAAACD8s8DqAgAAAAAAAGR2AAgAAAAAJQAAAAwAAAAEAAAAGAAAAAwAAAAAAAAAEgAAAAwAAAABAAAAHgAAABgAAAAwAAAAOwAAAFMAAABXAAAAJQAAAAwAAAAEAAAAVAAAAGAAAAAxAAAAOwAAAFEAAABWAAAAAQAAAFVVj0GF9o5BMQAAADsAAAADAAAATAAAAAAAAAAAAAAAAAAAAP//////////VAAAAFMAUwBQAAAACwAAAAs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//////////cAAAAEwAaQBjAC4AIABTAGEAZAB5ACAAUABlAHIAZQBpAHIAYQAAAAYAAAADAAAABgAAAAMAAAAEAAA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  <Object Id="idInvalidSigLnImg">AQAAAGwAAAAAAAAAAAAAAD8BAACfAAAAAAAAAAAAAABmFgAALAsAACBFTUYAAAEAkCA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gA5q+H8AAACADmr4fwAAtBnxafh/AAAAAJvC+H8AALHsYGn4fwAAMBabwvh/AAC0GfFp+H8AANgWAAAAAAAAQAAAwPh/AAAAAJvC+H8AAIHvYGn4fwAABAAAAAAAAAAwFpvC+H8AABCzb939AAAAtBnxaQAAAABIAAAAAAAAALQZ8Wn4fwAAoIMOavh/AAAAHvFp+H8AAAEAAAAAAAAAgEPxafh/AAAAAJvC+H8AAAAAAAAAAAAAAAAAAAAAAAAHAAAAAAAAAHCYiqXqAgAAC6dNwPh/AADws2/d/QAAAIm0b939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oB1io+oCAAAAAAAAAAAAAAEAAAAAAAAAiA5xwPh/AAAAAAAAAAAAAIA/m8L4fwAACQAAAAEAAAAJAAAAAAAAAAAAAAAAAAAAAAAAAAAAAABTETVac34AAAttTKb4fwAAwCPoruoCAACwg8Gu6gIAAHCYiqXqAgAAMLdv3QAAAAAAAAAAAAAAAAcAAAAAAAAAAAAAAAAAAABstm/d/QAAAKm2b939AAAA0bdJwPh/AAD+/////////2gk6a4AAAAAUAPkruoCAAD6fUam+H8AAHCYiqXqAgAAC6dNwPh/AAAQtm/d/QAAAKm2b939AAAAoICAtuo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DAAAAAAAAAAKAAAAAAAAACIDnHA+H8AAAAAAAAAAAAAKTRu3f0AAAADAAAAAAAAAMezq8L4fwAAAAAAAAAAAAAAAAAAAAAAAHOQNFpzfgAAAAAAAPh/AADgopOu6gIAAOD///8AAAAAcJiKpeoCAAAoNm7dAAAAAAAAAAAAAAAABgAAAAAAAAAAAAAAAAAAAEw1bt39AAAAiTVu3f0AAADRt0nA+H8AAAAAAAD4fwAAMFZftwAAAAABAAAAAAAAAAAAAAAAAAAAcJiKpeoCAAALp03A+H8AAPA0bt39AAAAiTVu3f0AAACwVCa36g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FIAAABWAAAAMAAAADsAAAAjAAAAHAAAACEA8AAAAAAAAAAAAAAAgD8AAAAAAAAAAAAAgD8AAAAAAAAAAAAAAAAAAAAAAAAAAAAAAAAAAAAAAAAAACUAAAAMAAAAAAAAgCgAAAAMAAAABAAAAFIAAABwAQAABAAAAOz///8AAAAAAAAAAAAAAACQAQAAAAAAAQAAAABzAGUAZwBvAGUAIAB1AGkAAAAAAAAAAAAAAAAAAAAAAAAAAAAAAAAAAAAAAAAAAAAAAAAAAAAAAAAAAAAAAAAAAAAAACB6cr/qAgAAAAAAAAAAAAAACAAAAAAAAIgOccD4fwAAAAAAAAAAAADQRtho+H8AAOCpk67qAgAAzQNMaPh/AAAAAAAAAAAAAAAAAAAAAAAA05A0WnN+AAC5NG7d/QAAAKhG2Gj4fwAA7P///wAAAABwmIql6gIAAMg2bt0AAAAAAAAAAAAAAAAJAAAAAAAAAAAAAAAAAAAA7DVu3f0AAAApNm7d/QAAANG3ScD4fwAAAAEBAP////8IAAAAAAAAAKhG2Gj4fwAA0D4XFAkJAABwmIql6gIAAAunTcD4fwAAkDVu3f0AAAApNm7d/QAAACD8s8DqAgAAAAAAAGR2AAgAAAAAJQAAAAwAAAAEAAAAGAAAAAwAAAAAAAAAEgAAAAwAAAABAAAAHgAAABgAAAAwAAAAOwAAAFMAAABXAAAAJQAAAAwAAAAEAAAAVAAAAGAAAAAxAAAAOwAAAFEAAABWAAAAAQAAAFVVj0GF9o5BMQAAADsAAAADAAAATAAAAAAAAAAAAAAAAAAAAP//////////VAAAAFMAUwBQAAAACwAAAAs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//////////cAAAAEwAaQBjAC4AIABTAGEAZAB5ACAAUABlAHIAZQBpAHIAYQAAAAYAAAADAAAABgAAAAMAAAAEAAA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Indice</vt:lpstr>
      <vt:lpstr>I.Infomac Gral Emp </vt:lpstr>
      <vt:lpstr>Balance Gral. Resol. 30</vt:lpstr>
      <vt:lpstr>Estado de Resultado Resol. 30</vt:lpstr>
      <vt:lpstr>Flujo de Efectivo Resol. Res 30</vt:lpstr>
      <vt:lpstr>Estado de Variacion PN </vt:lpstr>
      <vt:lpstr> Flujo de Fondos Calculo INVEST</vt:lpstr>
      <vt:lpstr>NOTA A LOS ESTADOS CONTA. 1-4</vt:lpstr>
      <vt:lpstr>NOTA 5 A-C CRITERIOS ESPECIF.</vt:lpstr>
      <vt:lpstr>NOTA D - DISPONIBILIDADES</vt:lpstr>
      <vt:lpstr>NOTA E - INVERSIONES TEMP Y PER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DOCUM y CTAS A PAG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INFORMACION REFERENTE</vt:lpstr>
      <vt:lpstr>' Flujo de Fondos Calculo INVEST'!Área_de_impresión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2021-11-14T19:15:35Z</cp:lastPrinted>
  <dcterms:created xsi:type="dcterms:W3CDTF">2019-11-21T14:06:50Z</dcterms:created>
  <dcterms:modified xsi:type="dcterms:W3CDTF">2022-08-17T00:25:48Z</dcterms:modified>
  <cp:category/>
  <cp:contentStatus/>
</cp:coreProperties>
</file>